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workbookProtection workbookPassword="B79F" lockStructure="1"/>
  <bookViews>
    <workbookView xWindow="1245" yWindow="-210" windowWidth="22785" windowHeight="12915" tabRatio="971"/>
  </bookViews>
  <sheets>
    <sheet name="MYP Assumptions" sheetId="2" r:id="rId1"/>
    <sheet name="RS 3010-ALL" sheetId="1" state="hidden" r:id="rId2"/>
    <sheet name="UNRESTRICTED STRS Incrs Calc" sheetId="42" state="hidden" r:id="rId3"/>
    <sheet name="UNRESTRICTED" sheetId="26" r:id="rId4"/>
    <sheet name="RESTRICTED" sheetId="27" r:id="rId5"/>
    <sheet name="COMBINED" sheetId="28" r:id="rId6"/>
    <sheet name="SSC's Dartboard" sheetId="16" r:id="rId7"/>
    <sheet name="Percentage of Incrs" sheetId="41" state="hidden" r:id="rId8"/>
    <sheet name="LCFF" sheetId="8" r:id="rId9"/>
    <sheet name="Other Revenue" sheetId="36" state="hidden" r:id="rId10"/>
    <sheet name="STRS &amp; PERS" sheetId="35" r:id="rId11"/>
    <sheet name="Textbook Adoption Schedule" sheetId="22" state="hidden" r:id="rId12"/>
    <sheet name="RS 00XX &amp; 1400" sheetId="31" r:id="rId13"/>
    <sheet name="RS 0617" sheetId="21" r:id="rId14"/>
    <sheet name="RS 0653" sheetId="34" r:id="rId15"/>
    <sheet name="RS 0654" sheetId="30" r:id="rId16"/>
    <sheet name="RS 0655" sheetId="32" r:id="rId17"/>
    <sheet name="RS 1100" sheetId="33" r:id="rId18"/>
    <sheet name="2016-17  RS 3010-DO &amp; All Sites" sheetId="5" state="hidden" r:id="rId19"/>
    <sheet name="2017-18  RS 3010-DO &amp; All Sites" sheetId="38" state="hidden" r:id="rId20"/>
    <sheet name="RS 3010" sheetId="3" r:id="rId21"/>
    <sheet name="RS 3310" sheetId="12" r:id="rId22"/>
    <sheet name="RS 3311" sheetId="14" r:id="rId23"/>
    <sheet name="RS 4035" sheetId="6" r:id="rId24"/>
    <sheet name="RS 4201" sheetId="9" r:id="rId25"/>
    <sheet name="RS 4203" sheetId="7" r:id="rId26"/>
    <sheet name="RS 5640" sheetId="10" r:id="rId27"/>
    <sheet name="RS 6010" sheetId="11" r:id="rId28"/>
    <sheet name="RS 6230" sheetId="17" r:id="rId29"/>
    <sheet name="RS 6264" sheetId="19" r:id="rId30"/>
    <sheet name="RS 6300" sheetId="20" r:id="rId31"/>
    <sheet name="RS 6500" sheetId="13" r:id="rId32"/>
    <sheet name="RS 6512" sheetId="15" r:id="rId33"/>
    <sheet name="RS 7810" sheetId="18" r:id="rId34"/>
    <sheet name="RS 8150" sheetId="23" r:id="rId35"/>
    <sheet name="RS 9076" sheetId="24" r:id="rId36"/>
    <sheet name="RS 9221" sheetId="40" r:id="rId37"/>
    <sheet name="RS 9222" sheetId="39" r:id="rId38"/>
    <sheet name="RS 9225" sheetId="25" r:id="rId39"/>
    <sheet name="OTHER FUNDS - MYP" sheetId="37" r:id="rId40"/>
    <sheet name="RS XXXX - MYP, BLANK" sheetId="4" state="hidden" r:id="rId41"/>
  </sheets>
  <definedNames>
    <definedName name="_xlnm.Print_Area" localSheetId="18">'2016-17  RS 3010-DO &amp; All Sites'!$A$1:$AG$128</definedName>
    <definedName name="_xlnm.Print_Area" localSheetId="19">'2017-18  RS 3010-DO &amp; All Sites'!$A$1:$AG$128</definedName>
    <definedName name="_xlnm.Print_Area" localSheetId="5">COMBINED!$A$1:$I$82</definedName>
    <definedName name="_xlnm.Print_Area" localSheetId="8">LCFF!$B$2:$Y$73</definedName>
    <definedName name="_xlnm.Print_Area" localSheetId="0">'MYP Assumptions'!$B$1:$M$85</definedName>
    <definedName name="_xlnm.Print_Area" localSheetId="39">'OTHER FUNDS - MYP'!$B$1:$K$81</definedName>
    <definedName name="_xlnm.Print_Area" localSheetId="7">'Percentage of Incrs'!$A$1:$H$24</definedName>
    <definedName name="_xlnm.Print_Area" localSheetId="4">RESTRICTED!$A$1:$M$82</definedName>
    <definedName name="_xlnm.Print_Area" localSheetId="12">'RS 00XX &amp; 1400'!$A$1:$R$183</definedName>
    <definedName name="_xlnm.Print_Area" localSheetId="10">'STRS &amp; PERS'!$A$1:$G$55</definedName>
    <definedName name="_xlnm.Print_Area" localSheetId="3">UNRESTRICTED!$A$1:$I$81</definedName>
    <definedName name="_xlnm.Print_Area" localSheetId="2">'UNRESTRICTED STRS Incrs Calc'!$A$1:$M$81</definedName>
    <definedName name="_xlnm.Print_Titles" localSheetId="18">'2016-17  RS 3010-DO &amp; All Sites'!$A:$B,'2016-17  RS 3010-DO &amp; All Sites'!$1:$2</definedName>
    <definedName name="_xlnm.Print_Titles" localSheetId="19">'2017-18  RS 3010-DO &amp; All Sites'!$A:$B,'2017-18  RS 3010-DO &amp; All Sites'!$1:$2</definedName>
    <definedName name="_xlnm.Print_Titles" localSheetId="5">COMBINED!$1:$2</definedName>
    <definedName name="_xlnm.Print_Titles" localSheetId="0">'MYP Assumptions'!$1:$4</definedName>
    <definedName name="_xlnm.Print_Titles" localSheetId="4">RESTRICTED!$A:$D</definedName>
    <definedName name="_xlnm.Print_Titles" localSheetId="3">UNRESTRICTED!$A:$D</definedName>
    <definedName name="_xlnm.Print_Titles" localSheetId="2">'UNRESTRICTED STRS Incrs Calc'!$A:$D</definedName>
  </definedNames>
  <calcPr calcId="145621"/>
</workbook>
</file>

<file path=xl/calcChain.xml><?xml version="1.0" encoding="utf-8"?>
<calcChain xmlns="http://schemas.openxmlformats.org/spreadsheetml/2006/main">
  <c r="G6" i="37" l="1"/>
  <c r="H6" i="37" s="1"/>
  <c r="G5" i="37"/>
  <c r="H5" i="37" s="1"/>
  <c r="G21" i="37"/>
  <c r="H21" i="37" s="1"/>
  <c r="G46" i="37"/>
  <c r="H46" i="37" s="1"/>
  <c r="G70" i="37"/>
  <c r="H70" i="37" s="1"/>
  <c r="G45" i="37"/>
  <c r="H45" i="37" s="1"/>
  <c r="E47" i="35" l="1"/>
  <c r="F47" i="35"/>
  <c r="G47" i="35"/>
  <c r="D47" i="35"/>
  <c r="D37" i="35"/>
  <c r="D40" i="35"/>
  <c r="D48" i="35" s="1"/>
  <c r="E21" i="35"/>
  <c r="F21" i="35"/>
  <c r="G21" i="35"/>
  <c r="D21" i="35"/>
  <c r="D11" i="35"/>
  <c r="L61" i="31" l="1"/>
  <c r="Q130" i="31"/>
  <c r="M130" i="31"/>
  <c r="P3" i="7"/>
  <c r="P2" i="7"/>
  <c r="L3" i="7"/>
  <c r="H3" i="7"/>
  <c r="H2" i="7"/>
  <c r="P3" i="9"/>
  <c r="L3" i="9"/>
  <c r="L9" i="6"/>
  <c r="L88" i="30"/>
  <c r="L84" i="30"/>
  <c r="L43" i="30"/>
  <c r="P28" i="30"/>
  <c r="Q28" i="30"/>
  <c r="Q27" i="30"/>
  <c r="M28" i="30"/>
  <c r="M27" i="30"/>
  <c r="K24" i="30"/>
  <c r="L24" i="30"/>
  <c r="P134" i="31"/>
  <c r="L134" i="31"/>
  <c r="P133" i="31"/>
  <c r="L129" i="31"/>
  <c r="Q61" i="31"/>
  <c r="J26" i="2"/>
  <c r="I26" i="2"/>
  <c r="H26" i="2"/>
  <c r="G26" i="2"/>
  <c r="F26" i="2"/>
  <c r="E26" i="2"/>
  <c r="F37" i="2" l="1"/>
  <c r="E37" i="2"/>
  <c r="D37" i="2"/>
  <c r="L163" i="31"/>
  <c r="L41" i="31"/>
  <c r="P41" i="31"/>
  <c r="P61" i="31" l="1"/>
  <c r="G9" i="27" l="1"/>
  <c r="H50" i="3"/>
  <c r="H49" i="3"/>
  <c r="H47" i="3"/>
  <c r="L90" i="30"/>
  <c r="H85" i="30"/>
  <c r="H83" i="30"/>
  <c r="L59" i="21"/>
  <c r="H75" i="31"/>
  <c r="H73" i="31"/>
  <c r="H101" i="31"/>
  <c r="H99" i="31"/>
  <c r="H120" i="31"/>
  <c r="H111" i="31"/>
  <c r="H89" i="31"/>
  <c r="H88" i="31"/>
  <c r="H86" i="31"/>
  <c r="H83" i="31"/>
  <c r="I22" i="31"/>
  <c r="Q30" i="7" l="1"/>
  <c r="I80" i="30" l="1"/>
  <c r="G74" i="42" l="1"/>
  <c r="H74" i="42" s="1"/>
  <c r="I74" i="42" s="1"/>
  <c r="J72" i="42"/>
  <c r="K72" i="42" s="1"/>
  <c r="L72" i="42" s="1"/>
  <c r="J71" i="42"/>
  <c r="K71" i="42" s="1"/>
  <c r="L71" i="42" s="1"/>
  <c r="K70" i="42"/>
  <c r="L70" i="42" s="1"/>
  <c r="J70" i="42"/>
  <c r="G70" i="42"/>
  <c r="G69" i="42"/>
  <c r="H69" i="42" s="1"/>
  <c r="F68" i="42"/>
  <c r="E68" i="42"/>
  <c r="I65" i="42"/>
  <c r="J65" i="42" s="1"/>
  <c r="H65" i="42"/>
  <c r="F65" i="42"/>
  <c r="Q54" i="42"/>
  <c r="R54" i="42" s="1"/>
  <c r="O54" i="42"/>
  <c r="P54" i="42" s="1"/>
  <c r="M54" i="42"/>
  <c r="N54" i="42" s="1"/>
  <c r="F53" i="42"/>
  <c r="F55" i="42" s="1"/>
  <c r="G49" i="42"/>
  <c r="M49" i="42" s="1"/>
  <c r="N49" i="42" s="1"/>
  <c r="F49" i="42"/>
  <c r="G48" i="42"/>
  <c r="F48" i="42"/>
  <c r="F46" i="42"/>
  <c r="F44" i="42"/>
  <c r="G40" i="42"/>
  <c r="G39" i="42"/>
  <c r="G37" i="42"/>
  <c r="G35" i="42"/>
  <c r="Q33" i="42"/>
  <c r="R33" i="42" s="1"/>
  <c r="O33" i="42"/>
  <c r="P33" i="42" s="1"/>
  <c r="M33" i="42"/>
  <c r="N33" i="42" s="1"/>
  <c r="V29" i="42"/>
  <c r="U29" i="42"/>
  <c r="G29" i="42"/>
  <c r="H29" i="42" s="1"/>
  <c r="D29" i="42"/>
  <c r="I21" i="42"/>
  <c r="Q21" i="42" s="1"/>
  <c r="R21" i="42" s="1"/>
  <c r="H21" i="42"/>
  <c r="O21" i="42" s="1"/>
  <c r="P21" i="42" s="1"/>
  <c r="G21" i="42"/>
  <c r="F21" i="42"/>
  <c r="M21" i="42" s="1"/>
  <c r="N21" i="42" s="1"/>
  <c r="E21" i="42"/>
  <c r="D21" i="42"/>
  <c r="G20" i="42"/>
  <c r="F20" i="42"/>
  <c r="M20" i="42" s="1"/>
  <c r="N20" i="42" s="1"/>
  <c r="E20" i="42"/>
  <c r="D20" i="42"/>
  <c r="F19" i="42"/>
  <c r="F22" i="42" s="1"/>
  <c r="E19" i="42"/>
  <c r="E55" i="42" s="1"/>
  <c r="D19" i="42"/>
  <c r="L18" i="42"/>
  <c r="K18" i="42"/>
  <c r="J18" i="42"/>
  <c r="Q17" i="42"/>
  <c r="R17" i="42" s="1"/>
  <c r="O17" i="42"/>
  <c r="P17" i="42" s="1"/>
  <c r="M17" i="42"/>
  <c r="N17" i="42" s="1"/>
  <c r="Q16" i="42"/>
  <c r="R16" i="42" s="1"/>
  <c r="O16" i="42"/>
  <c r="P16" i="42" s="1"/>
  <c r="M16" i="42"/>
  <c r="N16" i="42" s="1"/>
  <c r="I12" i="42"/>
  <c r="Q12" i="42" s="1"/>
  <c r="R12" i="42" s="1"/>
  <c r="H12" i="42"/>
  <c r="G12" i="42"/>
  <c r="F12" i="42"/>
  <c r="M12" i="42" s="1"/>
  <c r="N12" i="42" s="1"/>
  <c r="G11" i="42"/>
  <c r="I10" i="42"/>
  <c r="Q10" i="42" s="1"/>
  <c r="R10" i="42" s="1"/>
  <c r="H10" i="42"/>
  <c r="G10" i="42"/>
  <c r="F10" i="42"/>
  <c r="G9" i="42"/>
  <c r="M9" i="42" s="1"/>
  <c r="N9" i="42" s="1"/>
  <c r="F9" i="42"/>
  <c r="Q8" i="42"/>
  <c r="R8" i="42" s="1"/>
  <c r="O8" i="42"/>
  <c r="P8" i="42" s="1"/>
  <c r="N8" i="42"/>
  <c r="M8" i="42"/>
  <c r="I7" i="42"/>
  <c r="Q7" i="42" s="1"/>
  <c r="R7" i="42" s="1"/>
  <c r="H7" i="42"/>
  <c r="O7" i="42" s="1"/>
  <c r="P7" i="42" s="1"/>
  <c r="G7" i="42"/>
  <c r="F7" i="42"/>
  <c r="Q6" i="42"/>
  <c r="R6" i="42" s="1"/>
  <c r="O6" i="42"/>
  <c r="P6" i="42" s="1"/>
  <c r="N6" i="42"/>
  <c r="M6" i="42"/>
  <c r="K5" i="42"/>
  <c r="L5" i="42" s="1"/>
  <c r="G5" i="42"/>
  <c r="AA4" i="42" s="1"/>
  <c r="AA5" i="42" s="1"/>
  <c r="F5" i="42"/>
  <c r="L1" i="42"/>
  <c r="K1" i="42"/>
  <c r="J1" i="42"/>
  <c r="I1" i="42"/>
  <c r="X41" i="42" s="1"/>
  <c r="H1" i="42"/>
  <c r="W41" i="42" s="1"/>
  <c r="G1" i="42"/>
  <c r="V41" i="42" s="1"/>
  <c r="F1" i="42"/>
  <c r="U41" i="42" s="1"/>
  <c r="E1" i="42"/>
  <c r="O12" i="42" l="1"/>
  <c r="P12" i="42" s="1"/>
  <c r="M7" i="42"/>
  <c r="N7" i="42" s="1"/>
  <c r="O10" i="42"/>
  <c r="P10" i="42" s="1"/>
  <c r="M10" i="42"/>
  <c r="N10" i="42" s="1"/>
  <c r="G13" i="42"/>
  <c r="M5" i="42"/>
  <c r="N5" i="42" s="1"/>
  <c r="H68" i="42"/>
  <c r="I69" i="42"/>
  <c r="I29" i="42"/>
  <c r="Q29" i="42" s="1"/>
  <c r="R29" i="42" s="1"/>
  <c r="O29" i="42"/>
  <c r="P29" i="42" s="1"/>
  <c r="K65" i="42"/>
  <c r="M29" i="42"/>
  <c r="N29" i="42" s="1"/>
  <c r="M48" i="42"/>
  <c r="N48" i="42" s="1"/>
  <c r="G68" i="42"/>
  <c r="Q33" i="28"/>
  <c r="R33" i="28" s="1"/>
  <c r="O33" i="28"/>
  <c r="P33" i="28" s="1"/>
  <c r="M33" i="28"/>
  <c r="N33" i="28" s="1"/>
  <c r="Q56" i="27"/>
  <c r="R56" i="27" s="1"/>
  <c r="P56" i="27"/>
  <c r="O56" i="27"/>
  <c r="M56" i="27"/>
  <c r="N56" i="27" s="1"/>
  <c r="R55" i="27"/>
  <c r="Q55" i="27"/>
  <c r="O55" i="27"/>
  <c r="P55" i="27" s="1"/>
  <c r="N55" i="27"/>
  <c r="M55" i="27"/>
  <c r="Q54" i="27"/>
  <c r="R54" i="27" s="1"/>
  <c r="P54" i="27"/>
  <c r="O54" i="27"/>
  <c r="M54" i="27"/>
  <c r="N54" i="27" s="1"/>
  <c r="R53" i="27"/>
  <c r="Q53" i="27"/>
  <c r="O53" i="27"/>
  <c r="P53" i="27" s="1"/>
  <c r="N53" i="27"/>
  <c r="M53" i="27"/>
  <c r="Q46" i="27"/>
  <c r="R46" i="27" s="1"/>
  <c r="P46" i="27"/>
  <c r="O46" i="27"/>
  <c r="M46" i="27"/>
  <c r="N46" i="27" s="1"/>
  <c r="Q42" i="27"/>
  <c r="R42" i="27" s="1"/>
  <c r="P42" i="27"/>
  <c r="O42" i="27"/>
  <c r="M42" i="27"/>
  <c r="N42" i="27" s="1"/>
  <c r="R33" i="27"/>
  <c r="Q33" i="27"/>
  <c r="O33" i="27"/>
  <c r="P33" i="27" s="1"/>
  <c r="N33" i="27"/>
  <c r="M33" i="27"/>
  <c r="Q32" i="27"/>
  <c r="R32" i="27" s="1"/>
  <c r="P32" i="27"/>
  <c r="O32" i="27"/>
  <c r="M32" i="27"/>
  <c r="N32" i="27" s="1"/>
  <c r="R31" i="27"/>
  <c r="Q31" i="27"/>
  <c r="O31" i="27"/>
  <c r="P31" i="27" s="1"/>
  <c r="N31" i="27"/>
  <c r="M31" i="27"/>
  <c r="Q30" i="27"/>
  <c r="R30" i="27" s="1"/>
  <c r="P30" i="27"/>
  <c r="O30" i="27"/>
  <c r="M30" i="27"/>
  <c r="N30" i="27" s="1"/>
  <c r="R29" i="27"/>
  <c r="Q29" i="27"/>
  <c r="O29" i="27"/>
  <c r="P29" i="27" s="1"/>
  <c r="N29" i="27"/>
  <c r="M29" i="27"/>
  <c r="R17" i="27"/>
  <c r="Q17" i="27"/>
  <c r="O17" i="27"/>
  <c r="P17" i="27" s="1"/>
  <c r="Q16" i="27"/>
  <c r="R16" i="27" s="1"/>
  <c r="P16" i="27"/>
  <c r="O16" i="27"/>
  <c r="M16" i="27"/>
  <c r="N16" i="27" s="1"/>
  <c r="Q12" i="27"/>
  <c r="R12" i="27" s="1"/>
  <c r="P12" i="27"/>
  <c r="O12" i="27"/>
  <c r="M12" i="27"/>
  <c r="N12" i="27" s="1"/>
  <c r="Q10" i="27"/>
  <c r="R10" i="27" s="1"/>
  <c r="Q6" i="27"/>
  <c r="R6" i="27" s="1"/>
  <c r="P6" i="27"/>
  <c r="O6" i="27"/>
  <c r="M6" i="27"/>
  <c r="N6" i="27" s="1"/>
  <c r="Q54" i="26"/>
  <c r="R54" i="26" s="1"/>
  <c r="O54" i="26"/>
  <c r="P54" i="26" s="1"/>
  <c r="M54" i="26"/>
  <c r="N54" i="26" s="1"/>
  <c r="Q33" i="26"/>
  <c r="R33" i="26" s="1"/>
  <c r="O33" i="26"/>
  <c r="P33" i="26" s="1"/>
  <c r="M33" i="26"/>
  <c r="N33" i="26" s="1"/>
  <c r="Q17" i="26"/>
  <c r="R17" i="26" s="1"/>
  <c r="O17" i="26"/>
  <c r="P17" i="26" s="1"/>
  <c r="M17" i="26"/>
  <c r="N17" i="26" s="1"/>
  <c r="Q16" i="26"/>
  <c r="R16" i="26" s="1"/>
  <c r="O16" i="26"/>
  <c r="P16" i="26" s="1"/>
  <c r="M16" i="26"/>
  <c r="N16" i="26" s="1"/>
  <c r="R6" i="26"/>
  <c r="P6" i="26"/>
  <c r="N6" i="26"/>
  <c r="M6" i="26"/>
  <c r="Q6" i="26"/>
  <c r="Q8" i="26"/>
  <c r="R8" i="26" s="1"/>
  <c r="O8" i="26"/>
  <c r="P8" i="26" s="1"/>
  <c r="O6" i="26"/>
  <c r="U29" i="26"/>
  <c r="I68" i="42" l="1"/>
  <c r="J69" i="42"/>
  <c r="L65" i="42"/>
  <c r="G29" i="26"/>
  <c r="M29" i="26" s="1"/>
  <c r="N29" i="26" s="1"/>
  <c r="M8" i="26"/>
  <c r="N8" i="26" s="1"/>
  <c r="D29" i="26"/>
  <c r="H29" i="26" l="1"/>
  <c r="J68" i="42"/>
  <c r="K69" i="42"/>
  <c r="P10" i="31"/>
  <c r="I5" i="42" s="1"/>
  <c r="L10" i="31"/>
  <c r="H5" i="42" s="1"/>
  <c r="L115" i="31"/>
  <c r="P115" i="31" s="1"/>
  <c r="L123" i="31"/>
  <c r="P123" i="31" s="1"/>
  <c r="L79" i="31"/>
  <c r="P79" i="31" s="1"/>
  <c r="M76" i="31"/>
  <c r="M77" i="31"/>
  <c r="H74" i="31"/>
  <c r="H76" i="31"/>
  <c r="L76" i="31" s="1"/>
  <c r="H72" i="31"/>
  <c r="H71" i="31"/>
  <c r="G9" i="26"/>
  <c r="H98" i="31"/>
  <c r="I159" i="31"/>
  <c r="I157" i="31"/>
  <c r="H91" i="31"/>
  <c r="G42" i="42" s="1"/>
  <c r="H90" i="31"/>
  <c r="G41" i="42" s="1"/>
  <c r="H87" i="31"/>
  <c r="G38" i="42" s="1"/>
  <c r="H85" i="31"/>
  <c r="G36" i="42" s="1"/>
  <c r="L64" i="31"/>
  <c r="P64" i="31" s="1"/>
  <c r="Q46" i="31"/>
  <c r="M46" i="31"/>
  <c r="L63" i="31"/>
  <c r="P63" i="31" s="1"/>
  <c r="K147" i="31"/>
  <c r="D19" i="31"/>
  <c r="F11" i="42" s="1"/>
  <c r="P12" i="31"/>
  <c r="L12" i="31"/>
  <c r="G2" i="28"/>
  <c r="G2" i="27"/>
  <c r="H51" i="23"/>
  <c r="H37" i="23"/>
  <c r="H36" i="23"/>
  <c r="P60" i="20"/>
  <c r="I59" i="19"/>
  <c r="I60" i="19"/>
  <c r="I61" i="19"/>
  <c r="I62" i="19"/>
  <c r="I63" i="19"/>
  <c r="I64" i="19"/>
  <c r="I65" i="19"/>
  <c r="I72" i="19"/>
  <c r="I73" i="19"/>
  <c r="I74" i="19"/>
  <c r="I75" i="19"/>
  <c r="I76" i="19"/>
  <c r="I77" i="19"/>
  <c r="I78" i="19"/>
  <c r="I79" i="19"/>
  <c r="I80" i="19"/>
  <c r="I81" i="19"/>
  <c r="P21" i="11"/>
  <c r="L21" i="11"/>
  <c r="H50" i="11"/>
  <c r="H49" i="11"/>
  <c r="H47" i="11"/>
  <c r="P73" i="10"/>
  <c r="P72" i="10"/>
  <c r="P71" i="10"/>
  <c r="P70" i="10"/>
  <c r="L73" i="10"/>
  <c r="L72" i="10"/>
  <c r="L71" i="10"/>
  <c r="L70" i="10"/>
  <c r="P64" i="10"/>
  <c r="P63" i="10"/>
  <c r="P62" i="10"/>
  <c r="P61" i="10"/>
  <c r="P60" i="10"/>
  <c r="P59" i="10"/>
  <c r="L64" i="10"/>
  <c r="L63" i="10"/>
  <c r="L62" i="10"/>
  <c r="L61" i="10"/>
  <c r="L60" i="10"/>
  <c r="L59" i="10"/>
  <c r="P51" i="10"/>
  <c r="L51" i="10"/>
  <c r="O63" i="10"/>
  <c r="K63" i="10"/>
  <c r="G63" i="10"/>
  <c r="P3" i="6"/>
  <c r="P1" i="6"/>
  <c r="P4" i="6"/>
  <c r="P9" i="6"/>
  <c r="L3" i="6"/>
  <c r="P50" i="6"/>
  <c r="L10" i="6"/>
  <c r="L1" i="6"/>
  <c r="H9" i="6"/>
  <c r="M12" i="13"/>
  <c r="P61" i="13"/>
  <c r="L61" i="13"/>
  <c r="P39" i="13"/>
  <c r="L39" i="13"/>
  <c r="H61" i="13"/>
  <c r="H60" i="13"/>
  <c r="H59" i="13"/>
  <c r="H58" i="13"/>
  <c r="H57" i="13"/>
  <c r="H56" i="13"/>
  <c r="H55" i="13"/>
  <c r="H54" i="13"/>
  <c r="H43" i="13"/>
  <c r="K25" i="13"/>
  <c r="P39" i="12"/>
  <c r="L44" i="12"/>
  <c r="P2" i="9"/>
  <c r="L2" i="9"/>
  <c r="P1" i="9"/>
  <c r="L1" i="9"/>
  <c r="P10" i="7"/>
  <c r="P9" i="7"/>
  <c r="L9" i="7"/>
  <c r="P69" i="7"/>
  <c r="L51" i="7"/>
  <c r="L2" i="7"/>
  <c r="L10" i="7" s="1"/>
  <c r="P1" i="7"/>
  <c r="L1" i="7"/>
  <c r="Q13" i="7"/>
  <c r="M13" i="7"/>
  <c r="I13" i="7"/>
  <c r="P1" i="3"/>
  <c r="P10" i="3" s="1"/>
  <c r="P11" i="3"/>
  <c r="P2" i="3"/>
  <c r="L10" i="3"/>
  <c r="O69" i="3"/>
  <c r="M4" i="3"/>
  <c r="L1" i="3"/>
  <c r="P51" i="3"/>
  <c r="P60" i="3"/>
  <c r="P61" i="3"/>
  <c r="P63" i="3"/>
  <c r="P64" i="3"/>
  <c r="P65" i="3"/>
  <c r="P59" i="3"/>
  <c r="L39" i="3"/>
  <c r="L38" i="3"/>
  <c r="L37" i="3"/>
  <c r="L33" i="3"/>
  <c r="L26" i="3"/>
  <c r="K25" i="3"/>
  <c r="H48" i="3"/>
  <c r="L70" i="33"/>
  <c r="K70" i="33" s="1"/>
  <c r="G70" i="33"/>
  <c r="G30" i="33"/>
  <c r="G28" i="33"/>
  <c r="L29" i="33"/>
  <c r="O28" i="33"/>
  <c r="O30" i="33"/>
  <c r="K28" i="33"/>
  <c r="K29" i="33"/>
  <c r="K30" i="33"/>
  <c r="P82" i="32"/>
  <c r="O82" i="32" s="1"/>
  <c r="P55" i="32"/>
  <c r="P91" i="32"/>
  <c r="O91" i="32"/>
  <c r="K91" i="32"/>
  <c r="G91" i="32"/>
  <c r="L84" i="32"/>
  <c r="P84" i="32" s="1"/>
  <c r="O84" i="32" s="1"/>
  <c r="L82" i="32"/>
  <c r="O83" i="32"/>
  <c r="K82" i="32"/>
  <c r="K83" i="32"/>
  <c r="K84" i="32"/>
  <c r="K85" i="32"/>
  <c r="G82" i="32"/>
  <c r="G83" i="32"/>
  <c r="G84" i="32"/>
  <c r="K77" i="32"/>
  <c r="O77" i="32"/>
  <c r="G77" i="32"/>
  <c r="G78" i="32"/>
  <c r="H55" i="32"/>
  <c r="P43" i="32"/>
  <c r="L43" i="32"/>
  <c r="P40" i="32"/>
  <c r="L40" i="32"/>
  <c r="P39" i="32"/>
  <c r="L39" i="32"/>
  <c r="L38" i="32"/>
  <c r="K38" i="32" s="1"/>
  <c r="M38" i="32"/>
  <c r="Q38" i="32"/>
  <c r="P37" i="32"/>
  <c r="L37" i="32"/>
  <c r="K40" i="32"/>
  <c r="L33" i="30"/>
  <c r="L28" i="30"/>
  <c r="L27" i="30"/>
  <c r="H61" i="30"/>
  <c r="H60" i="30"/>
  <c r="H59" i="30"/>
  <c r="H58" i="30"/>
  <c r="H57" i="30"/>
  <c r="H54" i="30"/>
  <c r="P47" i="30"/>
  <c r="L47" i="30"/>
  <c r="P46" i="30"/>
  <c r="L46" i="30"/>
  <c r="L30" i="30"/>
  <c r="L29" i="30"/>
  <c r="P27" i="30"/>
  <c r="L25" i="30"/>
  <c r="Q24" i="30"/>
  <c r="M24" i="30"/>
  <c r="L23" i="30"/>
  <c r="L22" i="30"/>
  <c r="L21" i="30"/>
  <c r="G28" i="30"/>
  <c r="F13" i="42" l="1"/>
  <c r="M11" i="42"/>
  <c r="N11" i="42" s="1"/>
  <c r="L91" i="31"/>
  <c r="Q5" i="42"/>
  <c r="R5" i="42" s="1"/>
  <c r="O5" i="42"/>
  <c r="P5" i="42" s="1"/>
  <c r="AB4" i="42"/>
  <c r="AB5" i="42" s="1"/>
  <c r="AC4" i="42"/>
  <c r="AC5" i="42" s="1"/>
  <c r="I29" i="26"/>
  <c r="O29" i="26"/>
  <c r="P29" i="26" s="1"/>
  <c r="L69" i="42"/>
  <c r="L68" i="42" s="1"/>
  <c r="K68" i="42"/>
  <c r="P70" i="33"/>
  <c r="O70" i="33" s="1"/>
  <c r="K39" i="32"/>
  <c r="O39" i="32"/>
  <c r="P38" i="32"/>
  <c r="O38" i="32" s="1"/>
  <c r="O40" i="32"/>
  <c r="K28" i="30"/>
  <c r="O28" i="30"/>
  <c r="I60" i="2"/>
  <c r="J60" i="2" s="1"/>
  <c r="K60" i="2" s="1"/>
  <c r="H60" i="2"/>
  <c r="G60" i="2"/>
  <c r="F60" i="2"/>
  <c r="O63" i="31"/>
  <c r="O64" i="31"/>
  <c r="K53" i="31"/>
  <c r="K61" i="31"/>
  <c r="K62" i="31"/>
  <c r="K63" i="31"/>
  <c r="K64" i="31"/>
  <c r="G42" i="31"/>
  <c r="G43" i="31"/>
  <c r="G44" i="31"/>
  <c r="G45" i="31"/>
  <c r="G46" i="31"/>
  <c r="G47" i="31"/>
  <c r="G48" i="31"/>
  <c r="G49" i="31"/>
  <c r="G50" i="31"/>
  <c r="G51" i="31"/>
  <c r="G52" i="31"/>
  <c r="G53" i="31"/>
  <c r="G54" i="31"/>
  <c r="G55" i="31"/>
  <c r="G56" i="31"/>
  <c r="G57" i="31"/>
  <c r="G58" i="31"/>
  <c r="G59" i="31"/>
  <c r="G60" i="31"/>
  <c r="G61" i="31"/>
  <c r="G62" i="31"/>
  <c r="G63" i="31"/>
  <c r="G64" i="31"/>
  <c r="Q76" i="31"/>
  <c r="Q77" i="31"/>
  <c r="Q78" i="31"/>
  <c r="Q68" i="31"/>
  <c r="Q69" i="31"/>
  <c r="Q70" i="31"/>
  <c r="M69" i="31"/>
  <c r="L70" i="31"/>
  <c r="L74" i="31"/>
  <c r="L77" i="31"/>
  <c r="L78" i="31"/>
  <c r="K79" i="31"/>
  <c r="L68" i="31"/>
  <c r="I72" i="31"/>
  <c r="L71" i="31"/>
  <c r="L75" i="31"/>
  <c r="L73" i="31"/>
  <c r="L69" i="31"/>
  <c r="Q29" i="26" l="1"/>
  <c r="R29" i="26" s="1"/>
  <c r="I29" i="28"/>
  <c r="P91" i="31"/>
  <c r="I42" i="42" s="1"/>
  <c r="H42" i="42"/>
  <c r="O42" i="42" s="1"/>
  <c r="P42" i="42" s="1"/>
  <c r="F24" i="42"/>
  <c r="M13" i="42"/>
  <c r="N13" i="42" s="1"/>
  <c r="L72" i="31"/>
  <c r="O39" i="13"/>
  <c r="K39" i="13"/>
  <c r="O79" i="31"/>
  <c r="Q42" i="42" l="1"/>
  <c r="R42" i="42" s="1"/>
  <c r="I55" i="30"/>
  <c r="Q49" i="30"/>
  <c r="Q48" i="30"/>
  <c r="Q45" i="30"/>
  <c r="Q44" i="30"/>
  <c r="Q43" i="30"/>
  <c r="Q42" i="30"/>
  <c r="Q41" i="30"/>
  <c r="Q40" i="30"/>
  <c r="M49" i="30"/>
  <c r="M48" i="30"/>
  <c r="M45" i="30"/>
  <c r="M44" i="30"/>
  <c r="M43" i="30"/>
  <c r="M42" i="30"/>
  <c r="M41" i="30"/>
  <c r="L48" i="30"/>
  <c r="K48" i="30" s="1"/>
  <c r="O47" i="30"/>
  <c r="K46" i="30"/>
  <c r="L45" i="30"/>
  <c r="L44" i="30"/>
  <c r="O44" i="30" s="1"/>
  <c r="K43" i="30"/>
  <c r="L42" i="30"/>
  <c r="P42" i="30" s="1"/>
  <c r="L41" i="30"/>
  <c r="P41" i="30" s="1"/>
  <c r="K47" i="30"/>
  <c r="K42" i="30"/>
  <c r="K44" i="30"/>
  <c r="K45" i="30"/>
  <c r="G48" i="30"/>
  <c r="G47" i="30"/>
  <c r="G46" i="30"/>
  <c r="G45" i="30"/>
  <c r="G44" i="30"/>
  <c r="G43" i="30"/>
  <c r="G42" i="30"/>
  <c r="AE24" i="3"/>
  <c r="H3" i="3"/>
  <c r="AE30" i="3"/>
  <c r="AF21" i="3"/>
  <c r="AF17" i="3"/>
  <c r="AE20" i="3"/>
  <c r="AE22" i="3" s="1"/>
  <c r="AE15" i="3"/>
  <c r="AE17" i="3" s="1"/>
  <c r="E5" i="3"/>
  <c r="D5" i="3"/>
  <c r="AE13" i="3" s="1"/>
  <c r="AE16" i="3" s="1"/>
  <c r="AE21" i="3" s="1"/>
  <c r="E4" i="3"/>
  <c r="P48" i="30" l="1"/>
  <c r="P44" i="30"/>
  <c r="P45" i="30"/>
  <c r="O45" i="30" s="1"/>
  <c r="AE26" i="3"/>
  <c r="AE33" i="3" s="1"/>
  <c r="AE37" i="3"/>
  <c r="AE39" i="3" s="1"/>
  <c r="O42" i="30"/>
  <c r="O46" i="30"/>
  <c r="P43" i="30"/>
  <c r="O43" i="30" s="1"/>
  <c r="O48" i="30"/>
  <c r="G74" i="26" l="1"/>
  <c r="H74" i="26" s="1"/>
  <c r="F73" i="28"/>
  <c r="F74" i="28"/>
  <c r="U74" i="28" s="1"/>
  <c r="C73" i="28"/>
  <c r="C74" i="28"/>
  <c r="F68" i="26"/>
  <c r="G74" i="28" l="1"/>
  <c r="V74" i="28" s="1"/>
  <c r="I74" i="26"/>
  <c r="I74" i="28" s="1"/>
  <c r="X74" i="28" s="1"/>
  <c r="H74" i="28"/>
  <c r="W74" i="28" s="1"/>
  <c r="D44" i="37"/>
  <c r="D46" i="37"/>
  <c r="D45" i="37"/>
  <c r="D47" i="37" l="1"/>
  <c r="D48" i="37" s="1"/>
  <c r="E44" i="37" s="1"/>
  <c r="E47" i="37"/>
  <c r="F47" i="37"/>
  <c r="D42" i="37"/>
  <c r="E42" i="37"/>
  <c r="F42" i="37"/>
  <c r="G42" i="37"/>
  <c r="G34" i="37"/>
  <c r="F34" i="37"/>
  <c r="E34" i="37"/>
  <c r="D34" i="37"/>
  <c r="H43" i="37"/>
  <c r="F43" i="37"/>
  <c r="E43" i="37"/>
  <c r="D43" i="37"/>
  <c r="H75" i="37"/>
  <c r="F75" i="37"/>
  <c r="E75" i="37"/>
  <c r="D75" i="37"/>
  <c r="H67" i="37"/>
  <c r="F67" i="37"/>
  <c r="E67" i="37"/>
  <c r="D67" i="37"/>
  <c r="H59" i="37"/>
  <c r="F59" i="37"/>
  <c r="E59" i="37"/>
  <c r="D59" i="37"/>
  <c r="H51" i="37"/>
  <c r="F51" i="37"/>
  <c r="E51" i="37"/>
  <c r="D51" i="37"/>
  <c r="H35" i="37"/>
  <c r="F35" i="37"/>
  <c r="E35" i="37"/>
  <c r="D35" i="37"/>
  <c r="H27" i="37"/>
  <c r="F27" i="37"/>
  <c r="E27" i="37"/>
  <c r="D27" i="37"/>
  <c r="H19" i="37"/>
  <c r="F19" i="37"/>
  <c r="E19" i="37"/>
  <c r="D19" i="37"/>
  <c r="H11" i="37"/>
  <c r="G11" i="37"/>
  <c r="G19" i="37" s="1"/>
  <c r="G27" i="37" s="1"/>
  <c r="F11" i="37"/>
  <c r="E11" i="37"/>
  <c r="D11" i="37"/>
  <c r="D64" i="23"/>
  <c r="D51" i="23"/>
  <c r="D37" i="23"/>
  <c r="D36" i="23"/>
  <c r="D84" i="13"/>
  <c r="D61" i="13"/>
  <c r="D60" i="13"/>
  <c r="D59" i="13"/>
  <c r="D58" i="13"/>
  <c r="D57" i="13"/>
  <c r="D56" i="13"/>
  <c r="D55" i="13"/>
  <c r="D54" i="13"/>
  <c r="D48" i="13"/>
  <c r="D47" i="13"/>
  <c r="D43" i="13"/>
  <c r="I43" i="13" s="1"/>
  <c r="D11" i="13"/>
  <c r="D69" i="19"/>
  <c r="D21" i="19"/>
  <c r="D49" i="11"/>
  <c r="D47" i="11"/>
  <c r="O86" i="10"/>
  <c r="K86" i="10"/>
  <c r="G86" i="10"/>
  <c r="P4" i="9"/>
  <c r="L4" i="9"/>
  <c r="H4" i="9"/>
  <c r="P4" i="7"/>
  <c r="L4" i="7"/>
  <c r="H4" i="7"/>
  <c r="H9" i="7" s="1"/>
  <c r="L60" i="3"/>
  <c r="E48" i="37" l="1"/>
  <c r="G35" i="37"/>
  <c r="G51" i="37" s="1"/>
  <c r="G59" i="37" s="1"/>
  <c r="G67" i="37" s="1"/>
  <c r="G75" i="37" s="1"/>
  <c r="G43" i="37"/>
  <c r="D2" i="7"/>
  <c r="D4" i="7" s="1"/>
  <c r="E10" i="9"/>
  <c r="D2" i="9"/>
  <c r="D4" i="9" s="1"/>
  <c r="D10" i="9"/>
  <c r="D9" i="7" l="1"/>
  <c r="D9" i="9"/>
  <c r="L2" i="3"/>
  <c r="I4" i="3"/>
  <c r="D50" i="3"/>
  <c r="D49" i="3"/>
  <c r="D48" i="3"/>
  <c r="D47" i="3"/>
  <c r="D46" i="3"/>
  <c r="G29" i="3"/>
  <c r="D11" i="3"/>
  <c r="F65" i="26"/>
  <c r="E164" i="31"/>
  <c r="D120" i="31"/>
  <c r="D72" i="31"/>
  <c r="D71" i="31"/>
  <c r="D78" i="31"/>
  <c r="D76" i="31"/>
  <c r="D75" i="31"/>
  <c r="D74" i="31"/>
  <c r="D73" i="31"/>
  <c r="E72" i="31" l="1"/>
  <c r="G73" i="28"/>
  <c r="D111" i="31"/>
  <c r="D101" i="31"/>
  <c r="D99" i="31"/>
  <c r="D98" i="31"/>
  <c r="D91" i="31"/>
  <c r="F42" i="42" s="1"/>
  <c r="M42" i="42" s="1"/>
  <c r="N42" i="42" s="1"/>
  <c r="D90" i="31"/>
  <c r="F41" i="42" s="1"/>
  <c r="M41" i="42" s="1"/>
  <c r="N41" i="42" s="1"/>
  <c r="D89" i="31"/>
  <c r="F40" i="42" s="1"/>
  <c r="M40" i="42" s="1"/>
  <c r="N40" i="42" s="1"/>
  <c r="D88" i="31"/>
  <c r="F39" i="42" s="1"/>
  <c r="M39" i="42" s="1"/>
  <c r="N39" i="42" s="1"/>
  <c r="D87" i="31"/>
  <c r="F38" i="42" s="1"/>
  <c r="M38" i="42" s="1"/>
  <c r="N38" i="42" s="1"/>
  <c r="D86" i="31"/>
  <c r="F37" i="42" s="1"/>
  <c r="M37" i="42" s="1"/>
  <c r="N37" i="42" s="1"/>
  <c r="D85" i="31"/>
  <c r="F36" i="42" s="1"/>
  <c r="M36" i="42" s="1"/>
  <c r="N36" i="42" s="1"/>
  <c r="D84" i="31"/>
  <c r="F35" i="42" s="1"/>
  <c r="M35" i="42" s="1"/>
  <c r="N35" i="42" s="1"/>
  <c r="D83" i="31"/>
  <c r="F34" i="42" s="1"/>
  <c r="D70" i="31"/>
  <c r="D69" i="31"/>
  <c r="U42" i="42" l="1"/>
  <c r="H73" i="28"/>
  <c r="I73" i="28"/>
  <c r="D55" i="32"/>
  <c r="G38" i="32"/>
  <c r="G39" i="32"/>
  <c r="G40" i="32"/>
  <c r="G41" i="32"/>
  <c r="G94" i="30"/>
  <c r="D61" i="30"/>
  <c r="D60" i="30"/>
  <c r="D59" i="30"/>
  <c r="D58" i="30"/>
  <c r="D57" i="30"/>
  <c r="D56" i="30"/>
  <c r="D54" i="30"/>
  <c r="D52" i="34"/>
  <c r="D51" i="34"/>
  <c r="D49" i="34"/>
  <c r="D48" i="34"/>
  <c r="O61" i="31" l="1"/>
  <c r="D34" i="3"/>
  <c r="I7" i="26" l="1"/>
  <c r="I10" i="26"/>
  <c r="I12" i="26"/>
  <c r="F1" i="28" l="1"/>
  <c r="D4" i="41" l="1"/>
  <c r="D5" i="41" s="1"/>
  <c r="G4" i="41"/>
  <c r="G5" i="41" s="1"/>
  <c r="D8" i="41"/>
  <c r="D9" i="41" s="1"/>
  <c r="D10" i="41" s="1"/>
  <c r="E10" i="41" s="1"/>
  <c r="G8" i="41"/>
  <c r="G9" i="41" s="1"/>
  <c r="D12" i="41"/>
  <c r="G12" i="41"/>
  <c r="G16" i="41" s="1"/>
  <c r="D13" i="41"/>
  <c r="D14" i="41" s="1"/>
  <c r="D16" i="41"/>
  <c r="D17" i="41" s="1"/>
  <c r="D18" i="41" s="1"/>
  <c r="E18" i="41" s="1"/>
  <c r="D21" i="41"/>
  <c r="D22" i="41" s="1"/>
  <c r="G21" i="41"/>
  <c r="G22" i="41" s="1"/>
  <c r="E22" i="41" l="1"/>
  <c r="E14" i="41"/>
  <c r="H22" i="41"/>
  <c r="G10" i="41"/>
  <c r="H10" i="41" s="1"/>
  <c r="J23" i="41"/>
  <c r="J22" i="41" s="1"/>
  <c r="G13" i="41"/>
  <c r="G14" i="41" s="1"/>
  <c r="H14" i="41" s="1"/>
  <c r="J17" i="41"/>
  <c r="G17" i="41" l="1"/>
  <c r="G18" i="41" s="1"/>
  <c r="H18" i="41" s="1"/>
  <c r="D32" i="28" l="1"/>
  <c r="D31" i="28"/>
  <c r="D30" i="28"/>
  <c r="D29" i="28"/>
  <c r="V29" i="26"/>
  <c r="K5" i="26" l="1"/>
  <c r="L5" i="26" s="1"/>
  <c r="U63" i="28"/>
  <c r="V63" i="28"/>
  <c r="W63" i="28"/>
  <c r="X63" i="28"/>
  <c r="U64" i="28"/>
  <c r="V64" i="28"/>
  <c r="W64" i="28"/>
  <c r="X64" i="28"/>
  <c r="U73" i="28"/>
  <c r="V73" i="28"/>
  <c r="W73" i="28"/>
  <c r="X73" i="28"/>
  <c r="U51" i="28"/>
  <c r="V51" i="28"/>
  <c r="W51" i="28"/>
  <c r="X51" i="28"/>
  <c r="U52" i="28"/>
  <c r="V52" i="28"/>
  <c r="W52" i="28"/>
  <c r="X52" i="28"/>
  <c r="U56" i="28"/>
  <c r="V56" i="28"/>
  <c r="W56" i="28"/>
  <c r="X56" i="28"/>
  <c r="U58" i="28"/>
  <c r="V58" i="28"/>
  <c r="W58" i="28"/>
  <c r="X58" i="28"/>
  <c r="U33" i="28"/>
  <c r="V33" i="28"/>
  <c r="W33" i="28"/>
  <c r="X33" i="28"/>
  <c r="U25" i="28"/>
  <c r="V25" i="28"/>
  <c r="W25" i="28"/>
  <c r="X25" i="28"/>
  <c r="U26" i="28"/>
  <c r="V26" i="28"/>
  <c r="W26" i="28"/>
  <c r="X26" i="28"/>
  <c r="F18" i="28"/>
  <c r="G18" i="28"/>
  <c r="M18" i="28" s="1"/>
  <c r="N18" i="28" s="1"/>
  <c r="H18" i="28"/>
  <c r="O18" i="28" s="1"/>
  <c r="P18" i="28" s="1"/>
  <c r="I18" i="28"/>
  <c r="D20" i="28"/>
  <c r="D21" i="28"/>
  <c r="D19" i="28"/>
  <c r="U14" i="28"/>
  <c r="V14" i="28"/>
  <c r="W14" i="28"/>
  <c r="X14" i="28"/>
  <c r="U15" i="28"/>
  <c r="V15" i="28"/>
  <c r="W15" i="28"/>
  <c r="X15" i="28"/>
  <c r="F6" i="28"/>
  <c r="U6" i="28" s="1"/>
  <c r="G6" i="28"/>
  <c r="H6" i="28"/>
  <c r="I6" i="28"/>
  <c r="D6" i="28"/>
  <c r="Q18" i="28" l="1"/>
  <c r="R18" i="28" s="1"/>
  <c r="W6" i="28"/>
  <c r="O6" i="28"/>
  <c r="P6" i="28" s="1"/>
  <c r="X6" i="28"/>
  <c r="Q6" i="28"/>
  <c r="R6" i="28" s="1"/>
  <c r="V6" i="28"/>
  <c r="M6" i="28"/>
  <c r="N6" i="28" s="1"/>
  <c r="F5" i="26"/>
  <c r="G42" i="26" l="1"/>
  <c r="I12" i="13"/>
  <c r="Q12" i="13"/>
  <c r="G23" i="7"/>
  <c r="I16" i="9"/>
  <c r="L19" i="31"/>
  <c r="L70" i="21" l="1"/>
  <c r="O28" i="31"/>
  <c r="O27" i="31"/>
  <c r="K28" i="31"/>
  <c r="K27" i="31"/>
  <c r="G28" i="31"/>
  <c r="E62" i="2" l="1"/>
  <c r="F62" i="2"/>
  <c r="G62" i="2"/>
  <c r="H62" i="2"/>
  <c r="D62" i="2"/>
  <c r="H63" i="2" l="1"/>
  <c r="I63" i="2"/>
  <c r="J63" i="2"/>
  <c r="K63" i="2"/>
  <c r="G63" i="2"/>
  <c r="F63" i="2"/>
  <c r="E63" i="2"/>
  <c r="D63" i="2"/>
  <c r="P61" i="34" l="1"/>
  <c r="P70" i="21"/>
  <c r="L85" i="23" l="1"/>
  <c r="L86" i="23"/>
  <c r="O60" i="10"/>
  <c r="O61" i="10"/>
  <c r="O64" i="10"/>
  <c r="P2" i="6"/>
  <c r="L79" i="13"/>
  <c r="P79" i="13" s="1"/>
  <c r="L99" i="13"/>
  <c r="P99" i="13" s="1"/>
  <c r="L98" i="13"/>
  <c r="P98" i="13" s="1"/>
  <c r="L97" i="13"/>
  <c r="P97" i="13" s="1"/>
  <c r="O75" i="33"/>
  <c r="L92" i="32"/>
  <c r="L83" i="32"/>
  <c r="L81" i="32"/>
  <c r="L80" i="32"/>
  <c r="P89" i="32"/>
  <c r="P88" i="32"/>
  <c r="P87" i="32"/>
  <c r="P86" i="32"/>
  <c r="P85" i="32"/>
  <c r="P83" i="32"/>
  <c r="P79" i="32"/>
  <c r="P76" i="32"/>
  <c r="Q93" i="30"/>
  <c r="G93" i="30"/>
  <c r="K93" i="30"/>
  <c r="M93" i="30"/>
  <c r="L93" i="30" s="1"/>
  <c r="U93" i="30"/>
  <c r="Y93" i="30"/>
  <c r="AC93" i="30"/>
  <c r="P83" i="30"/>
  <c r="P84" i="30"/>
  <c r="P85" i="30"/>
  <c r="P86" i="30"/>
  <c r="P87" i="30"/>
  <c r="P88" i="30"/>
  <c r="P89" i="30"/>
  <c r="P90" i="30"/>
  <c r="P91" i="30"/>
  <c r="L82" i="30"/>
  <c r="P82" i="30" s="1"/>
  <c r="P70" i="30"/>
  <c r="O73" i="10" l="1"/>
  <c r="O72" i="10"/>
  <c r="O71" i="10"/>
  <c r="O62" i="10"/>
  <c r="O93" i="30"/>
  <c r="P93" i="30"/>
  <c r="L39" i="30"/>
  <c r="P39" i="30" s="1"/>
  <c r="L31" i="30"/>
  <c r="P31" i="30" s="1"/>
  <c r="L26" i="30"/>
  <c r="P26" i="30" s="1"/>
  <c r="P25" i="30"/>
  <c r="P74" i="34"/>
  <c r="L158" i="31"/>
  <c r="P158" i="31" s="1"/>
  <c r="L157" i="31"/>
  <c r="P146" i="31"/>
  <c r="P143" i="31"/>
  <c r="L145" i="31"/>
  <c r="P145" i="31" s="1"/>
  <c r="L144" i="31"/>
  <c r="P144" i="31" s="1"/>
  <c r="L143" i="31"/>
  <c r="L142" i="31"/>
  <c r="P142" i="31" s="1"/>
  <c r="L141" i="31"/>
  <c r="P141" i="31" s="1"/>
  <c r="L139" i="31"/>
  <c r="L140" i="31"/>
  <c r="P140" i="31" s="1"/>
  <c r="P139" i="31"/>
  <c r="P138" i="31"/>
  <c r="P136" i="31"/>
  <c r="P135" i="31"/>
  <c r="P132" i="31"/>
  <c r="P129" i="31"/>
  <c r="P111" i="31"/>
  <c r="H31" i="33"/>
  <c r="L27" i="33"/>
  <c r="K27" i="33" s="1"/>
  <c r="P30" i="33"/>
  <c r="L56" i="31"/>
  <c r="P56" i="31" s="1"/>
  <c r="L45" i="31"/>
  <c r="L23" i="31"/>
  <c r="P23" i="31" s="1"/>
  <c r="L21" i="31"/>
  <c r="P21" i="31" s="1"/>
  <c r="L20" i="31"/>
  <c r="P20" i="31" s="1"/>
  <c r="P19" i="31"/>
  <c r="L18" i="31"/>
  <c r="P18" i="31" s="1"/>
  <c r="L14" i="31"/>
  <c r="P14" i="31" l="1"/>
  <c r="P157" i="31"/>
  <c r="O56" i="31"/>
  <c r="K56" i="31"/>
  <c r="K45" i="31"/>
  <c r="P27" i="33"/>
  <c r="P28" i="33"/>
  <c r="S93" i="30"/>
  <c r="T93" i="30"/>
  <c r="L31" i="33"/>
  <c r="M31" i="33" s="1"/>
  <c r="P29" i="33"/>
  <c r="O29" i="33" s="1"/>
  <c r="O23" i="31"/>
  <c r="O21" i="31"/>
  <c r="O20" i="31"/>
  <c r="O19" i="31"/>
  <c r="W93" i="30" l="1"/>
  <c r="X93" i="30"/>
  <c r="AA93" i="30" l="1"/>
  <c r="AB93" i="30"/>
  <c r="D36" i="2" l="1"/>
  <c r="G48" i="26" l="1"/>
  <c r="G38" i="26"/>
  <c r="G36" i="26"/>
  <c r="G35" i="26"/>
  <c r="L161" i="31"/>
  <c r="H92" i="31"/>
  <c r="G79" i="31"/>
  <c r="L54" i="31"/>
  <c r="P54" i="31" s="1"/>
  <c r="L60" i="31"/>
  <c r="L48" i="31"/>
  <c r="P48" i="31" s="1"/>
  <c r="L47" i="31"/>
  <c r="L55" i="31"/>
  <c r="G11" i="26"/>
  <c r="K161" i="31" l="1"/>
  <c r="M157" i="31"/>
  <c r="H48" i="42"/>
  <c r="O48" i="42" s="1"/>
  <c r="P48" i="42" s="1"/>
  <c r="P161" i="31"/>
  <c r="O48" i="31"/>
  <c r="K48" i="31"/>
  <c r="O54" i="31"/>
  <c r="K54" i="31"/>
  <c r="P55" i="31"/>
  <c r="O55" i="31"/>
  <c r="K55" i="31"/>
  <c r="K47" i="31"/>
  <c r="K60" i="31"/>
  <c r="P47" i="31"/>
  <c r="O47" i="31" s="1"/>
  <c r="P60" i="31"/>
  <c r="O60" i="31" s="1"/>
  <c r="E7" i="22"/>
  <c r="D13" i="22"/>
  <c r="D12" i="22"/>
  <c r="D7" i="22"/>
  <c r="O161" i="31" l="1"/>
  <c r="I48" i="42"/>
  <c r="Q157" i="31"/>
  <c r="L35" i="34"/>
  <c r="P35" i="34" s="1"/>
  <c r="L21" i="34"/>
  <c r="P21" i="34" s="1"/>
  <c r="H52" i="34"/>
  <c r="H49" i="34"/>
  <c r="J48" i="42" l="1"/>
  <c r="K48" i="42" s="1"/>
  <c r="L48" i="42" s="1"/>
  <c r="Q48" i="42"/>
  <c r="R48" i="42" s="1"/>
  <c r="H59" i="33"/>
  <c r="H39" i="33" l="1"/>
  <c r="G39" i="26" s="1"/>
  <c r="H40" i="33"/>
  <c r="G40" i="26" s="1"/>
  <c r="H41" i="33"/>
  <c r="H37" i="33"/>
  <c r="G37" i="26" s="1"/>
  <c r="L34" i="3"/>
  <c r="P34" i="3" s="1"/>
  <c r="M25" i="3"/>
  <c r="M27" i="3"/>
  <c r="M28" i="3"/>
  <c r="P29" i="3"/>
  <c r="L2" i="6"/>
  <c r="P9" i="9"/>
  <c r="L9" i="9"/>
  <c r="I45" i="11"/>
  <c r="P49" i="13"/>
  <c r="L49" i="13"/>
  <c r="P82" i="13"/>
  <c r="P83" i="13"/>
  <c r="P84" i="13"/>
  <c r="P85" i="13"/>
  <c r="P87" i="13"/>
  <c r="P88" i="13"/>
  <c r="P89" i="13"/>
  <c r="P90" i="13"/>
  <c r="P91" i="13"/>
  <c r="P92" i="13"/>
  <c r="P81" i="13"/>
  <c r="P80" i="13"/>
  <c r="P35" i="13" l="1"/>
  <c r="L35" i="13"/>
  <c r="L32" i="13"/>
  <c r="P32" i="13" s="1"/>
  <c r="Q25" i="13"/>
  <c r="Q26" i="13"/>
  <c r="Q27" i="13"/>
  <c r="Q28" i="13"/>
  <c r="Q29" i="13"/>
  <c r="Q30" i="13"/>
  <c r="Q31" i="13"/>
  <c r="Q33" i="13"/>
  <c r="Q34" i="13"/>
  <c r="Q36" i="13"/>
  <c r="Q37" i="13"/>
  <c r="Q24" i="13"/>
  <c r="G62" i="13"/>
  <c r="G49" i="13"/>
  <c r="G46" i="13"/>
  <c r="G45" i="13"/>
  <c r="G44" i="13"/>
  <c r="G38" i="13"/>
  <c r="G37" i="13"/>
  <c r="G36" i="13"/>
  <c r="G35" i="13"/>
  <c r="G34" i="13"/>
  <c r="G33" i="13"/>
  <c r="G32" i="13"/>
  <c r="G31" i="13"/>
  <c r="G30" i="13"/>
  <c r="G29" i="13"/>
  <c r="G28" i="13"/>
  <c r="G27" i="13"/>
  <c r="G26" i="13"/>
  <c r="G25" i="13"/>
  <c r="G24" i="13"/>
  <c r="K38" i="13"/>
  <c r="K24" i="13"/>
  <c r="L25" i="13"/>
  <c r="P25" i="13" s="1"/>
  <c r="O25" i="13" s="1"/>
  <c r="M25" i="13"/>
  <c r="L26" i="13"/>
  <c r="P26" i="13" s="1"/>
  <c r="O26" i="13" s="1"/>
  <c r="M26" i="13"/>
  <c r="L27" i="13"/>
  <c r="K27" i="13" s="1"/>
  <c r="M27" i="13"/>
  <c r="L28" i="13"/>
  <c r="P28" i="13" s="1"/>
  <c r="M28" i="13"/>
  <c r="L29" i="13"/>
  <c r="K29" i="13" s="1"/>
  <c r="M29" i="13"/>
  <c r="L30" i="13"/>
  <c r="P30" i="13" s="1"/>
  <c r="O30" i="13" s="1"/>
  <c r="M30" i="13"/>
  <c r="L31" i="13"/>
  <c r="K31" i="13" s="1"/>
  <c r="M31" i="13"/>
  <c r="L33" i="13"/>
  <c r="P33" i="13" s="1"/>
  <c r="O33" i="13" s="1"/>
  <c r="M33" i="13"/>
  <c r="L34" i="13"/>
  <c r="P34" i="13" s="1"/>
  <c r="O34" i="13" s="1"/>
  <c r="M34" i="13"/>
  <c r="L36" i="13"/>
  <c r="P36" i="13" s="1"/>
  <c r="M36" i="13"/>
  <c r="L37" i="13"/>
  <c r="K37" i="13" s="1"/>
  <c r="M37" i="13"/>
  <c r="L38" i="13"/>
  <c r="O38" i="13" s="1"/>
  <c r="M24" i="13"/>
  <c r="L24" i="13"/>
  <c r="P24" i="13" s="1"/>
  <c r="P76" i="23"/>
  <c r="P77" i="23"/>
  <c r="P80" i="23"/>
  <c r="P81" i="23"/>
  <c r="P84" i="23"/>
  <c r="L62" i="23"/>
  <c r="L63" i="23"/>
  <c r="AC81" i="40"/>
  <c r="Y81" i="40"/>
  <c r="U81" i="40"/>
  <c r="Q81" i="40"/>
  <c r="M81" i="40"/>
  <c r="I81" i="40"/>
  <c r="AC80" i="40"/>
  <c r="Y80" i="40"/>
  <c r="U80" i="40"/>
  <c r="Q80" i="40"/>
  <c r="M80" i="40"/>
  <c r="I80" i="40"/>
  <c r="H80" i="40" s="1"/>
  <c r="G80" i="40"/>
  <c r="AC79" i="40"/>
  <c r="Y79" i="40"/>
  <c r="U79" i="40"/>
  <c r="Q79" i="40"/>
  <c r="M79" i="40"/>
  <c r="I79" i="40"/>
  <c r="H79" i="40" s="1"/>
  <c r="G79" i="40"/>
  <c r="AC78" i="40"/>
  <c r="Y78" i="40"/>
  <c r="U78" i="40"/>
  <c r="Q78" i="40"/>
  <c r="M78" i="40"/>
  <c r="I78" i="40"/>
  <c r="H78" i="40" s="1"/>
  <c r="G78" i="40"/>
  <c r="AC77" i="40"/>
  <c r="Y77" i="40"/>
  <c r="U77" i="40"/>
  <c r="Q77" i="40"/>
  <c r="M77" i="40"/>
  <c r="I77" i="40"/>
  <c r="H77" i="40" s="1"/>
  <c r="G77" i="40"/>
  <c r="AC76" i="40"/>
  <c r="Y76" i="40"/>
  <c r="U76" i="40"/>
  <c r="Q76" i="40"/>
  <c r="M76" i="40"/>
  <c r="I76" i="40"/>
  <c r="H76" i="40" s="1"/>
  <c r="G76" i="40"/>
  <c r="AC75" i="40"/>
  <c r="Y75" i="40"/>
  <c r="U75" i="40"/>
  <c r="Q75" i="40"/>
  <c r="M75" i="40"/>
  <c r="I75" i="40"/>
  <c r="H75" i="40" s="1"/>
  <c r="G75" i="40"/>
  <c r="AC74" i="40"/>
  <c r="Y74" i="40"/>
  <c r="U74" i="40"/>
  <c r="Q74" i="40"/>
  <c r="M74" i="40"/>
  <c r="I74" i="40"/>
  <c r="H74" i="40" s="1"/>
  <c r="G74" i="40"/>
  <c r="AC73" i="40"/>
  <c r="Y73" i="40"/>
  <c r="U73" i="40"/>
  <c r="Q73" i="40"/>
  <c r="M73" i="40"/>
  <c r="I73" i="40"/>
  <c r="H73" i="40" s="1"/>
  <c r="G73" i="40"/>
  <c r="AC72" i="40"/>
  <c r="Y72" i="40"/>
  <c r="U72" i="40"/>
  <c r="Q72" i="40"/>
  <c r="M72" i="40"/>
  <c r="I72" i="40"/>
  <c r="H72" i="40" s="1"/>
  <c r="G72" i="40"/>
  <c r="AC71" i="40"/>
  <c r="Y71" i="40"/>
  <c r="U71" i="40"/>
  <c r="Q71" i="40"/>
  <c r="M71" i="40"/>
  <c r="I71" i="40"/>
  <c r="H71" i="40" s="1"/>
  <c r="G71" i="40"/>
  <c r="AC70" i="40"/>
  <c r="Y70" i="40"/>
  <c r="U70" i="40"/>
  <c r="Q70" i="40"/>
  <c r="M70" i="40"/>
  <c r="I70" i="40"/>
  <c r="H70" i="40" s="1"/>
  <c r="G70" i="40"/>
  <c r="AC69" i="40"/>
  <c r="Y69" i="40"/>
  <c r="H69" i="40"/>
  <c r="K69" i="40" s="1"/>
  <c r="G69" i="40"/>
  <c r="D66" i="40"/>
  <c r="G66" i="40" s="1"/>
  <c r="AC65" i="40"/>
  <c r="Y65" i="40"/>
  <c r="U65" i="40"/>
  <c r="Q65" i="40"/>
  <c r="M65" i="40"/>
  <c r="I65" i="40"/>
  <c r="H65" i="40" s="1"/>
  <c r="K65" i="40" s="1"/>
  <c r="G65" i="40"/>
  <c r="AC64" i="40"/>
  <c r="Y64" i="40"/>
  <c r="U64" i="40"/>
  <c r="Q64" i="40"/>
  <c r="M64" i="40"/>
  <c r="I64" i="40"/>
  <c r="H64" i="40" s="1"/>
  <c r="G64" i="40"/>
  <c r="AC63" i="40"/>
  <c r="Y63" i="40"/>
  <c r="U63" i="40"/>
  <c r="Q63" i="40"/>
  <c r="M63" i="40"/>
  <c r="I63" i="40"/>
  <c r="H63" i="40" s="1"/>
  <c r="K63" i="40" s="1"/>
  <c r="G63" i="40"/>
  <c r="AC62" i="40"/>
  <c r="Y62" i="40"/>
  <c r="U62" i="40"/>
  <c r="Q62" i="40"/>
  <c r="M62" i="40"/>
  <c r="I62" i="40"/>
  <c r="H62" i="40" s="1"/>
  <c r="G62" i="40"/>
  <c r="AC61" i="40"/>
  <c r="Y61" i="40"/>
  <c r="U61" i="40"/>
  <c r="Q61" i="40"/>
  <c r="M61" i="40"/>
  <c r="I61" i="40"/>
  <c r="H61" i="40" s="1"/>
  <c r="K61" i="40" s="1"/>
  <c r="G61" i="40"/>
  <c r="AC60" i="40"/>
  <c r="Y60" i="40"/>
  <c r="U60" i="40"/>
  <c r="Q60" i="40"/>
  <c r="M60" i="40"/>
  <c r="I60" i="40"/>
  <c r="H60" i="40" s="1"/>
  <c r="G60" i="40"/>
  <c r="AC59" i="40"/>
  <c r="Y59" i="40"/>
  <c r="W59" i="40"/>
  <c r="T59" i="40"/>
  <c r="P59" i="40"/>
  <c r="O59" i="40"/>
  <c r="K59" i="40"/>
  <c r="G59" i="40"/>
  <c r="D53" i="40"/>
  <c r="G53" i="40" s="1"/>
  <c r="L52" i="40"/>
  <c r="O52" i="40" s="1"/>
  <c r="K52" i="40"/>
  <c r="H52" i="40"/>
  <c r="G52" i="40"/>
  <c r="L51" i="40"/>
  <c r="O51" i="40" s="1"/>
  <c r="K51" i="40"/>
  <c r="H51" i="40"/>
  <c r="G51" i="40"/>
  <c r="AC50" i="40"/>
  <c r="Y50" i="40"/>
  <c r="U50" i="40"/>
  <c r="Q50" i="40"/>
  <c r="M50" i="40"/>
  <c r="I50" i="40"/>
  <c r="G50" i="40"/>
  <c r="E50" i="40"/>
  <c r="AC49" i="40"/>
  <c r="Y49" i="40"/>
  <c r="U49" i="40"/>
  <c r="Q49" i="40"/>
  <c r="M49" i="40"/>
  <c r="I49" i="40"/>
  <c r="G49" i="40"/>
  <c r="E49" i="40"/>
  <c r="AC48" i="40"/>
  <c r="Y48" i="40"/>
  <c r="U48" i="40"/>
  <c r="Q48" i="40"/>
  <c r="M48" i="40"/>
  <c r="I48" i="40"/>
  <c r="H48" i="40" s="1"/>
  <c r="G48" i="40"/>
  <c r="AC47" i="40"/>
  <c r="Y47" i="40"/>
  <c r="U47" i="40"/>
  <c r="Q47" i="40"/>
  <c r="M47" i="40"/>
  <c r="I47" i="40"/>
  <c r="G47" i="40"/>
  <c r="E47" i="40"/>
  <c r="AC46" i="40"/>
  <c r="Y46" i="40"/>
  <c r="U46" i="40"/>
  <c r="Q46" i="40"/>
  <c r="M46" i="40"/>
  <c r="I46" i="40"/>
  <c r="G46" i="40"/>
  <c r="E46" i="40"/>
  <c r="AC45" i="40"/>
  <c r="Y45" i="40"/>
  <c r="U45" i="40"/>
  <c r="Q45" i="40"/>
  <c r="M45" i="40"/>
  <c r="I45" i="40"/>
  <c r="G45" i="40"/>
  <c r="E45" i="40"/>
  <c r="U44" i="40"/>
  <c r="Q44" i="40"/>
  <c r="M44" i="40"/>
  <c r="I44" i="40"/>
  <c r="G44" i="40"/>
  <c r="E44" i="40"/>
  <c r="D41" i="40"/>
  <c r="AC39" i="40"/>
  <c r="Y39" i="40"/>
  <c r="U39" i="40"/>
  <c r="Q39" i="40"/>
  <c r="M39" i="40"/>
  <c r="I39" i="40"/>
  <c r="H39" i="40"/>
  <c r="K39" i="40" s="1"/>
  <c r="G39" i="40"/>
  <c r="AC38" i="40"/>
  <c r="Y38" i="40"/>
  <c r="U38" i="40"/>
  <c r="Q38" i="40"/>
  <c r="M38" i="40"/>
  <c r="I38" i="40"/>
  <c r="H38" i="40"/>
  <c r="K38" i="40" s="1"/>
  <c r="G38" i="40"/>
  <c r="AC37" i="40"/>
  <c r="Y37" i="40"/>
  <c r="U37" i="40"/>
  <c r="Q37" i="40"/>
  <c r="M37" i="40"/>
  <c r="I37" i="40"/>
  <c r="H37" i="40"/>
  <c r="K37" i="40" s="1"/>
  <c r="G37" i="40"/>
  <c r="AC36" i="40"/>
  <c r="Y36" i="40"/>
  <c r="U36" i="40"/>
  <c r="Q36" i="40"/>
  <c r="M36" i="40"/>
  <c r="L36" i="40"/>
  <c r="P36" i="40" s="1"/>
  <c r="I36" i="40"/>
  <c r="H36" i="40"/>
  <c r="K36" i="40" s="1"/>
  <c r="G36" i="40"/>
  <c r="AC35" i="40"/>
  <c r="Y35" i="40"/>
  <c r="U35" i="40"/>
  <c r="Q35" i="40"/>
  <c r="M35" i="40"/>
  <c r="I35" i="40"/>
  <c r="H35" i="40"/>
  <c r="K35" i="40" s="1"/>
  <c r="G35" i="40"/>
  <c r="AC34" i="40"/>
  <c r="Y34" i="40"/>
  <c r="U34" i="40"/>
  <c r="Q34" i="40"/>
  <c r="M34" i="40"/>
  <c r="L34" i="40"/>
  <c r="P34" i="40" s="1"/>
  <c r="I34" i="40"/>
  <c r="H34" i="40"/>
  <c r="K34" i="40" s="1"/>
  <c r="G34" i="40"/>
  <c r="AC33" i="40"/>
  <c r="Y33" i="40"/>
  <c r="U33" i="40"/>
  <c r="Q33" i="40"/>
  <c r="M33" i="40"/>
  <c r="I33" i="40"/>
  <c r="H33" i="40"/>
  <c r="K33" i="40" s="1"/>
  <c r="G33" i="40"/>
  <c r="D30" i="40"/>
  <c r="G30" i="40" s="1"/>
  <c r="AC28" i="40"/>
  <c r="Y28" i="40"/>
  <c r="U28" i="40"/>
  <c r="Q28" i="40"/>
  <c r="M28" i="40"/>
  <c r="I28" i="40"/>
  <c r="H28" i="40"/>
  <c r="L28" i="40" s="1"/>
  <c r="G28" i="40"/>
  <c r="AC27" i="40"/>
  <c r="Y27" i="40"/>
  <c r="U27" i="40"/>
  <c r="Q27" i="40"/>
  <c r="M27" i="40"/>
  <c r="L27" i="40"/>
  <c r="O27" i="40" s="1"/>
  <c r="K27" i="40"/>
  <c r="I27" i="40"/>
  <c r="H27" i="40"/>
  <c r="G27" i="40"/>
  <c r="AC26" i="40"/>
  <c r="Y26" i="40"/>
  <c r="U26" i="40"/>
  <c r="Q26" i="40"/>
  <c r="M26" i="40"/>
  <c r="I26" i="40"/>
  <c r="H26" i="40"/>
  <c r="L26" i="40" s="1"/>
  <c r="G26" i="40"/>
  <c r="AC25" i="40"/>
  <c r="Y25" i="40"/>
  <c r="U25" i="40"/>
  <c r="Q25" i="40"/>
  <c r="P25" i="40"/>
  <c r="T25" i="40" s="1"/>
  <c r="M25" i="40"/>
  <c r="L25" i="40"/>
  <c r="O25" i="40" s="1"/>
  <c r="K25" i="40"/>
  <c r="I25" i="40"/>
  <c r="H25" i="40"/>
  <c r="G25" i="40"/>
  <c r="AC24" i="40"/>
  <c r="Y24" i="40"/>
  <c r="U24" i="40"/>
  <c r="Q24" i="40"/>
  <c r="M24" i="40"/>
  <c r="I24" i="40"/>
  <c r="H24" i="40"/>
  <c r="G24" i="40"/>
  <c r="AC23" i="40"/>
  <c r="Y23" i="40"/>
  <c r="U23" i="40"/>
  <c r="Q23" i="40"/>
  <c r="M23" i="40"/>
  <c r="K23" i="40"/>
  <c r="I23" i="40"/>
  <c r="H23" i="40"/>
  <c r="L23" i="40" s="1"/>
  <c r="G23" i="40"/>
  <c r="AC22" i="40"/>
  <c r="Y22" i="40"/>
  <c r="U22" i="40"/>
  <c r="Q22" i="40"/>
  <c r="M22" i="40"/>
  <c r="I22" i="40"/>
  <c r="H22" i="40"/>
  <c r="G22" i="40"/>
  <c r="AC21" i="40"/>
  <c r="Y21" i="40"/>
  <c r="U21" i="40"/>
  <c r="Q21" i="40"/>
  <c r="M21" i="40"/>
  <c r="K21" i="40"/>
  <c r="I21" i="40"/>
  <c r="H21" i="40"/>
  <c r="L21" i="40" s="1"/>
  <c r="G21" i="40"/>
  <c r="H11" i="40"/>
  <c r="G11" i="40"/>
  <c r="D11" i="40"/>
  <c r="D13" i="40" s="1"/>
  <c r="AB10" i="40"/>
  <c r="X10" i="40"/>
  <c r="AA10" i="40" s="1"/>
  <c r="T10" i="40"/>
  <c r="W10" i="40" s="1"/>
  <c r="P10" i="40"/>
  <c r="S10" i="40" s="1"/>
  <c r="L10" i="40"/>
  <c r="L11" i="40" s="1"/>
  <c r="K10" i="40"/>
  <c r="G10" i="40"/>
  <c r="P9" i="40"/>
  <c r="O9" i="40"/>
  <c r="K9" i="40"/>
  <c r="G9" i="40"/>
  <c r="H6" i="40"/>
  <c r="L6" i="40" s="1"/>
  <c r="P6" i="40" s="1"/>
  <c r="T6" i="40" s="1"/>
  <c r="X6" i="40" s="1"/>
  <c r="AB6" i="40" s="1"/>
  <c r="AB3" i="40"/>
  <c r="AB9" i="40" s="1"/>
  <c r="AB11" i="40" s="1"/>
  <c r="X3" i="40"/>
  <c r="X9" i="40" s="1"/>
  <c r="T3" i="40"/>
  <c r="G93" i="25"/>
  <c r="G92" i="25"/>
  <c r="G91" i="25"/>
  <c r="G90" i="25"/>
  <c r="G89" i="25"/>
  <c r="G88" i="25"/>
  <c r="G87" i="25"/>
  <c r="G86" i="25"/>
  <c r="G85" i="25"/>
  <c r="AC81" i="39"/>
  <c r="Y81" i="39"/>
  <c r="U81" i="39"/>
  <c r="Q81" i="39"/>
  <c r="M81" i="39"/>
  <c r="I81" i="39"/>
  <c r="AC80" i="39"/>
  <c r="Y80" i="39"/>
  <c r="U80" i="39"/>
  <c r="Q80" i="39"/>
  <c r="M80" i="39"/>
  <c r="I80" i="39"/>
  <c r="H80" i="39" s="1"/>
  <c r="G80" i="39"/>
  <c r="AC79" i="39"/>
  <c r="Y79" i="39"/>
  <c r="U79" i="39"/>
  <c r="Q79" i="39"/>
  <c r="M79" i="39"/>
  <c r="I79" i="39"/>
  <c r="H79" i="39" s="1"/>
  <c r="G79" i="39"/>
  <c r="AC78" i="39"/>
  <c r="Y78" i="39"/>
  <c r="U78" i="39"/>
  <c r="Q78" i="39"/>
  <c r="M78" i="39"/>
  <c r="I78" i="39"/>
  <c r="H78" i="39" s="1"/>
  <c r="G78" i="39"/>
  <c r="AC77" i="39"/>
  <c r="Y77" i="39"/>
  <c r="U77" i="39"/>
  <c r="Q77" i="39"/>
  <c r="M77" i="39"/>
  <c r="I77" i="39"/>
  <c r="H77" i="39" s="1"/>
  <c r="G77" i="39"/>
  <c r="AC76" i="39"/>
  <c r="Y76" i="39"/>
  <c r="U76" i="39"/>
  <c r="Q76" i="39"/>
  <c r="M76" i="39"/>
  <c r="I76" i="39"/>
  <c r="H76" i="39" s="1"/>
  <c r="G76" i="39"/>
  <c r="AC75" i="39"/>
  <c r="Y75" i="39"/>
  <c r="U75" i="39"/>
  <c r="Q75" i="39"/>
  <c r="M75" i="39"/>
  <c r="I75" i="39"/>
  <c r="H75" i="39" s="1"/>
  <c r="G75" i="39"/>
  <c r="AC74" i="39"/>
  <c r="Y74" i="39"/>
  <c r="U74" i="39"/>
  <c r="Q74" i="39"/>
  <c r="M74" i="39"/>
  <c r="I74" i="39"/>
  <c r="H74" i="39" s="1"/>
  <c r="G74" i="39"/>
  <c r="AC73" i="39"/>
  <c r="Y73" i="39"/>
  <c r="U73" i="39"/>
  <c r="Q73" i="39"/>
  <c r="M73" i="39"/>
  <c r="I73" i="39"/>
  <c r="H73" i="39" s="1"/>
  <c r="G73" i="39"/>
  <c r="AC72" i="39"/>
  <c r="Y72" i="39"/>
  <c r="U72" i="39"/>
  <c r="Q72" i="39"/>
  <c r="M72" i="39"/>
  <c r="I72" i="39"/>
  <c r="H72" i="39" s="1"/>
  <c r="G72" i="39"/>
  <c r="AC71" i="39"/>
  <c r="Y71" i="39"/>
  <c r="U71" i="39"/>
  <c r="Q71" i="39"/>
  <c r="M71" i="39"/>
  <c r="I71" i="39"/>
  <c r="H71" i="39" s="1"/>
  <c r="G71" i="39"/>
  <c r="AC70" i="39"/>
  <c r="Y70" i="39"/>
  <c r="U70" i="39"/>
  <c r="Q70" i="39"/>
  <c r="M70" i="39"/>
  <c r="I70" i="39"/>
  <c r="H70" i="39" s="1"/>
  <c r="G70" i="39"/>
  <c r="AC69" i="39"/>
  <c r="Y69" i="39"/>
  <c r="H69" i="39"/>
  <c r="D66" i="39"/>
  <c r="AC65" i="39"/>
  <c r="Y65" i="39"/>
  <c r="U65" i="39"/>
  <c r="Q65" i="39"/>
  <c r="M65" i="39"/>
  <c r="I65" i="39"/>
  <c r="H65" i="39" s="1"/>
  <c r="G65" i="39"/>
  <c r="AC64" i="39"/>
  <c r="Y64" i="39"/>
  <c r="U64" i="39"/>
  <c r="Q64" i="39"/>
  <c r="M64" i="39"/>
  <c r="I64" i="39"/>
  <c r="H64" i="39" s="1"/>
  <c r="G64" i="39"/>
  <c r="AC63" i="39"/>
  <c r="Y63" i="39"/>
  <c r="U63" i="39"/>
  <c r="Q63" i="39"/>
  <c r="M63" i="39"/>
  <c r="I63" i="39"/>
  <c r="H63" i="39" s="1"/>
  <c r="G63" i="39"/>
  <c r="AC62" i="39"/>
  <c r="Y62" i="39"/>
  <c r="U62" i="39"/>
  <c r="Q62" i="39"/>
  <c r="M62" i="39"/>
  <c r="I62" i="39"/>
  <c r="H62" i="39" s="1"/>
  <c r="G62" i="39"/>
  <c r="AC61" i="39"/>
  <c r="Y61" i="39"/>
  <c r="U61" i="39"/>
  <c r="Q61" i="39"/>
  <c r="M61" i="39"/>
  <c r="I61" i="39"/>
  <c r="H61" i="39" s="1"/>
  <c r="G61" i="39"/>
  <c r="AC60" i="39"/>
  <c r="Y60" i="39"/>
  <c r="U60" i="39"/>
  <c r="Q60" i="39"/>
  <c r="M60" i="39"/>
  <c r="I60" i="39"/>
  <c r="H60" i="39" s="1"/>
  <c r="G60" i="39"/>
  <c r="AC59" i="39"/>
  <c r="Y59" i="39"/>
  <c r="G59" i="39"/>
  <c r="D53" i="39"/>
  <c r="H52" i="39"/>
  <c r="L52" i="39" s="1"/>
  <c r="P52" i="39" s="1"/>
  <c r="G52" i="39"/>
  <c r="H51" i="39"/>
  <c r="L51" i="39" s="1"/>
  <c r="P51" i="39" s="1"/>
  <c r="G51" i="39"/>
  <c r="AC50" i="39"/>
  <c r="Y50" i="39"/>
  <c r="U50" i="39"/>
  <c r="Q50" i="39"/>
  <c r="M50" i="39"/>
  <c r="I50" i="39"/>
  <c r="G50" i="39"/>
  <c r="E50" i="39"/>
  <c r="AC49" i="39"/>
  <c r="Y49" i="39"/>
  <c r="U49" i="39"/>
  <c r="Q49" i="39"/>
  <c r="M49" i="39"/>
  <c r="I49" i="39"/>
  <c r="G49" i="39"/>
  <c r="E49" i="39"/>
  <c r="AC48" i="39"/>
  <c r="Y48" i="39"/>
  <c r="U48" i="39"/>
  <c r="Q48" i="39"/>
  <c r="M48" i="39"/>
  <c r="I48" i="39"/>
  <c r="H48" i="39" s="1"/>
  <c r="G48" i="39"/>
  <c r="AC47" i="39"/>
  <c r="Y47" i="39"/>
  <c r="U47" i="39"/>
  <c r="Q47" i="39"/>
  <c r="M47" i="39"/>
  <c r="I47" i="39"/>
  <c r="G47" i="39"/>
  <c r="E47" i="39"/>
  <c r="AC46" i="39"/>
  <c r="Y46" i="39"/>
  <c r="U46" i="39"/>
  <c r="Q46" i="39"/>
  <c r="M46" i="39"/>
  <c r="I46" i="39"/>
  <c r="G46" i="39"/>
  <c r="E46" i="39"/>
  <c r="AC45" i="39"/>
  <c r="Y45" i="39"/>
  <c r="U45" i="39"/>
  <c r="Q45" i="39"/>
  <c r="M45" i="39"/>
  <c r="I45" i="39"/>
  <c r="G45" i="39"/>
  <c r="E45" i="39"/>
  <c r="U44" i="39"/>
  <c r="Q44" i="39"/>
  <c r="M44" i="39"/>
  <c r="I44" i="39"/>
  <c r="G44" i="39"/>
  <c r="E44" i="39"/>
  <c r="D41" i="39"/>
  <c r="G41" i="39" s="1"/>
  <c r="AC39" i="39"/>
  <c r="Y39" i="39"/>
  <c r="U39" i="39"/>
  <c r="Q39" i="39"/>
  <c r="M39" i="39"/>
  <c r="I39" i="39"/>
  <c r="H39" i="39"/>
  <c r="L39" i="39" s="1"/>
  <c r="G39" i="39"/>
  <c r="AC38" i="39"/>
  <c r="Y38" i="39"/>
  <c r="U38" i="39"/>
  <c r="Q38" i="39"/>
  <c r="M38" i="39"/>
  <c r="I38" i="39"/>
  <c r="H38" i="39"/>
  <c r="L38" i="39" s="1"/>
  <c r="G38" i="39"/>
  <c r="AC37" i="39"/>
  <c r="Y37" i="39"/>
  <c r="U37" i="39"/>
  <c r="Q37" i="39"/>
  <c r="M37" i="39"/>
  <c r="I37" i="39"/>
  <c r="H37" i="39"/>
  <c r="L37" i="39" s="1"/>
  <c r="G37" i="39"/>
  <c r="AC36" i="39"/>
  <c r="Y36" i="39"/>
  <c r="U36" i="39"/>
  <c r="Q36" i="39"/>
  <c r="M36" i="39"/>
  <c r="I36" i="39"/>
  <c r="H36" i="39"/>
  <c r="L36" i="39" s="1"/>
  <c r="G36" i="39"/>
  <c r="AC35" i="39"/>
  <c r="Y35" i="39"/>
  <c r="U35" i="39"/>
  <c r="Q35" i="39"/>
  <c r="M35" i="39"/>
  <c r="I35" i="39"/>
  <c r="H35" i="39"/>
  <c r="L35" i="39" s="1"/>
  <c r="G35" i="39"/>
  <c r="AC34" i="39"/>
  <c r="Y34" i="39"/>
  <c r="U34" i="39"/>
  <c r="Q34" i="39"/>
  <c r="M34" i="39"/>
  <c r="L34" i="39"/>
  <c r="O34" i="39" s="1"/>
  <c r="K34" i="39"/>
  <c r="I34" i="39"/>
  <c r="H34" i="39"/>
  <c r="G34" i="39"/>
  <c r="AC33" i="39"/>
  <c r="Y33" i="39"/>
  <c r="U33" i="39"/>
  <c r="Q33" i="39"/>
  <c r="M33" i="39"/>
  <c r="I33" i="39"/>
  <c r="H33" i="39"/>
  <c r="G33" i="39"/>
  <c r="G30" i="39"/>
  <c r="D30" i="39"/>
  <c r="AC28" i="39"/>
  <c r="Y28" i="39"/>
  <c r="U28" i="39"/>
  <c r="Q28" i="39"/>
  <c r="M28" i="39"/>
  <c r="L28" i="39"/>
  <c r="I28" i="39"/>
  <c r="H28" i="39"/>
  <c r="K28" i="39" s="1"/>
  <c r="G28" i="39"/>
  <c r="AC27" i="39"/>
  <c r="Y27" i="39"/>
  <c r="U27" i="39"/>
  <c r="Q27" i="39"/>
  <c r="M27" i="39"/>
  <c r="I27" i="39"/>
  <c r="H27" i="39"/>
  <c r="L27" i="39" s="1"/>
  <c r="P27" i="39" s="1"/>
  <c r="S27" i="39" s="1"/>
  <c r="G27" i="39"/>
  <c r="AC26" i="39"/>
  <c r="Y26" i="39"/>
  <c r="U26" i="39"/>
  <c r="Q26" i="39"/>
  <c r="M26" i="39"/>
  <c r="I26" i="39"/>
  <c r="H26" i="39"/>
  <c r="K26" i="39" s="1"/>
  <c r="G26" i="39"/>
  <c r="AC25" i="39"/>
  <c r="Y25" i="39"/>
  <c r="U25" i="39"/>
  <c r="Q25" i="39"/>
  <c r="M25" i="39"/>
  <c r="I25" i="39"/>
  <c r="H25" i="39"/>
  <c r="L25" i="39" s="1"/>
  <c r="P25" i="39" s="1"/>
  <c r="G25" i="39"/>
  <c r="AC24" i="39"/>
  <c r="Y24" i="39"/>
  <c r="U24" i="39"/>
  <c r="Q24" i="39"/>
  <c r="M24" i="39"/>
  <c r="L24" i="39"/>
  <c r="I24" i="39"/>
  <c r="H24" i="39"/>
  <c r="K24" i="39" s="1"/>
  <c r="G24" i="39"/>
  <c r="AC23" i="39"/>
  <c r="Y23" i="39"/>
  <c r="U23" i="39"/>
  <c r="Q23" i="39"/>
  <c r="M23" i="39"/>
  <c r="K23" i="39"/>
  <c r="I23" i="39"/>
  <c r="H23" i="39"/>
  <c r="L23" i="39" s="1"/>
  <c r="P23" i="39" s="1"/>
  <c r="G23" i="39"/>
  <c r="AC22" i="39"/>
  <c r="Y22" i="39"/>
  <c r="U22" i="39"/>
  <c r="Q22" i="39"/>
  <c r="M22" i="39"/>
  <c r="I22" i="39"/>
  <c r="H22" i="39"/>
  <c r="K22" i="39" s="1"/>
  <c r="G22" i="39"/>
  <c r="AC21" i="39"/>
  <c r="Y21" i="39"/>
  <c r="U21" i="39"/>
  <c r="Q21" i="39"/>
  <c r="M21" i="39"/>
  <c r="I21" i="39"/>
  <c r="H21" i="39"/>
  <c r="H30" i="39" s="1"/>
  <c r="G21" i="39"/>
  <c r="H11" i="39"/>
  <c r="D11" i="39"/>
  <c r="AB10" i="39"/>
  <c r="AA10" i="39"/>
  <c r="X10" i="39"/>
  <c r="T10" i="39"/>
  <c r="W10" i="39" s="1"/>
  <c r="P10" i="39"/>
  <c r="S10" i="39" s="1"/>
  <c r="L10" i="39"/>
  <c r="O10" i="39" s="1"/>
  <c r="K10" i="39"/>
  <c r="G10" i="39"/>
  <c r="G9" i="39"/>
  <c r="H6" i="39"/>
  <c r="L6" i="39" s="1"/>
  <c r="P6" i="39" s="1"/>
  <c r="T6" i="39" s="1"/>
  <c r="X6" i="39" s="1"/>
  <c r="AB6" i="39" s="1"/>
  <c r="AB3" i="39"/>
  <c r="AB9" i="39" s="1"/>
  <c r="X3" i="39"/>
  <c r="X9" i="39" s="1"/>
  <c r="T3" i="39"/>
  <c r="G61" i="37"/>
  <c r="H61" i="37" s="1"/>
  <c r="G78" i="37"/>
  <c r="H78" i="37" s="1"/>
  <c r="G62" i="37"/>
  <c r="G30" i="37"/>
  <c r="H30" i="37" s="1"/>
  <c r="G22" i="37"/>
  <c r="H22" i="37" s="1"/>
  <c r="G14" i="37"/>
  <c r="H14" i="37" s="1"/>
  <c r="F39" i="37"/>
  <c r="D31" i="37"/>
  <c r="F7" i="37"/>
  <c r="E7" i="37"/>
  <c r="D7" i="37"/>
  <c r="H7" i="37" l="1"/>
  <c r="O23" i="40"/>
  <c r="P23" i="40"/>
  <c r="O38" i="39"/>
  <c r="P38" i="39"/>
  <c r="T38" i="39" s="1"/>
  <c r="X38" i="39" s="1"/>
  <c r="O36" i="39"/>
  <c r="P36" i="39"/>
  <c r="T36" i="39" s="1"/>
  <c r="D96" i="40"/>
  <c r="G13" i="40"/>
  <c r="AB13" i="40" s="1"/>
  <c r="D15" i="40"/>
  <c r="G15" i="40" s="1"/>
  <c r="O21" i="40"/>
  <c r="P21" i="40"/>
  <c r="K25" i="39"/>
  <c r="T27" i="39"/>
  <c r="H41" i="39"/>
  <c r="K38" i="39"/>
  <c r="K51" i="39"/>
  <c r="K52" i="39"/>
  <c r="L38" i="40"/>
  <c r="P38" i="40" s="1"/>
  <c r="X59" i="40"/>
  <c r="AA59" i="40" s="1"/>
  <c r="AB11" i="39"/>
  <c r="K21" i="39"/>
  <c r="K27" i="39"/>
  <c r="P34" i="39"/>
  <c r="T34" i="39" s="1"/>
  <c r="X34" i="39" s="1"/>
  <c r="K36" i="39"/>
  <c r="P27" i="40"/>
  <c r="T27" i="40" s="1"/>
  <c r="D55" i="40"/>
  <c r="G55" i="40" s="1"/>
  <c r="H62" i="37"/>
  <c r="K26" i="13"/>
  <c r="K34" i="13"/>
  <c r="L65" i="39"/>
  <c r="O65" i="39" s="1"/>
  <c r="L73" i="40"/>
  <c r="O73" i="40" s="1"/>
  <c r="L61" i="39"/>
  <c r="P61" i="39" s="1"/>
  <c r="L79" i="40"/>
  <c r="P79" i="40" s="1"/>
  <c r="L77" i="40"/>
  <c r="O77" i="40" s="1"/>
  <c r="G23" i="37"/>
  <c r="L71" i="40"/>
  <c r="P71" i="40" s="1"/>
  <c r="AB59" i="40"/>
  <c r="L60" i="39"/>
  <c r="L63" i="39"/>
  <c r="O63" i="39" s="1"/>
  <c r="L61" i="40"/>
  <c r="O61" i="40" s="1"/>
  <c r="L63" i="40"/>
  <c r="P63" i="40" s="1"/>
  <c r="L65" i="40"/>
  <c r="P65" i="40" s="1"/>
  <c r="S65" i="40" s="1"/>
  <c r="K60" i="39"/>
  <c r="L75" i="40"/>
  <c r="P75" i="40" s="1"/>
  <c r="K30" i="13"/>
  <c r="O35" i="13"/>
  <c r="K35" i="13"/>
  <c r="K36" i="13"/>
  <c r="K32" i="13"/>
  <c r="K28" i="13"/>
  <c r="O36" i="13"/>
  <c r="P31" i="13"/>
  <c r="O31" i="13" s="1"/>
  <c r="O28" i="13"/>
  <c r="P37" i="13"/>
  <c r="O37" i="13" s="1"/>
  <c r="O32" i="13"/>
  <c r="P29" i="13"/>
  <c r="O29" i="13" s="1"/>
  <c r="O24" i="13"/>
  <c r="P38" i="13"/>
  <c r="P27" i="13"/>
  <c r="O27" i="13" s="1"/>
  <c r="K33" i="13"/>
  <c r="P85" i="23"/>
  <c r="P65" i="23"/>
  <c r="P79" i="23"/>
  <c r="P59" i="23"/>
  <c r="P60" i="23"/>
  <c r="P86" i="23"/>
  <c r="P78" i="23"/>
  <c r="P63" i="23"/>
  <c r="P72" i="23"/>
  <c r="P62" i="23"/>
  <c r="P64" i="23"/>
  <c r="P66" i="23"/>
  <c r="AA9" i="40"/>
  <c r="X11" i="40"/>
  <c r="T9" i="40"/>
  <c r="S9" i="40"/>
  <c r="P11" i="40"/>
  <c r="H30" i="40"/>
  <c r="L22" i="40"/>
  <c r="K22" i="40"/>
  <c r="T23" i="40"/>
  <c r="S23" i="40"/>
  <c r="O26" i="40"/>
  <c r="P26" i="40"/>
  <c r="K62" i="40"/>
  <c r="L62" i="40"/>
  <c r="L13" i="40"/>
  <c r="T21" i="40"/>
  <c r="S21" i="40"/>
  <c r="W27" i="40"/>
  <c r="X27" i="40"/>
  <c r="H13" i="40"/>
  <c r="H15" i="40" s="1"/>
  <c r="K15" i="40" s="1"/>
  <c r="K11" i="40"/>
  <c r="W25" i="40"/>
  <c r="X25" i="40"/>
  <c r="S34" i="40"/>
  <c r="T34" i="40"/>
  <c r="O11" i="40"/>
  <c r="L15" i="40"/>
  <c r="O15" i="40" s="1"/>
  <c r="L24" i="40"/>
  <c r="K24" i="40"/>
  <c r="O28" i="40"/>
  <c r="P28" i="40"/>
  <c r="S36" i="40"/>
  <c r="T36" i="40"/>
  <c r="H66" i="40"/>
  <c r="L60" i="40"/>
  <c r="K60" i="40"/>
  <c r="L48" i="40"/>
  <c r="K48" i="40"/>
  <c r="S38" i="40"/>
  <c r="T38" i="40"/>
  <c r="O10" i="40"/>
  <c r="S25" i="40"/>
  <c r="K26" i="40"/>
  <c r="S27" i="40"/>
  <c r="K28" i="40"/>
  <c r="L33" i="40"/>
  <c r="O34" i="40"/>
  <c r="L35" i="40"/>
  <c r="O36" i="40"/>
  <c r="L37" i="40"/>
  <c r="O38" i="40"/>
  <c r="L39" i="40"/>
  <c r="H41" i="40"/>
  <c r="P51" i="40"/>
  <c r="P52" i="40"/>
  <c r="S59" i="40"/>
  <c r="L76" i="40"/>
  <c r="K76" i="40"/>
  <c r="K64" i="40"/>
  <c r="L64" i="40"/>
  <c r="L74" i="40"/>
  <c r="K74" i="40"/>
  <c r="T65" i="40"/>
  <c r="L72" i="40"/>
  <c r="K72" i="40"/>
  <c r="L80" i="40"/>
  <c r="K80" i="40"/>
  <c r="G41" i="40"/>
  <c r="L70" i="40"/>
  <c r="K70" i="40"/>
  <c r="L78" i="40"/>
  <c r="K78" i="40"/>
  <c r="O65" i="40"/>
  <c r="L69" i="40"/>
  <c r="K71" i="40"/>
  <c r="K73" i="40"/>
  <c r="K75" i="40"/>
  <c r="K77" i="40"/>
  <c r="K79" i="40"/>
  <c r="D13" i="39"/>
  <c r="D96" i="39" s="1"/>
  <c r="L11" i="39"/>
  <c r="L13" i="39" s="1"/>
  <c r="L96" i="39" s="1"/>
  <c r="S23" i="39"/>
  <c r="T23" i="39"/>
  <c r="AA9" i="39"/>
  <c r="X11" i="39"/>
  <c r="S25" i="39"/>
  <c r="T25" i="39"/>
  <c r="H13" i="39"/>
  <c r="X27" i="39"/>
  <c r="W27" i="39"/>
  <c r="P24" i="39"/>
  <c r="O24" i="39"/>
  <c r="W34" i="39"/>
  <c r="O39" i="39"/>
  <c r="P39" i="39"/>
  <c r="O23" i="39"/>
  <c r="O27" i="39"/>
  <c r="O37" i="39"/>
  <c r="P37" i="39"/>
  <c r="K48" i="39"/>
  <c r="L48" i="39"/>
  <c r="K30" i="39"/>
  <c r="H44" i="39"/>
  <c r="O25" i="39"/>
  <c r="H50" i="39"/>
  <c r="K50" i="39" s="1"/>
  <c r="H47" i="39"/>
  <c r="K47" i="39" s="1"/>
  <c r="K41" i="39"/>
  <c r="H45" i="39"/>
  <c r="K45" i="39" s="1"/>
  <c r="H49" i="39"/>
  <c r="K49" i="39" s="1"/>
  <c r="H46" i="39"/>
  <c r="K46" i="39" s="1"/>
  <c r="P9" i="39"/>
  <c r="O9" i="39" s="1"/>
  <c r="K9" i="39"/>
  <c r="G11" i="39"/>
  <c r="L22" i="39"/>
  <c r="L26" i="39"/>
  <c r="P28" i="39"/>
  <c r="O28" i="39"/>
  <c r="O35" i="39"/>
  <c r="P35" i="39"/>
  <c r="W38" i="39"/>
  <c r="T51" i="39"/>
  <c r="S51" i="39"/>
  <c r="T52" i="39"/>
  <c r="S52" i="39"/>
  <c r="W36" i="39"/>
  <c r="X36" i="39"/>
  <c r="L21" i="39"/>
  <c r="K33" i="39"/>
  <c r="K35" i="39"/>
  <c r="S36" i="39"/>
  <c r="K37" i="39"/>
  <c r="K39" i="39"/>
  <c r="O51" i="39"/>
  <c r="O52" i="39"/>
  <c r="D55" i="39"/>
  <c r="G55" i="39" s="1"/>
  <c r="G53" i="39"/>
  <c r="K64" i="39"/>
  <c r="L64" i="39"/>
  <c r="L73" i="39"/>
  <c r="K73" i="39"/>
  <c r="L77" i="39"/>
  <c r="K77" i="39"/>
  <c r="L33" i="39"/>
  <c r="O61" i="39"/>
  <c r="K62" i="39"/>
  <c r="L62" i="39"/>
  <c r="L72" i="39"/>
  <c r="K72" i="39"/>
  <c r="L76" i="39"/>
  <c r="K76" i="39"/>
  <c r="L80" i="39"/>
  <c r="K80" i="39"/>
  <c r="L71" i="39"/>
  <c r="K71" i="39"/>
  <c r="L75" i="39"/>
  <c r="K75" i="39"/>
  <c r="L79" i="39"/>
  <c r="K79" i="39"/>
  <c r="H66" i="39"/>
  <c r="K59" i="39"/>
  <c r="P65" i="39"/>
  <c r="L70" i="39"/>
  <c r="K70" i="39"/>
  <c r="L74" i="39"/>
  <c r="K74" i="39"/>
  <c r="L78" i="39"/>
  <c r="K78" i="39"/>
  <c r="L69" i="39"/>
  <c r="K61" i="39"/>
  <c r="K63" i="39"/>
  <c r="K65" i="39"/>
  <c r="G69" i="39"/>
  <c r="G7" i="37"/>
  <c r="H23" i="37"/>
  <c r="H2" i="37"/>
  <c r="G61" i="13"/>
  <c r="G60" i="13"/>
  <c r="G59" i="13"/>
  <c r="G58" i="13"/>
  <c r="G57" i="13"/>
  <c r="G56" i="13"/>
  <c r="G55" i="13"/>
  <c r="G54" i="13"/>
  <c r="G48" i="13"/>
  <c r="G47" i="13"/>
  <c r="G43" i="13"/>
  <c r="U30" i="13"/>
  <c r="Y30" i="13"/>
  <c r="AC30" i="13"/>
  <c r="U32" i="13"/>
  <c r="Y32" i="13"/>
  <c r="AC32" i="13"/>
  <c r="D40" i="13"/>
  <c r="H73" i="30"/>
  <c r="G73" i="30" s="1"/>
  <c r="U73" i="30"/>
  <c r="Y73" i="30"/>
  <c r="AC73" i="30"/>
  <c r="H74" i="30"/>
  <c r="G74" i="30" s="1"/>
  <c r="U74" i="30"/>
  <c r="Y74" i="30"/>
  <c r="AC74" i="30"/>
  <c r="P63" i="39" l="1"/>
  <c r="O75" i="40"/>
  <c r="AB96" i="40"/>
  <c r="AB15" i="40"/>
  <c r="S38" i="39"/>
  <c r="S34" i="39"/>
  <c r="H66" i="37"/>
  <c r="H42" i="37"/>
  <c r="H34" i="37"/>
  <c r="P61" i="40"/>
  <c r="S61" i="40" s="1"/>
  <c r="P73" i="40"/>
  <c r="T73" i="40" s="1"/>
  <c r="O79" i="40"/>
  <c r="P77" i="40"/>
  <c r="S77" i="40" s="1"/>
  <c r="O71" i="40"/>
  <c r="O63" i="40"/>
  <c r="O60" i="39"/>
  <c r="P60" i="39"/>
  <c r="P69" i="40"/>
  <c r="O69" i="40"/>
  <c r="T79" i="40"/>
  <c r="S79" i="40"/>
  <c r="P76" i="40"/>
  <c r="O76" i="40"/>
  <c r="T51" i="40"/>
  <c r="S51" i="40"/>
  <c r="X65" i="40"/>
  <c r="W65" i="40"/>
  <c r="P74" i="40"/>
  <c r="O74" i="40"/>
  <c r="P39" i="40"/>
  <c r="O39" i="40"/>
  <c r="P48" i="40"/>
  <c r="O48" i="40"/>
  <c r="X36" i="40"/>
  <c r="W36" i="40"/>
  <c r="W23" i="40"/>
  <c r="X23" i="40"/>
  <c r="P78" i="40"/>
  <c r="O78" i="40"/>
  <c r="P70" i="40"/>
  <c r="O70" i="40"/>
  <c r="P80" i="40"/>
  <c r="O80" i="40"/>
  <c r="P72" i="40"/>
  <c r="O72" i="40"/>
  <c r="S52" i="40"/>
  <c r="T52" i="40"/>
  <c r="X38" i="40"/>
  <c r="W38" i="40"/>
  <c r="O24" i="40"/>
  <c r="P24" i="40"/>
  <c r="AB27" i="40"/>
  <c r="AA27" i="40"/>
  <c r="T26" i="40"/>
  <c r="S26" i="40"/>
  <c r="L66" i="40"/>
  <c r="O66" i="40" s="1"/>
  <c r="P60" i="40"/>
  <c r="O60" i="40"/>
  <c r="T28" i="40"/>
  <c r="S28" i="40"/>
  <c r="O22" i="40"/>
  <c r="P22" i="40"/>
  <c r="T11" i="40"/>
  <c r="W9" i="40"/>
  <c r="S63" i="40"/>
  <c r="T63" i="40"/>
  <c r="P37" i="40"/>
  <c r="O37" i="40"/>
  <c r="P33" i="40"/>
  <c r="L41" i="40"/>
  <c r="O33" i="40"/>
  <c r="AB25" i="40"/>
  <c r="AA25" i="40"/>
  <c r="P64" i="40"/>
  <c r="O64" i="40"/>
  <c r="T75" i="40"/>
  <c r="S75" i="40"/>
  <c r="H49" i="40"/>
  <c r="K49" i="40" s="1"/>
  <c r="H46" i="40"/>
  <c r="K46" i="40" s="1"/>
  <c r="H50" i="40"/>
  <c r="K50" i="40" s="1"/>
  <c r="H47" i="40"/>
  <c r="K47" i="40" s="1"/>
  <c r="K41" i="40"/>
  <c r="H45" i="40"/>
  <c r="K45" i="40" s="1"/>
  <c r="H96" i="40"/>
  <c r="K13" i="40"/>
  <c r="L96" i="40"/>
  <c r="O13" i="40"/>
  <c r="P62" i="40"/>
  <c r="O62" i="40"/>
  <c r="K30" i="40"/>
  <c r="H44" i="40"/>
  <c r="X13" i="40"/>
  <c r="AA11" i="40"/>
  <c r="T71" i="40"/>
  <c r="S71" i="40"/>
  <c r="P35" i="40"/>
  <c r="O35" i="40"/>
  <c r="X34" i="40"/>
  <c r="W34" i="40"/>
  <c r="L30" i="40"/>
  <c r="W21" i="40"/>
  <c r="X21" i="40"/>
  <c r="P13" i="40"/>
  <c r="S11" i="40"/>
  <c r="K11" i="39"/>
  <c r="O13" i="39"/>
  <c r="G13" i="39"/>
  <c r="AB13" i="39" s="1"/>
  <c r="AB96" i="39" s="1"/>
  <c r="D15" i="39"/>
  <c r="L15" i="39"/>
  <c r="G66" i="39"/>
  <c r="O77" i="39"/>
  <c r="P77" i="39"/>
  <c r="P78" i="39"/>
  <c r="O78" i="39"/>
  <c r="P70" i="39"/>
  <c r="O70" i="39"/>
  <c r="O79" i="39"/>
  <c r="P79" i="39"/>
  <c r="O71" i="39"/>
  <c r="P71" i="39"/>
  <c r="P80" i="39"/>
  <c r="O80" i="39"/>
  <c r="P72" i="39"/>
  <c r="O72" i="39"/>
  <c r="S61" i="39"/>
  <c r="T61" i="39"/>
  <c r="AB36" i="39"/>
  <c r="AA36" i="39"/>
  <c r="T35" i="39"/>
  <c r="S35" i="39"/>
  <c r="P26" i="39"/>
  <c r="O26" i="39"/>
  <c r="T9" i="39"/>
  <c r="S9" i="39" s="1"/>
  <c r="P11" i="39"/>
  <c r="T39" i="39"/>
  <c r="S39" i="39"/>
  <c r="AA27" i="39"/>
  <c r="AB27" i="39"/>
  <c r="X13" i="39"/>
  <c r="X15" i="39" s="1"/>
  <c r="AA15" i="39" s="1"/>
  <c r="AA11" i="39"/>
  <c r="O75" i="39"/>
  <c r="P75" i="39"/>
  <c r="K69" i="39"/>
  <c r="P69" i="39"/>
  <c r="O69" i="39"/>
  <c r="S65" i="39"/>
  <c r="T65" i="39"/>
  <c r="L66" i="39"/>
  <c r="P59" i="39"/>
  <c r="O59" i="39"/>
  <c r="P62" i="39"/>
  <c r="O62" i="39"/>
  <c r="L41" i="39"/>
  <c r="O33" i="39"/>
  <c r="P33" i="39"/>
  <c r="O73" i="39"/>
  <c r="P73" i="39"/>
  <c r="S63" i="39"/>
  <c r="T63" i="39"/>
  <c r="L30" i="39"/>
  <c r="O21" i="39"/>
  <c r="P21" i="39"/>
  <c r="X51" i="39"/>
  <c r="W51" i="39"/>
  <c r="P22" i="39"/>
  <c r="O22" i="39"/>
  <c r="H53" i="39"/>
  <c r="K44" i="39"/>
  <c r="T37" i="39"/>
  <c r="S37" i="39"/>
  <c r="T24" i="39"/>
  <c r="S24" i="39"/>
  <c r="X25" i="39"/>
  <c r="W25" i="39"/>
  <c r="P74" i="39"/>
  <c r="O74" i="39"/>
  <c r="P76" i="39"/>
  <c r="O76" i="39"/>
  <c r="P64" i="39"/>
  <c r="O64" i="39"/>
  <c r="AB38" i="39"/>
  <c r="AA38" i="39"/>
  <c r="AB34" i="39"/>
  <c r="AA34" i="39"/>
  <c r="H96" i="39"/>
  <c r="K13" i="39"/>
  <c r="X23" i="39"/>
  <c r="W23" i="39"/>
  <c r="X52" i="39"/>
  <c r="W52" i="39"/>
  <c r="S28" i="39"/>
  <c r="T28" i="39"/>
  <c r="P48" i="39"/>
  <c r="O48" i="39"/>
  <c r="H15" i="39"/>
  <c r="H63" i="37"/>
  <c r="H74" i="37"/>
  <c r="H18" i="37"/>
  <c r="H26" i="37"/>
  <c r="H50" i="37"/>
  <c r="H10" i="37"/>
  <c r="H58" i="37"/>
  <c r="H40" i="13"/>
  <c r="L74" i="30"/>
  <c r="L73" i="30"/>
  <c r="D63" i="30"/>
  <c r="D148" i="31"/>
  <c r="F45" i="42" s="1"/>
  <c r="K137" i="31"/>
  <c r="G137" i="31"/>
  <c r="D108" i="31"/>
  <c r="F43" i="42" s="1"/>
  <c r="S73" i="40" l="1"/>
  <c r="I40" i="13"/>
  <c r="D149" i="31"/>
  <c r="T61" i="40"/>
  <c r="W61" i="40" s="1"/>
  <c r="G40" i="13"/>
  <c r="T77" i="40"/>
  <c r="W77" i="40" s="1"/>
  <c r="T60" i="39"/>
  <c r="S60" i="39"/>
  <c r="K66" i="40"/>
  <c r="X96" i="40"/>
  <c r="AA13" i="40"/>
  <c r="T33" i="40"/>
  <c r="S33" i="40"/>
  <c r="P41" i="40"/>
  <c r="T13" i="40"/>
  <c r="W11" i="40"/>
  <c r="X52" i="40"/>
  <c r="W52" i="40"/>
  <c r="AB21" i="40"/>
  <c r="AA21" i="40"/>
  <c r="H53" i="40"/>
  <c r="K44" i="40"/>
  <c r="X75" i="40"/>
  <c r="W75" i="40"/>
  <c r="T37" i="40"/>
  <c r="S37" i="40"/>
  <c r="T60" i="40"/>
  <c r="S60" i="40"/>
  <c r="P66" i="40"/>
  <c r="S66" i="40" s="1"/>
  <c r="AB23" i="40"/>
  <c r="AA23" i="40"/>
  <c r="W51" i="40"/>
  <c r="X51" i="40"/>
  <c r="X79" i="40"/>
  <c r="W79" i="40"/>
  <c r="P96" i="40"/>
  <c r="S13" i="40"/>
  <c r="P15" i="40"/>
  <c r="S15" i="40" s="1"/>
  <c r="AB34" i="40"/>
  <c r="AA34" i="40"/>
  <c r="X15" i="40"/>
  <c r="AA15" i="40" s="1"/>
  <c r="L45" i="40"/>
  <c r="O45" i="40" s="1"/>
  <c r="O41" i="40"/>
  <c r="L49" i="40"/>
  <c r="O49" i="40" s="1"/>
  <c r="L46" i="40"/>
  <c r="O46" i="40" s="1"/>
  <c r="L50" i="40"/>
  <c r="O50" i="40" s="1"/>
  <c r="L47" i="40"/>
  <c r="O47" i="40" s="1"/>
  <c r="X63" i="40"/>
  <c r="W63" i="40"/>
  <c r="AB38" i="40"/>
  <c r="AA38" i="40"/>
  <c r="X61" i="40"/>
  <c r="T72" i="40"/>
  <c r="S72" i="40"/>
  <c r="T70" i="40"/>
  <c r="S70" i="40"/>
  <c r="T48" i="40"/>
  <c r="S48" i="40"/>
  <c r="T74" i="40"/>
  <c r="S74" i="40"/>
  <c r="T76" i="40"/>
  <c r="S76" i="40"/>
  <c r="T64" i="40"/>
  <c r="S64" i="40"/>
  <c r="X28" i="40"/>
  <c r="W28" i="40"/>
  <c r="T24" i="40"/>
  <c r="S24" i="40"/>
  <c r="L44" i="40"/>
  <c r="O30" i="40"/>
  <c r="T35" i="40"/>
  <c r="S35" i="40"/>
  <c r="X71" i="40"/>
  <c r="W71" i="40"/>
  <c r="S62" i="40"/>
  <c r="T62" i="40"/>
  <c r="T22" i="40"/>
  <c r="S22" i="40"/>
  <c r="P30" i="40"/>
  <c r="X26" i="40"/>
  <c r="W26" i="40"/>
  <c r="X73" i="40"/>
  <c r="W73" i="40"/>
  <c r="T80" i="40"/>
  <c r="S80" i="40"/>
  <c r="T78" i="40"/>
  <c r="S78" i="40"/>
  <c r="AB36" i="40"/>
  <c r="AA36" i="40"/>
  <c r="T39" i="40"/>
  <c r="S39" i="40"/>
  <c r="AB65" i="40"/>
  <c r="AA65" i="40"/>
  <c r="S69" i="40"/>
  <c r="T69" i="40"/>
  <c r="AB15" i="39"/>
  <c r="X28" i="39"/>
  <c r="W28" i="39"/>
  <c r="K53" i="39"/>
  <c r="H55" i="39"/>
  <c r="AB51" i="39"/>
  <c r="AA51" i="39"/>
  <c r="T48" i="39"/>
  <c r="S48" i="39"/>
  <c r="AB52" i="39"/>
  <c r="AA52" i="39"/>
  <c r="T76" i="39"/>
  <c r="S76" i="39"/>
  <c r="T74" i="39"/>
  <c r="S74" i="39"/>
  <c r="X24" i="39"/>
  <c r="W24" i="39"/>
  <c r="L44" i="39"/>
  <c r="O30" i="39"/>
  <c r="O66" i="39"/>
  <c r="X96" i="39"/>
  <c r="AA13" i="39"/>
  <c r="T11" i="39"/>
  <c r="S11" i="39" s="1"/>
  <c r="W9" i="39"/>
  <c r="X61" i="39"/>
  <c r="W61" i="39"/>
  <c r="T79" i="39"/>
  <c r="S79" i="39"/>
  <c r="K15" i="39"/>
  <c r="G15" i="39"/>
  <c r="T33" i="39"/>
  <c r="S33" i="39"/>
  <c r="P41" i="39"/>
  <c r="X65" i="39"/>
  <c r="W65" i="39"/>
  <c r="X35" i="39"/>
  <c r="W35" i="39"/>
  <c r="T80" i="39"/>
  <c r="S80" i="39"/>
  <c r="T78" i="39"/>
  <c r="S78" i="39"/>
  <c r="X63" i="39"/>
  <c r="W63" i="39"/>
  <c r="T62" i="39"/>
  <c r="S62" i="39"/>
  <c r="T75" i="39"/>
  <c r="S75" i="39"/>
  <c r="AB23" i="39"/>
  <c r="AA23" i="39"/>
  <c r="T64" i="39"/>
  <c r="S64" i="39"/>
  <c r="AB25" i="39"/>
  <c r="AA25" i="39"/>
  <c r="P30" i="39"/>
  <c r="S21" i="39"/>
  <c r="T21" i="39"/>
  <c r="X39" i="39"/>
  <c r="W39" i="39"/>
  <c r="T71" i="39"/>
  <c r="S71" i="39"/>
  <c r="T77" i="39"/>
  <c r="S77" i="39"/>
  <c r="X37" i="39"/>
  <c r="W37" i="39"/>
  <c r="T22" i="39"/>
  <c r="S22" i="39"/>
  <c r="T73" i="39"/>
  <c r="S73" i="39"/>
  <c r="L49" i="39"/>
  <c r="O49" i="39" s="1"/>
  <c r="L46" i="39"/>
  <c r="O46" i="39" s="1"/>
  <c r="L50" i="39"/>
  <c r="O50" i="39" s="1"/>
  <c r="L47" i="39"/>
  <c r="O47" i="39" s="1"/>
  <c r="L45" i="39"/>
  <c r="O45" i="39" s="1"/>
  <c r="O41" i="39"/>
  <c r="P66" i="39"/>
  <c r="T59" i="39"/>
  <c r="S59" i="39"/>
  <c r="T69" i="39"/>
  <c r="S69" i="39" s="1"/>
  <c r="P13" i="39"/>
  <c r="P15" i="39" s="1"/>
  <c r="O11" i="39"/>
  <c r="T26" i="39"/>
  <c r="S26" i="39"/>
  <c r="T72" i="39"/>
  <c r="S72" i="39"/>
  <c r="T70" i="39"/>
  <c r="S70" i="39"/>
  <c r="K66" i="39"/>
  <c r="O73" i="30"/>
  <c r="P73" i="30"/>
  <c r="P74" i="30"/>
  <c r="K74" i="30"/>
  <c r="K73" i="30"/>
  <c r="D80" i="31"/>
  <c r="F28" i="42" s="1"/>
  <c r="Q57" i="31"/>
  <c r="Q58" i="31"/>
  <c r="Q59" i="31"/>
  <c r="L57" i="31"/>
  <c r="L58" i="31"/>
  <c r="L59" i="31"/>
  <c r="L62" i="31"/>
  <c r="O62" i="31" s="1"/>
  <c r="M57" i="31"/>
  <c r="M58" i="31"/>
  <c r="M59" i="31"/>
  <c r="D65" i="31"/>
  <c r="F27" i="42" s="1"/>
  <c r="F30" i="42" l="1"/>
  <c r="F31" i="42"/>
  <c r="F32" i="42" s="1"/>
  <c r="P57" i="31"/>
  <c r="O57" i="31" s="1"/>
  <c r="K57" i="31"/>
  <c r="K58" i="31"/>
  <c r="K59" i="31"/>
  <c r="D81" i="31"/>
  <c r="P62" i="31"/>
  <c r="X77" i="40"/>
  <c r="W60" i="39"/>
  <c r="X60" i="39"/>
  <c r="W22" i="40"/>
  <c r="X22" i="40"/>
  <c r="T30" i="40"/>
  <c r="W74" i="40"/>
  <c r="X74" i="40"/>
  <c r="X62" i="40"/>
  <c r="W62" i="40"/>
  <c r="P44" i="40"/>
  <c r="S30" i="40"/>
  <c r="X35" i="40"/>
  <c r="W35" i="40"/>
  <c r="W24" i="40"/>
  <c r="X24" i="40"/>
  <c r="X64" i="40"/>
  <c r="W64" i="40"/>
  <c r="W48" i="40"/>
  <c r="X48" i="40"/>
  <c r="W72" i="40"/>
  <c r="X72" i="40"/>
  <c r="AB71" i="40"/>
  <c r="AA71" i="40"/>
  <c r="X39" i="40"/>
  <c r="W39" i="40"/>
  <c r="W78" i="40"/>
  <c r="X78" i="40"/>
  <c r="AB73" i="40"/>
  <c r="AA73" i="40"/>
  <c r="W60" i="40"/>
  <c r="X60" i="40"/>
  <c r="T66" i="40"/>
  <c r="W66" i="40" s="1"/>
  <c r="X37" i="40"/>
  <c r="W37" i="40"/>
  <c r="K53" i="40"/>
  <c r="H55" i="40"/>
  <c r="T96" i="40"/>
  <c r="W13" i="40"/>
  <c r="T41" i="40"/>
  <c r="X33" i="40"/>
  <c r="W33" i="40"/>
  <c r="AB28" i="40"/>
  <c r="AA28" i="40"/>
  <c r="W76" i="40"/>
  <c r="X76" i="40"/>
  <c r="W70" i="40"/>
  <c r="X70" i="40"/>
  <c r="AB61" i="40"/>
  <c r="AA61" i="40"/>
  <c r="AA63" i="40"/>
  <c r="AB63" i="40"/>
  <c r="AB79" i="40"/>
  <c r="AA79" i="40"/>
  <c r="AA52" i="40"/>
  <c r="AB52" i="40"/>
  <c r="O44" i="40"/>
  <c r="L53" i="40"/>
  <c r="X69" i="40"/>
  <c r="W69" i="40"/>
  <c r="W80" i="40"/>
  <c r="X80" i="40"/>
  <c r="AB26" i="40"/>
  <c r="AA26" i="40"/>
  <c r="AB51" i="40"/>
  <c r="AA51" i="40"/>
  <c r="AB77" i="40"/>
  <c r="AA77" i="40"/>
  <c r="AB75" i="40"/>
  <c r="AA75" i="40"/>
  <c r="T15" i="40"/>
  <c r="W15" i="40" s="1"/>
  <c r="P45" i="40"/>
  <c r="S45" i="40" s="1"/>
  <c r="P49" i="40"/>
  <c r="S49" i="40" s="1"/>
  <c r="P46" i="40"/>
  <c r="S46" i="40" s="1"/>
  <c r="S41" i="40"/>
  <c r="P50" i="40"/>
  <c r="S50" i="40" s="1"/>
  <c r="P47" i="40"/>
  <c r="S47" i="40" s="1"/>
  <c r="S30" i="39"/>
  <c r="P44" i="39"/>
  <c r="X75" i="39"/>
  <c r="W75" i="39"/>
  <c r="W78" i="39"/>
  <c r="X78" i="39"/>
  <c r="W76" i="39"/>
  <c r="X76" i="39"/>
  <c r="W72" i="39"/>
  <c r="X72" i="39"/>
  <c r="W70" i="39"/>
  <c r="X70" i="39"/>
  <c r="X26" i="39"/>
  <c r="W26" i="39"/>
  <c r="O15" i="39"/>
  <c r="X73" i="39"/>
  <c r="W73" i="39"/>
  <c r="AB37" i="39"/>
  <c r="AA37" i="39"/>
  <c r="X71" i="39"/>
  <c r="W71" i="39"/>
  <c r="P45" i="39"/>
  <c r="S45" i="39" s="1"/>
  <c r="P49" i="39"/>
  <c r="S49" i="39" s="1"/>
  <c r="P46" i="39"/>
  <c r="S46" i="39" s="1"/>
  <c r="S41" i="39"/>
  <c r="P50" i="39"/>
  <c r="S50" i="39" s="1"/>
  <c r="P47" i="39"/>
  <c r="S47" i="39" s="1"/>
  <c r="AB61" i="39"/>
  <c r="AA61" i="39"/>
  <c r="X64" i="39"/>
  <c r="W64" i="39"/>
  <c r="AB63" i="39"/>
  <c r="AA63" i="39"/>
  <c r="AB35" i="39"/>
  <c r="AA35" i="39"/>
  <c r="AA24" i="39"/>
  <c r="AB24" i="39"/>
  <c r="X48" i="39"/>
  <c r="W48" i="39"/>
  <c r="X69" i="39"/>
  <c r="W22" i="39"/>
  <c r="X22" i="39"/>
  <c r="X77" i="39"/>
  <c r="W77" i="39"/>
  <c r="AB39" i="39"/>
  <c r="AA39" i="39"/>
  <c r="T41" i="39"/>
  <c r="X33" i="39"/>
  <c r="W33" i="39"/>
  <c r="X79" i="39"/>
  <c r="W79" i="39"/>
  <c r="T15" i="39"/>
  <c r="W15" i="39" s="1"/>
  <c r="W11" i="39"/>
  <c r="T13" i="39"/>
  <c r="K55" i="39"/>
  <c r="P96" i="39"/>
  <c r="S13" i="39"/>
  <c r="T66" i="39"/>
  <c r="X59" i="39"/>
  <c r="W59" i="39" s="1"/>
  <c r="X21" i="39"/>
  <c r="T30" i="39"/>
  <c r="W21" i="39"/>
  <c r="X62" i="39"/>
  <c r="W62" i="39"/>
  <c r="W80" i="39"/>
  <c r="X80" i="39"/>
  <c r="AB65" i="39"/>
  <c r="AA65" i="39"/>
  <c r="L53" i="39"/>
  <c r="O44" i="39"/>
  <c r="W74" i="39"/>
  <c r="X74" i="39"/>
  <c r="AB28" i="39"/>
  <c r="AA28" i="39"/>
  <c r="T30" i="13"/>
  <c r="S30" i="13" s="1"/>
  <c r="T32" i="13"/>
  <c r="S32" i="13" s="1"/>
  <c r="T74" i="30"/>
  <c r="S74" i="30"/>
  <c r="O74" i="30"/>
  <c r="T73" i="30"/>
  <c r="S73" i="30"/>
  <c r="P58" i="31"/>
  <c r="O58" i="31" s="1"/>
  <c r="P59" i="31"/>
  <c r="O59" i="31" s="1"/>
  <c r="AA60" i="39" l="1"/>
  <c r="AB60" i="39"/>
  <c r="AB80" i="40"/>
  <c r="AA80" i="40"/>
  <c r="AB72" i="40"/>
  <c r="AA72" i="40"/>
  <c r="L55" i="40"/>
  <c r="O53" i="40"/>
  <c r="T50" i="40"/>
  <c r="W50" i="40" s="1"/>
  <c r="T47" i="40"/>
  <c r="W47" i="40" s="1"/>
  <c r="W41" i="40"/>
  <c r="T45" i="40"/>
  <c r="W45" i="40" s="1"/>
  <c r="T49" i="40"/>
  <c r="W49" i="40" s="1"/>
  <c r="T46" i="40"/>
  <c r="W46" i="40" s="1"/>
  <c r="AB60" i="40"/>
  <c r="AA60" i="40"/>
  <c r="X66" i="40"/>
  <c r="AA66" i="40" s="1"/>
  <c r="AB78" i="40"/>
  <c r="AA78" i="40"/>
  <c r="AB48" i="40"/>
  <c r="AA48" i="40"/>
  <c r="AB24" i="40"/>
  <c r="AA24" i="40"/>
  <c r="AB76" i="40"/>
  <c r="AA76" i="40"/>
  <c r="P53" i="40"/>
  <c r="S44" i="40"/>
  <c r="T44" i="40"/>
  <c r="W30" i="40"/>
  <c r="AA37" i="40"/>
  <c r="AB37" i="40"/>
  <c r="AA62" i="40"/>
  <c r="AB62" i="40"/>
  <c r="AB22" i="40"/>
  <c r="AA22" i="40"/>
  <c r="X30" i="40"/>
  <c r="AB69" i="40"/>
  <c r="AA69" i="40"/>
  <c r="AA33" i="40"/>
  <c r="X41" i="40"/>
  <c r="AB33" i="40"/>
  <c r="AB70" i="40"/>
  <c r="AA70" i="40"/>
  <c r="K55" i="40"/>
  <c r="AA39" i="40"/>
  <c r="AB39" i="40"/>
  <c r="AA64" i="40"/>
  <c r="AB64" i="40"/>
  <c r="AA35" i="40"/>
  <c r="AB35" i="40"/>
  <c r="AB74" i="40"/>
  <c r="AA74" i="40"/>
  <c r="X30" i="39"/>
  <c r="AB21" i="39"/>
  <c r="AA21" i="39"/>
  <c r="AB79" i="39"/>
  <c r="AA79" i="39"/>
  <c r="AA22" i="39"/>
  <c r="AB22" i="39"/>
  <c r="AB69" i="39"/>
  <c r="AA69" i="39"/>
  <c r="AA48" i="39"/>
  <c r="AB48" i="39"/>
  <c r="AA64" i="39"/>
  <c r="AB64" i="39"/>
  <c r="AB70" i="39"/>
  <c r="AA70" i="39"/>
  <c r="AB76" i="39"/>
  <c r="AA76" i="39"/>
  <c r="AA62" i="39"/>
  <c r="AB62" i="39"/>
  <c r="S15" i="39"/>
  <c r="AB75" i="39"/>
  <c r="AA75" i="39"/>
  <c r="L55" i="39"/>
  <c r="O53" i="39"/>
  <c r="AB80" i="39"/>
  <c r="AA80" i="39"/>
  <c r="X66" i="39"/>
  <c r="AB59" i="39"/>
  <c r="X41" i="39"/>
  <c r="AB33" i="39"/>
  <c r="AB41" i="39" s="1"/>
  <c r="AA33" i="39"/>
  <c r="AB71" i="39"/>
  <c r="AA71" i="39"/>
  <c r="AB73" i="39"/>
  <c r="AA73" i="39"/>
  <c r="AB72" i="39"/>
  <c r="AA72" i="39"/>
  <c r="AB78" i="39"/>
  <c r="AA78" i="39"/>
  <c r="S44" i="39"/>
  <c r="P53" i="39"/>
  <c r="AB74" i="39"/>
  <c r="AA74" i="39"/>
  <c r="T44" i="39"/>
  <c r="W30" i="39"/>
  <c r="T96" i="39"/>
  <c r="W13" i="39"/>
  <c r="T45" i="39"/>
  <c r="W45" i="39" s="1"/>
  <c r="T49" i="39"/>
  <c r="W49" i="39" s="1"/>
  <c r="T46" i="39"/>
  <c r="W46" i="39" s="1"/>
  <c r="T50" i="39"/>
  <c r="W50" i="39" s="1"/>
  <c r="T47" i="39"/>
  <c r="W47" i="39" s="1"/>
  <c r="W41" i="39"/>
  <c r="AB77" i="39"/>
  <c r="AA77" i="39"/>
  <c r="W69" i="39"/>
  <c r="S66" i="39"/>
  <c r="AA26" i="39"/>
  <c r="AB26" i="39"/>
  <c r="X32" i="13"/>
  <c r="W32" i="13" s="1"/>
  <c r="X30" i="13"/>
  <c r="W30" i="13" s="1"/>
  <c r="X73" i="30"/>
  <c r="W74" i="30"/>
  <c r="X74" i="30"/>
  <c r="L9" i="15"/>
  <c r="P9" i="15" s="1"/>
  <c r="AB66" i="39" l="1"/>
  <c r="P55" i="40"/>
  <c r="S53" i="40"/>
  <c r="AB41" i="40"/>
  <c r="AB30" i="40"/>
  <c r="T53" i="40"/>
  <c r="W44" i="40"/>
  <c r="X49" i="40"/>
  <c r="AA49" i="40" s="1"/>
  <c r="X46" i="40"/>
  <c r="AA46" i="40" s="1"/>
  <c r="X50" i="40"/>
  <c r="AA50" i="40" s="1"/>
  <c r="X47" i="40"/>
  <c r="AA47" i="40" s="1"/>
  <c r="AA41" i="40"/>
  <c r="X45" i="40"/>
  <c r="AA45" i="40" s="1"/>
  <c r="AB66" i="40"/>
  <c r="O55" i="40"/>
  <c r="AA30" i="40"/>
  <c r="AA59" i="39"/>
  <c r="P55" i="39"/>
  <c r="S53" i="39"/>
  <c r="T53" i="39"/>
  <c r="W44" i="39"/>
  <c r="AB46" i="39"/>
  <c r="AB45" i="39"/>
  <c r="AA66" i="39"/>
  <c r="AB30" i="39"/>
  <c r="AB47" i="39" s="1"/>
  <c r="W66" i="39"/>
  <c r="X50" i="39"/>
  <c r="AA50" i="39" s="1"/>
  <c r="X47" i="39"/>
  <c r="AA47" i="39" s="1"/>
  <c r="AA41" i="39"/>
  <c r="X45" i="39"/>
  <c r="AA45" i="39" s="1"/>
  <c r="X49" i="39"/>
  <c r="AA49" i="39" s="1"/>
  <c r="X46" i="39"/>
  <c r="AA46" i="39" s="1"/>
  <c r="O55" i="39"/>
  <c r="AA30" i="39"/>
  <c r="AB30" i="13"/>
  <c r="AA30" i="13" s="1"/>
  <c r="AB32" i="13"/>
  <c r="AA32" i="13" s="1"/>
  <c r="AB73" i="30"/>
  <c r="AA73" i="30"/>
  <c r="W73" i="30"/>
  <c r="AB74" i="30"/>
  <c r="AA74" i="30"/>
  <c r="H77" i="3"/>
  <c r="AB49" i="39" l="1"/>
  <c r="T55" i="40"/>
  <c r="W53" i="40"/>
  <c r="S55" i="40"/>
  <c r="AB45" i="40"/>
  <c r="AB49" i="40"/>
  <c r="AB46" i="40"/>
  <c r="AB50" i="40"/>
  <c r="AB47" i="40"/>
  <c r="T55" i="39"/>
  <c r="W53" i="39"/>
  <c r="AB50" i="39"/>
  <c r="S55" i="39"/>
  <c r="I44" i="3"/>
  <c r="I45" i="3"/>
  <c r="E44" i="3"/>
  <c r="E13" i="38"/>
  <c r="W55" i="40" l="1"/>
  <c r="W55" i="39"/>
  <c r="I45" i="7" l="1"/>
  <c r="AF6" i="38" l="1"/>
  <c r="V6" i="38"/>
  <c r="H6" i="38"/>
  <c r="O6" i="38"/>
  <c r="E6" i="38"/>
  <c r="O152" i="38"/>
  <c r="O151" i="38"/>
  <c r="Q149" i="38"/>
  <c r="O149" i="38"/>
  <c r="K149" i="38"/>
  <c r="G149" i="38"/>
  <c r="Q148" i="38"/>
  <c r="O148" i="38"/>
  <c r="K148" i="38"/>
  <c r="G148" i="38"/>
  <c r="Q147" i="38"/>
  <c r="O147" i="38"/>
  <c r="K147" i="38"/>
  <c r="G147" i="38"/>
  <c r="Q146" i="38"/>
  <c r="O146" i="38"/>
  <c r="K146" i="38"/>
  <c r="G146" i="38"/>
  <c r="G46" i="38" s="1"/>
  <c r="Q145" i="38"/>
  <c r="O145" i="38"/>
  <c r="K145" i="38"/>
  <c r="G145" i="38"/>
  <c r="Q142" i="38"/>
  <c r="O142" i="38"/>
  <c r="K142" i="38"/>
  <c r="K50" i="38" s="1"/>
  <c r="G142" i="38"/>
  <c r="Q141" i="38"/>
  <c r="Q49" i="38" s="1"/>
  <c r="O141" i="38"/>
  <c r="K141" i="38"/>
  <c r="K49" i="38" s="1"/>
  <c r="G141" i="38"/>
  <c r="Q140" i="38"/>
  <c r="O140" i="38"/>
  <c r="K140" i="38"/>
  <c r="K47" i="38" s="1"/>
  <c r="G140" i="38"/>
  <c r="Q139" i="38"/>
  <c r="Q153" i="38" s="1"/>
  <c r="Q155" i="38" s="1"/>
  <c r="O139" i="38"/>
  <c r="O153" i="38" s="1"/>
  <c r="O155" i="38" s="1"/>
  <c r="K139" i="38"/>
  <c r="K153" i="38" s="1"/>
  <c r="K155" i="38" s="1"/>
  <c r="G139" i="38"/>
  <c r="G153" i="38" s="1"/>
  <c r="G155" i="38" s="1"/>
  <c r="C136" i="38"/>
  <c r="C135" i="38"/>
  <c r="C134" i="38"/>
  <c r="C133" i="38"/>
  <c r="C44" i="38" s="1"/>
  <c r="Q131" i="38"/>
  <c r="O131" i="38"/>
  <c r="K131" i="38"/>
  <c r="G131" i="38"/>
  <c r="C131" i="38"/>
  <c r="O124" i="38"/>
  <c r="O126" i="38" s="1"/>
  <c r="O127" i="38" s="1"/>
  <c r="K124" i="38"/>
  <c r="K126" i="38" s="1"/>
  <c r="G124" i="38"/>
  <c r="G126" i="38" s="1"/>
  <c r="Q123" i="38"/>
  <c r="Q124" i="38" s="1"/>
  <c r="Q126" i="38" s="1"/>
  <c r="Q127" i="38" s="1"/>
  <c r="Q119" i="38"/>
  <c r="O119" i="38"/>
  <c r="K119" i="38"/>
  <c r="G119" i="38"/>
  <c r="AA112" i="38"/>
  <c r="Y112" i="38"/>
  <c r="W112" i="38"/>
  <c r="U112" i="38"/>
  <c r="S112" i="38"/>
  <c r="Q112" i="38"/>
  <c r="O112" i="38"/>
  <c r="M112" i="38"/>
  <c r="I112" i="38"/>
  <c r="G112" i="38"/>
  <c r="E112" i="38"/>
  <c r="AA105" i="38"/>
  <c r="Y105" i="38"/>
  <c r="W105" i="38"/>
  <c r="U105" i="38"/>
  <c r="S105" i="38"/>
  <c r="O105" i="38"/>
  <c r="M105" i="38"/>
  <c r="I105" i="38"/>
  <c r="E105" i="38"/>
  <c r="Q104" i="38"/>
  <c r="AF104" i="38" s="1"/>
  <c r="Q103" i="38"/>
  <c r="K103" i="38"/>
  <c r="G103" i="38"/>
  <c r="G105" i="38" s="1"/>
  <c r="Q102" i="38"/>
  <c r="Q101" i="38"/>
  <c r="AE100" i="38"/>
  <c r="K100" i="38"/>
  <c r="AE97" i="38"/>
  <c r="AE95" i="38"/>
  <c r="AA95" i="38"/>
  <c r="Y95" i="38"/>
  <c r="W95" i="38"/>
  <c r="U95" i="38"/>
  <c r="S95" i="38"/>
  <c r="O95" i="38"/>
  <c r="M95" i="38"/>
  <c r="K95" i="38"/>
  <c r="I95" i="38"/>
  <c r="G95" i="38"/>
  <c r="E95" i="38"/>
  <c r="C95" i="38"/>
  <c r="Q94" i="38"/>
  <c r="Q95" i="38" s="1"/>
  <c r="B94" i="38"/>
  <c r="AE94" i="38" s="1"/>
  <c r="AF93" i="38"/>
  <c r="B93" i="38"/>
  <c r="AE93" i="38" s="1"/>
  <c r="AA92" i="38"/>
  <c r="Y92" i="38"/>
  <c r="W92" i="38"/>
  <c r="U92" i="38"/>
  <c r="S92" i="38"/>
  <c r="Q92" i="38"/>
  <c r="O92" i="38"/>
  <c r="M92" i="38"/>
  <c r="K92" i="38"/>
  <c r="I92" i="38"/>
  <c r="G92" i="38"/>
  <c r="E92" i="38"/>
  <c r="C92" i="38"/>
  <c r="AD85" i="38"/>
  <c r="AE82" i="38"/>
  <c r="AA82" i="38"/>
  <c r="Y82" i="38"/>
  <c r="W82" i="38"/>
  <c r="U82" i="38"/>
  <c r="S82" i="38"/>
  <c r="Q82" i="38"/>
  <c r="O82" i="38"/>
  <c r="M82" i="38"/>
  <c r="K82" i="38"/>
  <c r="I82" i="38"/>
  <c r="E82" i="38"/>
  <c r="C82" i="38"/>
  <c r="AF81" i="38"/>
  <c r="AE81" i="38"/>
  <c r="AD81" i="38"/>
  <c r="AF80" i="38"/>
  <c r="AE80" i="38"/>
  <c r="AD80" i="38"/>
  <c r="AF79" i="38"/>
  <c r="AE79" i="38"/>
  <c r="AD79" i="38"/>
  <c r="AF78" i="38"/>
  <c r="AE78" i="38"/>
  <c r="AD78" i="38"/>
  <c r="AF77" i="38"/>
  <c r="AE77" i="38"/>
  <c r="AD77" i="38"/>
  <c r="AF76" i="38"/>
  <c r="AE76" i="38"/>
  <c r="AD76" i="38"/>
  <c r="AF75" i="38"/>
  <c r="AE75" i="38"/>
  <c r="AD75" i="38"/>
  <c r="AF74" i="38"/>
  <c r="AE74" i="38"/>
  <c r="AD74" i="38"/>
  <c r="AF73" i="38"/>
  <c r="AE73" i="38"/>
  <c r="AD73" i="38"/>
  <c r="AE72" i="38"/>
  <c r="AD72" i="38"/>
  <c r="G72" i="38"/>
  <c r="AF72" i="38" s="1"/>
  <c r="AF71" i="38"/>
  <c r="AE71" i="38"/>
  <c r="AD71" i="38"/>
  <c r="AF70" i="38"/>
  <c r="AE70" i="38"/>
  <c r="AD70" i="38"/>
  <c r="AF69" i="38"/>
  <c r="AE69" i="38"/>
  <c r="AD69" i="38"/>
  <c r="AD68" i="38"/>
  <c r="AA66" i="38"/>
  <c r="Y66" i="38"/>
  <c r="W66" i="38"/>
  <c r="U66" i="38"/>
  <c r="S66" i="38"/>
  <c r="M66" i="38"/>
  <c r="I66" i="38"/>
  <c r="E66" i="38"/>
  <c r="C66" i="38"/>
  <c r="AF65" i="38"/>
  <c r="AE65" i="38"/>
  <c r="AD65" i="38"/>
  <c r="AE64" i="38"/>
  <c r="AD64" i="38"/>
  <c r="Q64" i="38"/>
  <c r="O64" i="38"/>
  <c r="O66" i="38" s="1"/>
  <c r="K64" i="38"/>
  <c r="G64" i="38"/>
  <c r="AF63" i="38"/>
  <c r="AE63" i="38"/>
  <c r="AD63" i="38"/>
  <c r="AE62" i="38"/>
  <c r="AD62" i="38"/>
  <c r="Q62" i="38"/>
  <c r="Q66" i="38" s="1"/>
  <c r="K62" i="38"/>
  <c r="K66" i="38" s="1"/>
  <c r="G62" i="38"/>
  <c r="G66" i="38" s="1"/>
  <c r="AF61" i="38"/>
  <c r="AE61" i="38"/>
  <c r="AD61" i="38"/>
  <c r="AF60" i="38"/>
  <c r="AE60" i="38"/>
  <c r="AD60" i="38"/>
  <c r="AF59" i="38"/>
  <c r="AE59" i="38"/>
  <c r="AD59" i="38"/>
  <c r="AD58" i="38"/>
  <c r="AD55" i="38"/>
  <c r="AF51" i="38"/>
  <c r="AE51" i="38"/>
  <c r="AD51" i="38"/>
  <c r="AE50" i="38"/>
  <c r="AD50" i="38"/>
  <c r="AA50" i="38"/>
  <c r="Y50" i="38"/>
  <c r="W50" i="38"/>
  <c r="U50" i="38"/>
  <c r="S50" i="38"/>
  <c r="Q50" i="38"/>
  <c r="O50" i="38"/>
  <c r="M50" i="38"/>
  <c r="I50" i="38"/>
  <c r="G50" i="38"/>
  <c r="E50" i="38"/>
  <c r="C50" i="38"/>
  <c r="AE49" i="38"/>
  <c r="AD49" i="38"/>
  <c r="AA49" i="38"/>
  <c r="S49" i="38"/>
  <c r="O49" i="38"/>
  <c r="M49" i="38"/>
  <c r="I49" i="38"/>
  <c r="G49" i="38"/>
  <c r="E49" i="38"/>
  <c r="C49" i="38"/>
  <c r="AE48" i="38"/>
  <c r="AD48" i="38"/>
  <c r="C48" i="38"/>
  <c r="AF48" i="38" s="1"/>
  <c r="AE47" i="38"/>
  <c r="AD47" i="38"/>
  <c r="AA47" i="38"/>
  <c r="W47" i="38"/>
  <c r="U47" i="38"/>
  <c r="S47" i="38"/>
  <c r="Q47" i="38"/>
  <c r="O47" i="38"/>
  <c r="M47" i="38"/>
  <c r="I47" i="38"/>
  <c r="G47" i="38"/>
  <c r="E47" i="38"/>
  <c r="C47" i="38"/>
  <c r="AE46" i="38"/>
  <c r="AD46" i="38"/>
  <c r="AA46" i="38"/>
  <c r="AA53" i="38" s="1"/>
  <c r="Y46" i="38"/>
  <c r="W46" i="38"/>
  <c r="W53" i="38" s="1"/>
  <c r="W55" i="38" s="1"/>
  <c r="U46" i="38"/>
  <c r="S46" i="38"/>
  <c r="S53" i="38" s="1"/>
  <c r="Q46" i="38"/>
  <c r="O46" i="38"/>
  <c r="K46" i="38"/>
  <c r="E46" i="38"/>
  <c r="E53" i="38" s="1"/>
  <c r="C46" i="38"/>
  <c r="AE45" i="38"/>
  <c r="AD45" i="38"/>
  <c r="U45" i="38"/>
  <c r="G45" i="38"/>
  <c r="AE44" i="38"/>
  <c r="AD44" i="38"/>
  <c r="U44" i="38"/>
  <c r="U53" i="38" s="1"/>
  <c r="U55" i="38" s="1"/>
  <c r="O44" i="38"/>
  <c r="AD43" i="38"/>
  <c r="AD42" i="38"/>
  <c r="AA41" i="38"/>
  <c r="Y41" i="38"/>
  <c r="W41" i="38"/>
  <c r="U41" i="38"/>
  <c r="S41" i="38"/>
  <c r="Q41" i="38"/>
  <c r="O41" i="38"/>
  <c r="M41" i="38"/>
  <c r="K41" i="38"/>
  <c r="I41" i="38"/>
  <c r="E41" i="38"/>
  <c r="C41" i="38"/>
  <c r="AF39" i="38"/>
  <c r="AE39" i="38"/>
  <c r="AD39" i="38"/>
  <c r="AF38" i="38"/>
  <c r="AE38" i="38"/>
  <c r="AD38" i="38"/>
  <c r="AF37" i="38"/>
  <c r="AE37" i="38"/>
  <c r="AD37" i="38"/>
  <c r="AF36" i="38"/>
  <c r="AE36" i="38"/>
  <c r="AD36" i="38"/>
  <c r="AF35" i="38"/>
  <c r="AE35" i="38"/>
  <c r="AD35" i="38"/>
  <c r="AF34" i="38"/>
  <c r="AE34" i="38"/>
  <c r="AD34" i="38"/>
  <c r="AE33" i="38"/>
  <c r="AD33" i="38"/>
  <c r="G33" i="38"/>
  <c r="G41" i="38" s="1"/>
  <c r="AD32" i="38"/>
  <c r="AA30" i="38"/>
  <c r="Y30" i="38"/>
  <c r="W30" i="38"/>
  <c r="U30" i="38"/>
  <c r="S30" i="38"/>
  <c r="O30" i="38"/>
  <c r="M30" i="38"/>
  <c r="I30" i="38"/>
  <c r="G30" i="38"/>
  <c r="E30" i="38"/>
  <c r="AE28" i="38"/>
  <c r="AD28" i="38"/>
  <c r="C28" i="38"/>
  <c r="C30" i="38" s="1"/>
  <c r="AF27" i="38"/>
  <c r="AE27" i="38"/>
  <c r="AD27" i="38"/>
  <c r="AF26" i="38"/>
  <c r="AE26" i="38"/>
  <c r="AD26" i="38"/>
  <c r="AF25" i="38"/>
  <c r="AE25" i="38"/>
  <c r="AD25" i="38"/>
  <c r="AF24" i="38"/>
  <c r="AE24" i="38"/>
  <c r="AD24" i="38"/>
  <c r="AF23" i="38"/>
  <c r="AE23" i="38"/>
  <c r="AD23" i="38"/>
  <c r="AF22" i="38"/>
  <c r="AE22" i="38"/>
  <c r="AD22" i="38"/>
  <c r="AE21" i="38"/>
  <c r="AD21" i="38"/>
  <c r="Q21" i="38"/>
  <c r="Q30" i="38" s="1"/>
  <c r="K21" i="38"/>
  <c r="AD20" i="38"/>
  <c r="AD15" i="38"/>
  <c r="AE13" i="38"/>
  <c r="AD13" i="38"/>
  <c r="G12" i="38"/>
  <c r="AD11" i="38"/>
  <c r="AF10" i="38"/>
  <c r="AE10" i="38"/>
  <c r="AE9" i="38"/>
  <c r="AD9" i="38"/>
  <c r="E10" i="38"/>
  <c r="E11" i="38" s="1"/>
  <c r="C9" i="38" s="1"/>
  <c r="C11" i="38" s="1"/>
  <c r="AF7" i="38"/>
  <c r="AD7" i="38"/>
  <c r="AA55" i="38" l="1"/>
  <c r="Q105" i="38"/>
  <c r="G127" i="38"/>
  <c r="E55" i="38"/>
  <c r="E85" i="38" s="1"/>
  <c r="AF21" i="38"/>
  <c r="AF33" i="38"/>
  <c r="AF41" i="38" s="1"/>
  <c r="I53" i="38"/>
  <c r="I55" i="38" s="1"/>
  <c r="AF103" i="38"/>
  <c r="K127" i="38"/>
  <c r="S55" i="38"/>
  <c r="Y85" i="38"/>
  <c r="Y97" i="38" s="1"/>
  <c r="Y108" i="38" s="1"/>
  <c r="Y113" i="38" s="1"/>
  <c r="AF28" i="38"/>
  <c r="AF45" i="38"/>
  <c r="Y53" i="38"/>
  <c r="Y55" i="38" s="1"/>
  <c r="M53" i="38"/>
  <c r="M55" i="38" s="1"/>
  <c r="K105" i="38"/>
  <c r="C102" i="38" s="1"/>
  <c r="Q44" i="38"/>
  <c r="Q53" i="38" s="1"/>
  <c r="Q55" i="38" s="1"/>
  <c r="Q85" i="38" s="1"/>
  <c r="G44" i="38"/>
  <c r="K44" i="38"/>
  <c r="K53" i="38" s="1"/>
  <c r="AF49" i="38"/>
  <c r="AF50" i="38"/>
  <c r="G53" i="38"/>
  <c r="G55" i="38" s="1"/>
  <c r="AF46" i="38"/>
  <c r="O53" i="38"/>
  <c r="O55" i="38" s="1"/>
  <c r="O85" i="38" s="1"/>
  <c r="AF47" i="38"/>
  <c r="C137" i="38"/>
  <c r="I85" i="38"/>
  <c r="I97" i="38" s="1"/>
  <c r="I108" i="38" s="1"/>
  <c r="M85" i="38"/>
  <c r="M97" i="38" s="1"/>
  <c r="M108" i="38" s="1"/>
  <c r="U85" i="38"/>
  <c r="U97" i="38" s="1"/>
  <c r="U108" i="38" s="1"/>
  <c r="U113" i="38" s="1"/>
  <c r="W85" i="38"/>
  <c r="W97" i="38" s="1"/>
  <c r="W108" i="38" s="1"/>
  <c r="W113" i="38" s="1"/>
  <c r="AF9" i="38"/>
  <c r="AF11" i="38" s="1"/>
  <c r="AF82" i="38"/>
  <c r="S85" i="38"/>
  <c r="S97" i="38" s="1"/>
  <c r="S108" i="38" s="1"/>
  <c r="S113" i="38" s="1"/>
  <c r="AA85" i="38"/>
  <c r="AA97" i="38" s="1"/>
  <c r="AA108" i="38" s="1"/>
  <c r="AA113" i="38" s="1"/>
  <c r="AF64" i="38"/>
  <c r="AF100" i="38"/>
  <c r="G82" i="38"/>
  <c r="K30" i="38"/>
  <c r="C53" i="38"/>
  <c r="C55" i="38" s="1"/>
  <c r="AF62" i="38"/>
  <c r="AF66" i="38" s="1"/>
  <c r="AF101" i="38"/>
  <c r="AF94" i="38"/>
  <c r="AF95" i="38" s="1"/>
  <c r="I48" i="19"/>
  <c r="AF30" i="38" l="1"/>
  <c r="AF44" i="38"/>
  <c r="AF53" i="38" s="1"/>
  <c r="AF55" i="38" s="1"/>
  <c r="K55" i="38"/>
  <c r="K85" i="38" s="1"/>
  <c r="K88" i="38" s="1"/>
  <c r="G85" i="38"/>
  <c r="G97" i="38" s="1"/>
  <c r="G108" i="38" s="1"/>
  <c r="Q88" i="38"/>
  <c r="Q97" i="38"/>
  <c r="Q108" i="38" s="1"/>
  <c r="Q113" i="38" s="1"/>
  <c r="E97" i="38"/>
  <c r="E108" i="38" s="1"/>
  <c r="AF102" i="38"/>
  <c r="AF105" i="38" s="1"/>
  <c r="C105" i="38"/>
  <c r="C13" i="38"/>
  <c r="C85" i="38" s="1"/>
  <c r="O88" i="38"/>
  <c r="O97" i="38"/>
  <c r="O108" i="38" s="1"/>
  <c r="E105" i="5"/>
  <c r="G88" i="38" l="1"/>
  <c r="K97" i="38"/>
  <c r="K108" i="38" s="1"/>
  <c r="AF110" i="38" s="1"/>
  <c r="C89" i="38"/>
  <c r="C97" i="38"/>
  <c r="C108" i="38" s="1"/>
  <c r="C88" i="38"/>
  <c r="AG85" i="38"/>
  <c r="C15" i="38"/>
  <c r="AF13" i="38"/>
  <c r="AA92" i="5"/>
  <c r="Y92" i="5"/>
  <c r="W92" i="5"/>
  <c r="U92" i="5"/>
  <c r="S92" i="5"/>
  <c r="Q92" i="5"/>
  <c r="O92" i="5"/>
  <c r="M92" i="5"/>
  <c r="K92" i="5"/>
  <c r="I92" i="5"/>
  <c r="G92" i="5"/>
  <c r="E92" i="5"/>
  <c r="C92" i="5"/>
  <c r="C90" i="38" l="1"/>
  <c r="C91" i="38" s="1"/>
  <c r="AF15" i="38"/>
  <c r="AF85" i="38"/>
  <c r="AF111" i="38"/>
  <c r="AG108" i="38"/>
  <c r="K100" i="5"/>
  <c r="AF113" i="38" l="1"/>
  <c r="AG111" i="38"/>
  <c r="AF97" i="38"/>
  <c r="AF108" i="38" s="1"/>
  <c r="AG109" i="38" s="1"/>
  <c r="AF87" i="38"/>
  <c r="AF89" i="38" s="1"/>
  <c r="AE100" i="5"/>
  <c r="AA112" i="5"/>
  <c r="Y112" i="5"/>
  <c r="W112" i="5"/>
  <c r="U112" i="5"/>
  <c r="S112" i="5"/>
  <c r="Q94" i="5"/>
  <c r="Q126" i="5"/>
  <c r="Q123" i="5"/>
  <c r="Q124" i="5" s="1"/>
  <c r="Q104" i="5"/>
  <c r="Q112" i="5"/>
  <c r="Q103" i="5"/>
  <c r="Q102" i="5"/>
  <c r="Q101" i="5"/>
  <c r="O105" i="5"/>
  <c r="O112" i="5"/>
  <c r="Q119" i="5"/>
  <c r="O124" i="5"/>
  <c r="O126" i="5" s="1"/>
  <c r="O127" i="5" s="1"/>
  <c r="O119" i="5"/>
  <c r="M112" i="5"/>
  <c r="K103" i="5"/>
  <c r="K119" i="5"/>
  <c r="G119" i="5"/>
  <c r="K124" i="5"/>
  <c r="K126" i="5" s="1"/>
  <c r="K127" i="5" s="1"/>
  <c r="I112" i="5"/>
  <c r="G103" i="5"/>
  <c r="G124" i="5"/>
  <c r="G126" i="5" s="1"/>
  <c r="G127" i="5" s="1"/>
  <c r="B93" i="5"/>
  <c r="G112" i="5"/>
  <c r="E112" i="5"/>
  <c r="Q127" i="5" l="1"/>
  <c r="E12" i="5"/>
  <c r="AF93" i="5" l="1"/>
  <c r="AF94" i="5"/>
  <c r="L29" i="3" l="1"/>
  <c r="H29" i="3"/>
  <c r="AF100" i="5"/>
  <c r="AF101" i="5" l="1"/>
  <c r="AF95" i="5" l="1"/>
  <c r="G95" i="5"/>
  <c r="AE93" i="5" l="1"/>
  <c r="C31" i="28" l="1"/>
  <c r="F55" i="27" l="1"/>
  <c r="E69" i="28"/>
  <c r="F69" i="28"/>
  <c r="U69" i="28" s="1"/>
  <c r="E70" i="28"/>
  <c r="F70" i="28"/>
  <c r="U70" i="28" s="1"/>
  <c r="G70" i="28"/>
  <c r="V70" i="28" s="1"/>
  <c r="H70" i="28"/>
  <c r="W70" i="28" s="1"/>
  <c r="I70" i="28"/>
  <c r="X70" i="28" s="1"/>
  <c r="E71" i="28"/>
  <c r="F71" i="28"/>
  <c r="U71" i="28" s="1"/>
  <c r="G71" i="28"/>
  <c r="V71" i="28" s="1"/>
  <c r="H71" i="28"/>
  <c r="W71" i="28" s="1"/>
  <c r="I71" i="28"/>
  <c r="X71" i="28" s="1"/>
  <c r="E72" i="28"/>
  <c r="F72" i="28"/>
  <c r="U72" i="28" s="1"/>
  <c r="G72" i="28"/>
  <c r="V72" i="28" s="1"/>
  <c r="H72" i="28"/>
  <c r="W72" i="28" s="1"/>
  <c r="I72" i="28"/>
  <c r="X72" i="28" s="1"/>
  <c r="C70" i="28"/>
  <c r="C71" i="28"/>
  <c r="C72" i="28"/>
  <c r="C69" i="28"/>
  <c r="E29" i="28"/>
  <c r="E30" i="28"/>
  <c r="E31" i="28"/>
  <c r="E32" i="28"/>
  <c r="C30" i="28"/>
  <c r="C32" i="28"/>
  <c r="F17" i="27"/>
  <c r="F17" i="28" l="1"/>
  <c r="M17" i="27"/>
  <c r="N17" i="27" s="1"/>
  <c r="C29" i="28"/>
  <c r="F29" i="28" l="1"/>
  <c r="U29" i="28" s="1"/>
  <c r="G29" i="28"/>
  <c r="M29" i="28" s="1"/>
  <c r="V29" i="28" l="1"/>
  <c r="N29" i="28"/>
  <c r="H29" i="28"/>
  <c r="W29" i="28" l="1"/>
  <c r="O29" i="28"/>
  <c r="P29" i="28" s="1"/>
  <c r="X29" i="28" l="1"/>
  <c r="Q29" i="28"/>
  <c r="R29" i="28" s="1"/>
  <c r="D71" i="19"/>
  <c r="D76" i="37" l="1"/>
  <c r="F79" i="37"/>
  <c r="E79" i="37"/>
  <c r="D79" i="37"/>
  <c r="G74" i="37"/>
  <c r="F74" i="37"/>
  <c r="E74" i="37"/>
  <c r="D74" i="37"/>
  <c r="G66" i="37"/>
  <c r="F66" i="37"/>
  <c r="E66" i="37"/>
  <c r="D66" i="37"/>
  <c r="E63" i="37"/>
  <c r="G58" i="37"/>
  <c r="F58" i="37"/>
  <c r="E58" i="37"/>
  <c r="D58" i="37"/>
  <c r="E55" i="37"/>
  <c r="G50" i="37"/>
  <c r="F50" i="37"/>
  <c r="E50" i="37"/>
  <c r="D50" i="37"/>
  <c r="E39" i="37"/>
  <c r="F31" i="37"/>
  <c r="E31" i="37"/>
  <c r="G26" i="37"/>
  <c r="F26" i="37"/>
  <c r="E26" i="37"/>
  <c r="D26" i="37"/>
  <c r="F23" i="37"/>
  <c r="G18" i="37"/>
  <c r="F18" i="37"/>
  <c r="E18" i="37"/>
  <c r="D18" i="37"/>
  <c r="F15" i="37"/>
  <c r="E15" i="37"/>
  <c r="G10" i="37"/>
  <c r="F10" i="37"/>
  <c r="E10" i="37"/>
  <c r="D10" i="37"/>
  <c r="D80" i="37" l="1"/>
  <c r="D63" i="37"/>
  <c r="D64" i="37" s="1"/>
  <c r="E60" i="37" s="1"/>
  <c r="E64" i="37" s="1"/>
  <c r="F60" i="37" s="1"/>
  <c r="E76" i="37"/>
  <c r="E80" i="37" s="1"/>
  <c r="F76" i="37" s="1"/>
  <c r="F80" i="37" s="1"/>
  <c r="G76" i="37" s="1"/>
  <c r="F63" i="37"/>
  <c r="D15" i="37"/>
  <c r="D16" i="37" s="1"/>
  <c r="E12" i="37" s="1"/>
  <c r="E16" i="37" s="1"/>
  <c r="D71" i="37"/>
  <c r="D72" i="37" s="1"/>
  <c r="E68" i="37" s="1"/>
  <c r="D23" i="37"/>
  <c r="D24" i="37" s="1"/>
  <c r="E20" i="37" s="1"/>
  <c r="D55" i="37"/>
  <c r="D56" i="37" s="1"/>
  <c r="E52" i="37" s="1"/>
  <c r="G63" i="37"/>
  <c r="E23" i="37"/>
  <c r="F55" i="37"/>
  <c r="D39" i="37"/>
  <c r="D40" i="37" s="1"/>
  <c r="D32" i="37"/>
  <c r="E28" i="37" s="1"/>
  <c r="E32" i="37" s="1"/>
  <c r="F28" i="37" s="1"/>
  <c r="F32" i="37" s="1"/>
  <c r="G28" i="37" s="1"/>
  <c r="D8" i="37"/>
  <c r="E4" i="37" s="1"/>
  <c r="F71" i="37"/>
  <c r="E71" i="37"/>
  <c r="E56" i="37" l="1"/>
  <c r="F52" i="37" s="1"/>
  <c r="F44" i="37"/>
  <c r="F64" i="37"/>
  <c r="G60" i="37" s="1"/>
  <c r="G64" i="37" s="1"/>
  <c r="H60" i="37" s="1"/>
  <c r="H64" i="37" s="1"/>
  <c r="E36" i="37"/>
  <c r="E40" i="37" s="1"/>
  <c r="E24" i="37"/>
  <c r="F20" i="37" s="1"/>
  <c r="F24" i="37" s="1"/>
  <c r="G20" i="37" s="1"/>
  <c r="G24" i="37" s="1"/>
  <c r="H20" i="37" s="1"/>
  <c r="H24" i="37" s="1"/>
  <c r="F12" i="37"/>
  <c r="F16" i="37" s="1"/>
  <c r="E72" i="37"/>
  <c r="F68" i="37" s="1"/>
  <c r="F72" i="37" s="1"/>
  <c r="G68" i="37" s="1"/>
  <c r="E8" i="37"/>
  <c r="F4" i="37" s="1"/>
  <c r="F48" i="37" l="1"/>
  <c r="G44" i="37" s="1"/>
  <c r="F56" i="37"/>
  <c r="G52" i="37" s="1"/>
  <c r="F36" i="37"/>
  <c r="F40" i="37" s="1"/>
  <c r="G36" i="37" s="1"/>
  <c r="G12" i="37"/>
  <c r="F8" i="37"/>
  <c r="G4" i="37" s="1"/>
  <c r="G8" i="37" s="1"/>
  <c r="H4" i="37" s="1"/>
  <c r="H8" i="37" s="1"/>
  <c r="E37" i="35"/>
  <c r="F37" i="35"/>
  <c r="G37" i="35"/>
  <c r="G38" i="35" s="1"/>
  <c r="E11" i="35"/>
  <c r="F11" i="35"/>
  <c r="G11" i="35"/>
  <c r="F38" i="35" l="1"/>
  <c r="E38" i="35"/>
  <c r="E12" i="35"/>
  <c r="F35" i="26"/>
  <c r="M35" i="26" s="1"/>
  <c r="N35" i="26" s="1"/>
  <c r="G27" i="31" l="1"/>
  <c r="F9" i="26" l="1"/>
  <c r="M9" i="26" s="1"/>
  <c r="N9" i="26" s="1"/>
  <c r="D46" i="28"/>
  <c r="I84" i="31" l="1"/>
  <c r="I83" i="31"/>
  <c r="Q56" i="33" l="1"/>
  <c r="Q57" i="33"/>
  <c r="Q58" i="33"/>
  <c r="M105" i="31"/>
  <c r="M106" i="31"/>
  <c r="M107" i="31"/>
  <c r="M58" i="33"/>
  <c r="M57" i="33"/>
  <c r="M56" i="33"/>
  <c r="P62" i="33"/>
  <c r="P50" i="33"/>
  <c r="P51" i="33"/>
  <c r="P52" i="33"/>
  <c r="P53" i="33"/>
  <c r="P54" i="33"/>
  <c r="P55" i="33"/>
  <c r="P49" i="33"/>
  <c r="E62" i="36"/>
  <c r="E48" i="36"/>
  <c r="E55" i="36"/>
  <c r="A55" i="36"/>
  <c r="E54" i="36"/>
  <c r="A54" i="36"/>
  <c r="E49" i="36"/>
  <c r="G45" i="36" s="1"/>
  <c r="E38" i="36"/>
  <c r="G38" i="36" s="1"/>
  <c r="E36" i="36"/>
  <c r="E35" i="36"/>
  <c r="E72" i="36" s="1"/>
  <c r="E30" i="36"/>
  <c r="E29" i="36"/>
  <c r="F25" i="36"/>
  <c r="E25" i="36"/>
  <c r="E71" i="36" s="1"/>
  <c r="F23" i="36"/>
  <c r="E23" i="36"/>
  <c r="E22" i="36"/>
  <c r="G22" i="36" s="1"/>
  <c r="E19" i="36"/>
  <c r="F19" i="36"/>
  <c r="G19" i="36"/>
  <c r="H19" i="36"/>
  <c r="E18" i="36"/>
  <c r="E16" i="36"/>
  <c r="E15" i="36"/>
  <c r="F15" i="36"/>
  <c r="F14" i="36"/>
  <c r="E14" i="36"/>
  <c r="E13" i="36"/>
  <c r="F13" i="36"/>
  <c r="E12" i="36"/>
  <c r="F10" i="36"/>
  <c r="G10" i="36"/>
  <c r="F9" i="36"/>
  <c r="E10" i="36"/>
  <c r="E9" i="36"/>
  <c r="L10" i="12"/>
  <c r="G8" i="36" s="1"/>
  <c r="F8" i="36"/>
  <c r="E8" i="36"/>
  <c r="E7" i="36"/>
  <c r="G5" i="36"/>
  <c r="G63" i="36"/>
  <c r="G53" i="36"/>
  <c r="G42" i="36"/>
  <c r="G33" i="36"/>
  <c r="G69" i="36" s="1"/>
  <c r="G76" i="36" s="1"/>
  <c r="G21" i="36"/>
  <c r="G20" i="36"/>
  <c r="D12" i="36"/>
  <c r="D15" i="36"/>
  <c r="F20" i="36"/>
  <c r="H20" i="36" s="1"/>
  <c r="F21" i="36"/>
  <c r="H21" i="36" s="1"/>
  <c r="F33" i="36"/>
  <c r="F69" i="36" s="1"/>
  <c r="D35" i="36"/>
  <c r="D36" i="36"/>
  <c r="F42" i="36"/>
  <c r="H42" i="36" s="1"/>
  <c r="D43" i="36"/>
  <c r="D65" i="36" s="1"/>
  <c r="F53" i="36"/>
  <c r="H53" i="36" s="1"/>
  <c r="D63" i="36"/>
  <c r="D77" i="36" s="1"/>
  <c r="E63" i="36"/>
  <c r="F63" i="36"/>
  <c r="H63" i="36"/>
  <c r="D64" i="36"/>
  <c r="D78" i="36" s="1"/>
  <c r="D69" i="36"/>
  <c r="D76" i="36" s="1"/>
  <c r="E69" i="36"/>
  <c r="D70" i="36"/>
  <c r="D71" i="36"/>
  <c r="D72" i="36"/>
  <c r="D73" i="36" l="1"/>
  <c r="E76" i="36"/>
  <c r="F22" i="36"/>
  <c r="H22" i="36" s="1"/>
  <c r="H33" i="36"/>
  <c r="H69" i="36" s="1"/>
  <c r="H76" i="36" s="1"/>
  <c r="P10" i="12"/>
  <c r="H8" i="36" s="1"/>
  <c r="F38" i="36"/>
  <c r="H38" i="36" s="1"/>
  <c r="E65" i="36"/>
  <c r="E79" i="36" s="1"/>
  <c r="G65" i="36"/>
  <c r="E64" i="36"/>
  <c r="E78" i="36" s="1"/>
  <c r="F45" i="36"/>
  <c r="H45" i="36" s="1"/>
  <c r="H65" i="36" s="1"/>
  <c r="D66" i="36"/>
  <c r="D79" i="36"/>
  <c r="D80" i="36" s="1"/>
  <c r="F76" i="36"/>
  <c r="F65" i="36" l="1"/>
  <c r="E66" i="36"/>
  <c r="D84" i="36" l="1"/>
  <c r="D87" i="36" l="1"/>
  <c r="G12" i="35" l="1"/>
  <c r="F12" i="35"/>
  <c r="L74" i="23" l="1"/>
  <c r="P74" i="23" s="1"/>
  <c r="L82" i="23"/>
  <c r="P82" i="23" s="1"/>
  <c r="L73" i="23"/>
  <c r="P73" i="23" s="1"/>
  <c r="L61" i="23"/>
  <c r="P61" i="23" s="1"/>
  <c r="P64" i="32"/>
  <c r="P65" i="32"/>
  <c r="L66" i="32"/>
  <c r="P66" i="32" s="1"/>
  <c r="L67" i="32"/>
  <c r="P67" i="32" s="1"/>
  <c r="L68" i="32"/>
  <c r="P68" i="32" s="1"/>
  <c r="L69" i="32"/>
  <c r="P69" i="32" s="1"/>
  <c r="P71" i="30"/>
  <c r="P75" i="30"/>
  <c r="H77" i="30"/>
  <c r="I77" i="30"/>
  <c r="H78" i="30"/>
  <c r="I78" i="30"/>
  <c r="P69" i="30"/>
  <c r="P98" i="31"/>
  <c r="P99" i="31"/>
  <c r="P100" i="31"/>
  <c r="P101" i="31"/>
  <c r="F53" i="26"/>
  <c r="F55" i="26" s="1"/>
  <c r="H164" i="31"/>
  <c r="L164" i="31" s="1"/>
  <c r="H163" i="31"/>
  <c r="G163" i="31" s="1"/>
  <c r="G164" i="31" l="1"/>
  <c r="P163" i="31"/>
  <c r="O163" i="31" s="1"/>
  <c r="K163" i="31"/>
  <c r="L87" i="23"/>
  <c r="P87" i="23" s="1"/>
  <c r="L83" i="23"/>
  <c r="P83" i="23" s="1"/>
  <c r="L75" i="23"/>
  <c r="P75" i="23" s="1"/>
  <c r="P164" i="31"/>
  <c r="O164" i="31" s="1"/>
  <c r="K164" i="31"/>
  <c r="H162" i="31" l="1"/>
  <c r="F49" i="26"/>
  <c r="F48" i="26"/>
  <c r="M48" i="26" s="1"/>
  <c r="N48" i="26" s="1"/>
  <c r="H12" i="26"/>
  <c r="H10" i="26"/>
  <c r="H7" i="26"/>
  <c r="G12" i="26"/>
  <c r="G10" i="26"/>
  <c r="G7" i="26"/>
  <c r="F12" i="26"/>
  <c r="F10" i="26"/>
  <c r="AB82" i="33"/>
  <c r="X82" i="33"/>
  <c r="T82" i="33"/>
  <c r="P82" i="33"/>
  <c r="L82" i="33"/>
  <c r="M82" i="33" s="1"/>
  <c r="H82" i="33"/>
  <c r="D82" i="33"/>
  <c r="I82" i="33" s="1"/>
  <c r="L10" i="32"/>
  <c r="P10" i="32" s="1"/>
  <c r="F7" i="26"/>
  <c r="D167" i="31"/>
  <c r="Q160" i="31"/>
  <c r="M160" i="31"/>
  <c r="AB154" i="31"/>
  <c r="X154" i="31"/>
  <c r="T154" i="31"/>
  <c r="P154" i="31"/>
  <c r="I47" i="42" s="1"/>
  <c r="L154" i="31"/>
  <c r="H47" i="42" s="1"/>
  <c r="O47" i="42" s="1"/>
  <c r="P47" i="42" s="1"/>
  <c r="H154" i="31"/>
  <c r="G47" i="42" s="1"/>
  <c r="D154" i="31"/>
  <c r="F47" i="42" s="1"/>
  <c r="F50" i="42" s="1"/>
  <c r="F57" i="42" s="1"/>
  <c r="F60" i="42" s="1"/>
  <c r="F61" i="42" s="1"/>
  <c r="G59" i="42" s="1"/>
  <c r="M59" i="42" s="1"/>
  <c r="N59" i="42" s="1"/>
  <c r="Q124" i="31"/>
  <c r="Q125" i="31"/>
  <c r="Q126" i="31"/>
  <c r="Q127" i="31"/>
  <c r="Q128" i="31"/>
  <c r="Q122" i="31"/>
  <c r="M124" i="31"/>
  <c r="M125" i="31"/>
  <c r="M126" i="31"/>
  <c r="M127" i="31"/>
  <c r="M128" i="31"/>
  <c r="M122" i="31"/>
  <c r="L103" i="31"/>
  <c r="P103" i="31" s="1"/>
  <c r="P102" i="31"/>
  <c r="F41" i="26"/>
  <c r="F42" i="26"/>
  <c r="M42" i="26" s="1"/>
  <c r="N42" i="26" s="1"/>
  <c r="F40" i="26"/>
  <c r="M40" i="26" s="1"/>
  <c r="N40" i="26" s="1"/>
  <c r="F39" i="26"/>
  <c r="M39" i="26" s="1"/>
  <c r="N39" i="26" s="1"/>
  <c r="F38" i="26"/>
  <c r="M38" i="26" s="1"/>
  <c r="N38" i="26" s="1"/>
  <c r="F37" i="26"/>
  <c r="M37" i="26" s="1"/>
  <c r="N37" i="26" s="1"/>
  <c r="F36" i="26"/>
  <c r="M36" i="26" s="1"/>
  <c r="N36" i="26" s="1"/>
  <c r="F34" i="26"/>
  <c r="K75" i="31"/>
  <c r="Q75" i="31"/>
  <c r="Q74" i="31"/>
  <c r="Q73" i="31"/>
  <c r="Q72" i="31"/>
  <c r="Q71" i="31"/>
  <c r="M71" i="31"/>
  <c r="M72" i="31"/>
  <c r="M73" i="31"/>
  <c r="M74" i="31"/>
  <c r="M75" i="31"/>
  <c r="M78" i="31"/>
  <c r="M70" i="31"/>
  <c r="P72" i="31"/>
  <c r="Q52" i="31"/>
  <c r="M52" i="31"/>
  <c r="L52" i="31"/>
  <c r="M49" i="31"/>
  <c r="M50" i="31"/>
  <c r="M51" i="31"/>
  <c r="L49" i="31"/>
  <c r="Q49" i="31"/>
  <c r="Q50" i="31"/>
  <c r="P24" i="31"/>
  <c r="L24" i="31"/>
  <c r="H24" i="31"/>
  <c r="L22" i="31"/>
  <c r="P22" i="31" s="1"/>
  <c r="H18" i="36"/>
  <c r="G18" i="36"/>
  <c r="F18" i="36"/>
  <c r="F64" i="36" s="1"/>
  <c r="F66" i="36" s="1"/>
  <c r="L137" i="31" l="1"/>
  <c r="L130" i="31"/>
  <c r="P130" i="31" s="1"/>
  <c r="Q47" i="42"/>
  <c r="R47" i="42" s="1"/>
  <c r="J47" i="42"/>
  <c r="K47" i="42" s="1"/>
  <c r="L47" i="42" s="1"/>
  <c r="M47" i="42"/>
  <c r="N47" i="42" s="1"/>
  <c r="L162" i="31"/>
  <c r="G53" i="42"/>
  <c r="I164" i="31"/>
  <c r="U42" i="26"/>
  <c r="O12" i="26"/>
  <c r="P12" i="26" s="1"/>
  <c r="Q12" i="26"/>
  <c r="R12" i="26" s="1"/>
  <c r="O7" i="26"/>
  <c r="P7" i="26" s="1"/>
  <c r="Q7" i="26"/>
  <c r="R7" i="26" s="1"/>
  <c r="O10" i="26"/>
  <c r="P10" i="26" s="1"/>
  <c r="Q10" i="26"/>
  <c r="R10" i="26" s="1"/>
  <c r="M10" i="26"/>
  <c r="N10" i="26" s="1"/>
  <c r="M12" i="26"/>
  <c r="N12" i="26" s="1"/>
  <c r="F42" i="28"/>
  <c r="U42" i="28" s="1"/>
  <c r="M7" i="26"/>
  <c r="N7" i="26" s="1"/>
  <c r="L160" i="31"/>
  <c r="L159" i="31"/>
  <c r="Q82" i="33"/>
  <c r="K49" i="31"/>
  <c r="K52" i="31"/>
  <c r="O22" i="31"/>
  <c r="F47" i="26"/>
  <c r="G42" i="28"/>
  <c r="P137" i="31"/>
  <c r="O137" i="31"/>
  <c r="H47" i="26"/>
  <c r="G47" i="26"/>
  <c r="M47" i="26" s="1"/>
  <c r="N47" i="26" s="1"/>
  <c r="I47" i="26"/>
  <c r="H53" i="26"/>
  <c r="G53" i="26"/>
  <c r="M53" i="26" s="1"/>
  <c r="N53" i="26" s="1"/>
  <c r="G49" i="26"/>
  <c r="M49" i="26" s="1"/>
  <c r="N49" i="26" s="1"/>
  <c r="O158" i="31"/>
  <c r="P162" i="31"/>
  <c r="G158" i="31"/>
  <c r="G159" i="31"/>
  <c r="K160" i="31"/>
  <c r="G160" i="31"/>
  <c r="H167" i="31"/>
  <c r="I167" i="31" s="1"/>
  <c r="H48" i="26"/>
  <c r="O48" i="26" s="1"/>
  <c r="P48" i="26" s="1"/>
  <c r="G157" i="31"/>
  <c r="K162" i="31"/>
  <c r="G162" i="31"/>
  <c r="O140" i="31"/>
  <c r="L127" i="31"/>
  <c r="P127" i="31" s="1"/>
  <c r="O127" i="31" s="1"/>
  <c r="G125" i="31"/>
  <c r="G142" i="31"/>
  <c r="G146" i="31"/>
  <c r="G141" i="31"/>
  <c r="G133" i="31"/>
  <c r="G131" i="31"/>
  <c r="G143" i="31"/>
  <c r="L128" i="31"/>
  <c r="G126" i="31"/>
  <c r="G144" i="31"/>
  <c r="O136" i="31"/>
  <c r="K134" i="31"/>
  <c r="G132" i="31"/>
  <c r="G145" i="31"/>
  <c r="L122" i="31"/>
  <c r="P122" i="31" s="1"/>
  <c r="G91" i="31"/>
  <c r="G71" i="31"/>
  <c r="G78" i="31"/>
  <c r="P78" i="31"/>
  <c r="O78" i="31" s="1"/>
  <c r="K78" i="31"/>
  <c r="G72" i="31"/>
  <c r="K72" i="31"/>
  <c r="O72" i="31"/>
  <c r="G75" i="31"/>
  <c r="P75" i="31"/>
  <c r="O75" i="31" s="1"/>
  <c r="K74" i="31"/>
  <c r="P74" i="31"/>
  <c r="O74" i="31" s="1"/>
  <c r="G74" i="31"/>
  <c r="P73" i="31"/>
  <c r="O73" i="31" s="1"/>
  <c r="K73" i="31"/>
  <c r="G73" i="31"/>
  <c r="P76" i="31"/>
  <c r="O76" i="31" s="1"/>
  <c r="K76" i="31"/>
  <c r="G76" i="31"/>
  <c r="P71" i="31"/>
  <c r="O71" i="31" s="1"/>
  <c r="K71" i="31"/>
  <c r="G77" i="31"/>
  <c r="L50" i="31"/>
  <c r="P52" i="31"/>
  <c r="O52" i="31" s="1"/>
  <c r="P49" i="31"/>
  <c r="O49" i="31" s="1"/>
  <c r="G12" i="31"/>
  <c r="O11" i="31"/>
  <c r="O12" i="31"/>
  <c r="O13" i="31"/>
  <c r="O14" i="31"/>
  <c r="O15" i="31"/>
  <c r="O16" i="31"/>
  <c r="O18" i="31"/>
  <c r="O24" i="31"/>
  <c r="K11" i="31"/>
  <c r="K12" i="31"/>
  <c r="K13" i="31"/>
  <c r="K14" i="31"/>
  <c r="K15" i="31"/>
  <c r="K16" i="31"/>
  <c r="K18" i="31"/>
  <c r="K20" i="31"/>
  <c r="K21" i="31"/>
  <c r="K22" i="31"/>
  <c r="K24" i="31"/>
  <c r="G11" i="31"/>
  <c r="G13" i="31"/>
  <c r="G14" i="31"/>
  <c r="G15" i="31"/>
  <c r="G16" i="31"/>
  <c r="G18" i="31"/>
  <c r="G20" i="31"/>
  <c r="G21" i="31"/>
  <c r="G22" i="31"/>
  <c r="O47" i="26" l="1"/>
  <c r="P47" i="26" s="1"/>
  <c r="M53" i="42"/>
  <c r="N53" i="42" s="1"/>
  <c r="G55" i="42"/>
  <c r="M55" i="42" s="1"/>
  <c r="N55" i="42" s="1"/>
  <c r="I53" i="26"/>
  <c r="Q53" i="26" s="1"/>
  <c r="R53" i="26" s="1"/>
  <c r="I53" i="42"/>
  <c r="Q164" i="31"/>
  <c r="H49" i="42"/>
  <c r="O49" i="42" s="1"/>
  <c r="P49" i="42" s="1"/>
  <c r="H53" i="42"/>
  <c r="M164" i="31"/>
  <c r="O53" i="26"/>
  <c r="P53" i="26" s="1"/>
  <c r="Q47" i="26"/>
  <c r="R47" i="26" s="1"/>
  <c r="V42" i="28"/>
  <c r="M42" i="28"/>
  <c r="N42" i="28" s="1"/>
  <c r="H55" i="26"/>
  <c r="G55" i="26"/>
  <c r="M55" i="26" s="1"/>
  <c r="N55" i="26" s="1"/>
  <c r="P159" i="31"/>
  <c r="M159" i="31"/>
  <c r="K50" i="31"/>
  <c r="O133" i="31"/>
  <c r="L126" i="31"/>
  <c r="P126" i="31" s="1"/>
  <c r="O126" i="31" s="1"/>
  <c r="G128" i="31"/>
  <c r="L131" i="31"/>
  <c r="P131" i="31" s="1"/>
  <c r="O131" i="31" s="1"/>
  <c r="G127" i="31"/>
  <c r="K158" i="31"/>
  <c r="G136" i="31"/>
  <c r="K91" i="31"/>
  <c r="H42" i="26"/>
  <c r="O42" i="26" s="1"/>
  <c r="P42" i="26" s="1"/>
  <c r="K127" i="31"/>
  <c r="K159" i="31"/>
  <c r="H49" i="26"/>
  <c r="O49" i="26" s="1"/>
  <c r="P49" i="26" s="1"/>
  <c r="O162" i="31"/>
  <c r="K157" i="31"/>
  <c r="K140" i="31"/>
  <c r="G123" i="31"/>
  <c r="K132" i="31"/>
  <c r="G140" i="31"/>
  <c r="G138" i="31"/>
  <c r="G167" i="31"/>
  <c r="I48" i="26"/>
  <c r="Q48" i="26" s="1"/>
  <c r="R48" i="26" s="1"/>
  <c r="L167" i="31"/>
  <c r="M167" i="31" s="1"/>
  <c r="P160" i="31"/>
  <c r="L125" i="31"/>
  <c r="K125" i="31" s="1"/>
  <c r="O134" i="31"/>
  <c r="G134" i="31"/>
  <c r="K145" i="31"/>
  <c r="K141" i="31"/>
  <c r="K136" i="31"/>
  <c r="G129" i="31"/>
  <c r="K144" i="31"/>
  <c r="G139" i="31"/>
  <c r="K146" i="31"/>
  <c r="G130" i="31"/>
  <c r="G124" i="31"/>
  <c r="L124" i="31"/>
  <c r="K143" i="31"/>
  <c r="G135" i="31"/>
  <c r="K142" i="31"/>
  <c r="O138" i="31"/>
  <c r="K138" i="31"/>
  <c r="P128" i="31"/>
  <c r="O128" i="31" s="1"/>
  <c r="K128" i="31"/>
  <c r="O123" i="31"/>
  <c r="K123" i="31"/>
  <c r="I42" i="26"/>
  <c r="P77" i="31"/>
  <c r="O77" i="31" s="1"/>
  <c r="K77" i="31"/>
  <c r="K19" i="31"/>
  <c r="G19" i="31"/>
  <c r="P50" i="31"/>
  <c r="O50" i="31" s="1"/>
  <c r="G24" i="31"/>
  <c r="D55" i="34"/>
  <c r="D59" i="33"/>
  <c r="I59" i="33" s="1"/>
  <c r="AC86" i="34"/>
  <c r="Y86" i="34"/>
  <c r="U86" i="34"/>
  <c r="Q86" i="34"/>
  <c r="M86" i="34"/>
  <c r="I86" i="34"/>
  <c r="AC85" i="34"/>
  <c r="Y85" i="34"/>
  <c r="U85" i="34"/>
  <c r="Q85" i="34"/>
  <c r="M85" i="34"/>
  <c r="I85" i="34"/>
  <c r="H85" i="34" s="1"/>
  <c r="AC84" i="34"/>
  <c r="Y84" i="34"/>
  <c r="U84" i="34"/>
  <c r="Q84" i="34"/>
  <c r="M84" i="34"/>
  <c r="I84" i="34"/>
  <c r="H84" i="34" s="1"/>
  <c r="AC83" i="34"/>
  <c r="Y83" i="34"/>
  <c r="U83" i="34"/>
  <c r="Q83" i="34"/>
  <c r="M83" i="34"/>
  <c r="I83" i="34"/>
  <c r="H83" i="34" s="1"/>
  <c r="AC82" i="34"/>
  <c r="Y82" i="34"/>
  <c r="U82" i="34"/>
  <c r="Q82" i="34"/>
  <c r="M82" i="34"/>
  <c r="I82" i="34"/>
  <c r="H82" i="34" s="1"/>
  <c r="AC81" i="34"/>
  <c r="Y81" i="34"/>
  <c r="U81" i="34"/>
  <c r="Q81" i="34"/>
  <c r="M81" i="34"/>
  <c r="I81" i="34"/>
  <c r="H81" i="34" s="1"/>
  <c r="AC80" i="34"/>
  <c r="Y80" i="34"/>
  <c r="U80" i="34"/>
  <c r="Q80" i="34"/>
  <c r="M80" i="34"/>
  <c r="I80" i="34"/>
  <c r="H80" i="34" s="1"/>
  <c r="AC79" i="34"/>
  <c r="Y79" i="34"/>
  <c r="U79" i="34"/>
  <c r="Q79" i="34"/>
  <c r="M79" i="34"/>
  <c r="I79" i="34"/>
  <c r="H79" i="34" s="1"/>
  <c r="AC78" i="34"/>
  <c r="Y78" i="34"/>
  <c r="U78" i="34"/>
  <c r="Q78" i="34"/>
  <c r="M78" i="34"/>
  <c r="I78" i="34"/>
  <c r="H78" i="34" s="1"/>
  <c r="AC77" i="34"/>
  <c r="Y77" i="34"/>
  <c r="U77" i="34"/>
  <c r="Q77" i="34"/>
  <c r="M77" i="34"/>
  <c r="I77" i="34"/>
  <c r="H77" i="34" s="1"/>
  <c r="AC76" i="34"/>
  <c r="Y76" i="34"/>
  <c r="U76" i="34"/>
  <c r="Q76" i="34"/>
  <c r="M76" i="34"/>
  <c r="I76" i="34"/>
  <c r="H76" i="34" s="1"/>
  <c r="AC75" i="34"/>
  <c r="Y75" i="34"/>
  <c r="U75" i="34"/>
  <c r="Q75" i="34"/>
  <c r="M75" i="34"/>
  <c r="I75" i="34"/>
  <c r="H75" i="34" s="1"/>
  <c r="AC74" i="34"/>
  <c r="Y74" i="34"/>
  <c r="U74" i="34"/>
  <c r="D71" i="34"/>
  <c r="AC70" i="34"/>
  <c r="Y70" i="34"/>
  <c r="U70" i="34"/>
  <c r="Q70" i="34"/>
  <c r="M70" i="34"/>
  <c r="I70" i="34"/>
  <c r="H70" i="34" s="1"/>
  <c r="G70" i="34"/>
  <c r="Q69" i="34"/>
  <c r="M69" i="34"/>
  <c r="I69" i="34"/>
  <c r="H69" i="34" s="1"/>
  <c r="G69" i="34"/>
  <c r="Q68" i="34"/>
  <c r="M68" i="34"/>
  <c r="I68" i="34"/>
  <c r="H68" i="34" s="1"/>
  <c r="G68" i="34"/>
  <c r="Q67" i="34"/>
  <c r="M67" i="34"/>
  <c r="I67" i="34"/>
  <c r="H67" i="34" s="1"/>
  <c r="G67" i="34"/>
  <c r="AC66" i="34"/>
  <c r="Y66" i="34"/>
  <c r="U66" i="34"/>
  <c r="Q66" i="34"/>
  <c r="M66" i="34"/>
  <c r="I66" i="34"/>
  <c r="H66" i="34" s="1"/>
  <c r="G66" i="34"/>
  <c r="AC65" i="34"/>
  <c r="Y65" i="34"/>
  <c r="U65" i="34"/>
  <c r="Q65" i="34"/>
  <c r="M65" i="34"/>
  <c r="I65" i="34"/>
  <c r="H65" i="34" s="1"/>
  <c r="G65" i="34"/>
  <c r="AC64" i="34"/>
  <c r="Y64" i="34"/>
  <c r="U64" i="34"/>
  <c r="Q64" i="34"/>
  <c r="M64" i="34"/>
  <c r="I64" i="34"/>
  <c r="H64" i="34" s="1"/>
  <c r="G64" i="34"/>
  <c r="AC63" i="34"/>
  <c r="Y63" i="34"/>
  <c r="U63" i="34"/>
  <c r="Q63" i="34"/>
  <c r="M63" i="34"/>
  <c r="I63" i="34"/>
  <c r="H63" i="34" s="1"/>
  <c r="G63" i="34"/>
  <c r="AC62" i="34"/>
  <c r="Y62" i="34"/>
  <c r="U62" i="34"/>
  <c r="Q62" i="34"/>
  <c r="M62" i="34"/>
  <c r="I62" i="34"/>
  <c r="H62" i="34" s="1"/>
  <c r="K62" i="34" s="1"/>
  <c r="G62" i="34"/>
  <c r="AC61" i="34"/>
  <c r="Y61" i="34"/>
  <c r="U61" i="34"/>
  <c r="G61" i="34"/>
  <c r="H53" i="34"/>
  <c r="G53" i="34"/>
  <c r="AC52" i="34"/>
  <c r="Y52" i="34"/>
  <c r="U52" i="34"/>
  <c r="Q52" i="34"/>
  <c r="M52" i="34"/>
  <c r="I52" i="34"/>
  <c r="E52" i="34"/>
  <c r="AC51" i="34"/>
  <c r="Y51" i="34"/>
  <c r="U51" i="34"/>
  <c r="Q51" i="34"/>
  <c r="M51" i="34"/>
  <c r="I51" i="34"/>
  <c r="E51" i="34"/>
  <c r="AC50" i="34"/>
  <c r="Y50" i="34"/>
  <c r="U50" i="34"/>
  <c r="Q50" i="34"/>
  <c r="M50" i="34"/>
  <c r="G50" i="34"/>
  <c r="AC49" i="34"/>
  <c r="Y49" i="34"/>
  <c r="U49" i="34"/>
  <c r="Q49" i="34"/>
  <c r="M49" i="34"/>
  <c r="I49" i="34"/>
  <c r="E49" i="34"/>
  <c r="AC48" i="34"/>
  <c r="Y48" i="34"/>
  <c r="U48" i="34"/>
  <c r="Q48" i="34"/>
  <c r="M48" i="34"/>
  <c r="I48" i="34"/>
  <c r="E48" i="34"/>
  <c r="AC47" i="34"/>
  <c r="Y47" i="34"/>
  <c r="U47" i="34"/>
  <c r="Q47" i="34"/>
  <c r="M47" i="34"/>
  <c r="I47" i="34"/>
  <c r="E47" i="34"/>
  <c r="U46" i="34"/>
  <c r="Q46" i="34"/>
  <c r="M46" i="34"/>
  <c r="I46" i="34"/>
  <c r="E46" i="34"/>
  <c r="D43" i="34"/>
  <c r="AC41" i="34"/>
  <c r="Y41" i="34"/>
  <c r="U41" i="34"/>
  <c r="Q41" i="34"/>
  <c r="M41" i="34"/>
  <c r="I41" i="34"/>
  <c r="H41" i="34"/>
  <c r="L41" i="34" s="1"/>
  <c r="O41" i="34" s="1"/>
  <c r="G41" i="34"/>
  <c r="AC40" i="34"/>
  <c r="Y40" i="34"/>
  <c r="U40" i="34"/>
  <c r="Q40" i="34"/>
  <c r="M40" i="34"/>
  <c r="I40" i="34"/>
  <c r="H40" i="34"/>
  <c r="G40" i="34"/>
  <c r="AC39" i="34"/>
  <c r="Y39" i="34"/>
  <c r="U39" i="34"/>
  <c r="Q39" i="34"/>
  <c r="M39" i="34"/>
  <c r="I39" i="34"/>
  <c r="H39" i="34"/>
  <c r="L39" i="34" s="1"/>
  <c r="G39" i="34"/>
  <c r="AC38" i="34"/>
  <c r="Y38" i="34"/>
  <c r="U38" i="34"/>
  <c r="Q38" i="34"/>
  <c r="M38" i="34"/>
  <c r="I38" i="34"/>
  <c r="H38" i="34"/>
  <c r="G38" i="34"/>
  <c r="AC37" i="34"/>
  <c r="Y37" i="34"/>
  <c r="U37" i="34"/>
  <c r="Q37" i="34"/>
  <c r="M37" i="34"/>
  <c r="I37" i="34"/>
  <c r="H37" i="34"/>
  <c r="L37" i="34" s="1"/>
  <c r="O37" i="34" s="1"/>
  <c r="G37" i="34"/>
  <c r="AC36" i="34"/>
  <c r="Y36" i="34"/>
  <c r="U36" i="34"/>
  <c r="Q36" i="34"/>
  <c r="M36" i="34"/>
  <c r="I36" i="34"/>
  <c r="H36" i="34"/>
  <c r="L36" i="34" s="1"/>
  <c r="O36" i="34" s="1"/>
  <c r="G36" i="34"/>
  <c r="AC35" i="34"/>
  <c r="Y35" i="34"/>
  <c r="U35" i="34"/>
  <c r="T35" i="34"/>
  <c r="D32" i="34"/>
  <c r="O31" i="34"/>
  <c r="K31" i="34"/>
  <c r="G31" i="34"/>
  <c r="Q30" i="34"/>
  <c r="M30" i="34"/>
  <c r="I30" i="34"/>
  <c r="H30" i="34"/>
  <c r="L30" i="34" s="1"/>
  <c r="P30" i="34" s="1"/>
  <c r="G30" i="34"/>
  <c r="Q29" i="34"/>
  <c r="M29" i="34"/>
  <c r="I29" i="34"/>
  <c r="H29" i="34"/>
  <c r="K29" i="34" s="1"/>
  <c r="G29" i="34"/>
  <c r="AC28" i="34"/>
  <c r="Y28" i="34"/>
  <c r="U28" i="34"/>
  <c r="Q28" i="34"/>
  <c r="M28" i="34"/>
  <c r="I28" i="34"/>
  <c r="H28" i="34"/>
  <c r="K28" i="34" s="1"/>
  <c r="G28" i="34"/>
  <c r="AC27" i="34"/>
  <c r="Y27" i="34"/>
  <c r="U27" i="34"/>
  <c r="Q27" i="34"/>
  <c r="M27" i="34"/>
  <c r="I27" i="34"/>
  <c r="H27" i="34"/>
  <c r="L27" i="34" s="1"/>
  <c r="O27" i="34" s="1"/>
  <c r="G27" i="34"/>
  <c r="AC26" i="34"/>
  <c r="Y26" i="34"/>
  <c r="U26" i="34"/>
  <c r="Q26" i="34"/>
  <c r="M26" i="34"/>
  <c r="I26" i="34"/>
  <c r="H26" i="34"/>
  <c r="K26" i="34" s="1"/>
  <c r="G26" i="34"/>
  <c r="AC25" i="34"/>
  <c r="Y25" i="34"/>
  <c r="U25" i="34"/>
  <c r="Q25" i="34"/>
  <c r="M25" i="34"/>
  <c r="I25" i="34"/>
  <c r="H25" i="34"/>
  <c r="L25" i="34" s="1"/>
  <c r="G25" i="34"/>
  <c r="AC24" i="34"/>
  <c r="Y24" i="34"/>
  <c r="U24" i="34"/>
  <c r="Q24" i="34"/>
  <c r="M24" i="34"/>
  <c r="I24" i="34"/>
  <c r="H24" i="34"/>
  <c r="K24" i="34" s="1"/>
  <c r="G24" i="34"/>
  <c r="AC23" i="34"/>
  <c r="Y23" i="34"/>
  <c r="U23" i="34"/>
  <c r="Q23" i="34"/>
  <c r="M23" i="34"/>
  <c r="I23" i="34"/>
  <c r="H23" i="34"/>
  <c r="L23" i="34" s="1"/>
  <c r="G23" i="34"/>
  <c r="AC22" i="34"/>
  <c r="Y22" i="34"/>
  <c r="U22" i="34"/>
  <c r="Q22" i="34"/>
  <c r="M22" i="34"/>
  <c r="I22" i="34"/>
  <c r="H22" i="34"/>
  <c r="K22" i="34" s="1"/>
  <c r="G22" i="34"/>
  <c r="AC21" i="34"/>
  <c r="Y21" i="34"/>
  <c r="U21" i="34"/>
  <c r="H11" i="34"/>
  <c r="D11" i="34"/>
  <c r="AB10" i="34"/>
  <c r="X10" i="34"/>
  <c r="AA10" i="34" s="1"/>
  <c r="T10" i="34"/>
  <c r="W10" i="34" s="1"/>
  <c r="S10" i="34"/>
  <c r="P10" i="34"/>
  <c r="L10" i="34"/>
  <c r="K10" i="34"/>
  <c r="G10" i="34"/>
  <c r="G9" i="34"/>
  <c r="H6" i="34"/>
  <c r="L6" i="34" s="1"/>
  <c r="P6" i="34" s="1"/>
  <c r="T6" i="34" s="1"/>
  <c r="X6" i="34" s="1"/>
  <c r="AB6" i="34" s="1"/>
  <c r="AB3" i="34"/>
  <c r="AB9" i="34" s="1"/>
  <c r="AB11" i="34" s="1"/>
  <c r="X3" i="34"/>
  <c r="X9" i="34" s="1"/>
  <c r="T3" i="34"/>
  <c r="T9" i="34" s="1"/>
  <c r="T11" i="34" s="1"/>
  <c r="P3" i="34"/>
  <c r="L3" i="34"/>
  <c r="H3" i="34"/>
  <c r="D3" i="34"/>
  <c r="AC75" i="33"/>
  <c r="Y75" i="33"/>
  <c r="U75" i="33"/>
  <c r="AC74" i="33"/>
  <c r="Y74" i="33"/>
  <c r="U74" i="33"/>
  <c r="AC73" i="33"/>
  <c r="Y73" i="33"/>
  <c r="U73" i="33"/>
  <c r="P73" i="33"/>
  <c r="AC72" i="33"/>
  <c r="Y72" i="33"/>
  <c r="U72" i="33"/>
  <c r="P72" i="33"/>
  <c r="AC71" i="33"/>
  <c r="Y71" i="33"/>
  <c r="U71" i="33"/>
  <c r="P71" i="33"/>
  <c r="AC69" i="33"/>
  <c r="Y69" i="33"/>
  <c r="U69" i="33"/>
  <c r="L69" i="33"/>
  <c r="P69" i="33" s="1"/>
  <c r="AC68" i="33"/>
  <c r="Y68" i="33"/>
  <c r="U68" i="33"/>
  <c r="L68" i="33"/>
  <c r="P68" i="33" s="1"/>
  <c r="AC67" i="33"/>
  <c r="Y67" i="33"/>
  <c r="U67" i="33"/>
  <c r="P67" i="33"/>
  <c r="AC66" i="33"/>
  <c r="Y66" i="33"/>
  <c r="U66" i="33"/>
  <c r="L66" i="33"/>
  <c r="P66" i="33" s="1"/>
  <c r="AC65" i="33"/>
  <c r="Y65" i="33"/>
  <c r="U65" i="33"/>
  <c r="AC64" i="33"/>
  <c r="Y64" i="33"/>
  <c r="U64" i="33"/>
  <c r="L64" i="33"/>
  <c r="P64" i="33" s="1"/>
  <c r="AC63" i="33"/>
  <c r="Y63" i="33"/>
  <c r="U63" i="33"/>
  <c r="P63" i="33"/>
  <c r="AC62" i="33"/>
  <c r="Y62" i="33"/>
  <c r="U62" i="33"/>
  <c r="AC58" i="33"/>
  <c r="Y58" i="33"/>
  <c r="U58" i="33"/>
  <c r="L58" i="33"/>
  <c r="P58" i="33" s="1"/>
  <c r="G58" i="33"/>
  <c r="L57" i="33"/>
  <c r="P57" i="33" s="1"/>
  <c r="G57" i="33"/>
  <c r="AC54" i="33"/>
  <c r="Y54" i="33"/>
  <c r="U54" i="33"/>
  <c r="AC53" i="33"/>
  <c r="Y53" i="33"/>
  <c r="U53" i="33"/>
  <c r="AC52" i="33"/>
  <c r="Y52" i="33"/>
  <c r="U52" i="33"/>
  <c r="AC51" i="33"/>
  <c r="Y51" i="33"/>
  <c r="U51" i="33"/>
  <c r="AC50" i="33"/>
  <c r="Y50" i="33"/>
  <c r="U50" i="33"/>
  <c r="G50" i="33"/>
  <c r="AC49" i="33"/>
  <c r="Y49" i="33"/>
  <c r="U49" i="33"/>
  <c r="L41" i="33"/>
  <c r="AC40" i="33"/>
  <c r="Y40" i="33"/>
  <c r="U40" i="33"/>
  <c r="Q40" i="33"/>
  <c r="M40" i="33"/>
  <c r="I40" i="33"/>
  <c r="E40" i="33"/>
  <c r="AC39" i="33"/>
  <c r="Y39" i="33"/>
  <c r="U39" i="33"/>
  <c r="Q39" i="33"/>
  <c r="M39" i="33"/>
  <c r="I39" i="33"/>
  <c r="E39" i="33"/>
  <c r="AC38" i="33"/>
  <c r="Y38" i="33"/>
  <c r="U38" i="33"/>
  <c r="AC37" i="33"/>
  <c r="Y37" i="33"/>
  <c r="U37" i="33"/>
  <c r="Q37" i="33"/>
  <c r="M37" i="33"/>
  <c r="I37" i="33"/>
  <c r="E37" i="33"/>
  <c r="AC36" i="33"/>
  <c r="Y36" i="33"/>
  <c r="U36" i="33"/>
  <c r="Q36" i="33"/>
  <c r="M36" i="33"/>
  <c r="I36" i="33"/>
  <c r="E36" i="33"/>
  <c r="AC35" i="33"/>
  <c r="Y35" i="33"/>
  <c r="U35" i="33"/>
  <c r="Q35" i="33"/>
  <c r="M35" i="33"/>
  <c r="I35" i="33"/>
  <c r="E35" i="33"/>
  <c r="U34" i="33"/>
  <c r="Q34" i="33"/>
  <c r="M34" i="33"/>
  <c r="I34" i="33"/>
  <c r="E34" i="33"/>
  <c r="D43" i="33"/>
  <c r="AC30" i="33"/>
  <c r="Y30" i="33"/>
  <c r="U30" i="33"/>
  <c r="AC29" i="33"/>
  <c r="Y29" i="33"/>
  <c r="U29" i="33"/>
  <c r="AC27" i="33"/>
  <c r="Y27" i="33"/>
  <c r="U27" i="33"/>
  <c r="D31" i="33"/>
  <c r="I31" i="33" s="1"/>
  <c r="D24" i="33"/>
  <c r="AC23" i="33"/>
  <c r="Y23" i="33"/>
  <c r="U23" i="33"/>
  <c r="AC22" i="33"/>
  <c r="Y22" i="33"/>
  <c r="U22" i="33"/>
  <c r="AC21" i="33"/>
  <c r="Y21" i="33"/>
  <c r="U21" i="33"/>
  <c r="H11" i="33"/>
  <c r="D11" i="33"/>
  <c r="AB10" i="33"/>
  <c r="X10" i="33"/>
  <c r="AA10" i="33" s="1"/>
  <c r="W10" i="33"/>
  <c r="T10" i="33"/>
  <c r="P10" i="33"/>
  <c r="S10" i="33" s="1"/>
  <c r="O10" i="33"/>
  <c r="L10" i="33"/>
  <c r="K10" i="33"/>
  <c r="G10" i="33"/>
  <c r="T9" i="33"/>
  <c r="G9" i="33"/>
  <c r="H6" i="33"/>
  <c r="L6" i="33" s="1"/>
  <c r="P6" i="33" s="1"/>
  <c r="T6" i="33" s="1"/>
  <c r="X6" i="33" s="1"/>
  <c r="AB6" i="33" s="1"/>
  <c r="AB3" i="33"/>
  <c r="AB9" i="33" s="1"/>
  <c r="AB11" i="33" s="1"/>
  <c r="X3" i="33"/>
  <c r="X9" i="33" s="1"/>
  <c r="T3" i="33"/>
  <c r="P3" i="33"/>
  <c r="L3" i="33"/>
  <c r="H3" i="33"/>
  <c r="D3" i="33"/>
  <c r="G93" i="32"/>
  <c r="Q93" i="32"/>
  <c r="Q94" i="32"/>
  <c r="M93" i="32"/>
  <c r="M94" i="32"/>
  <c r="I93" i="32"/>
  <c r="H93" i="32" s="1"/>
  <c r="K93" i="32" s="1"/>
  <c r="G92" i="32"/>
  <c r="I94" i="32"/>
  <c r="AC94" i="32"/>
  <c r="Y94" i="32"/>
  <c r="U94" i="32"/>
  <c r="AC90" i="32"/>
  <c r="Y90" i="32"/>
  <c r="U90" i="32"/>
  <c r="AC89" i="32"/>
  <c r="Y89" i="32"/>
  <c r="U89" i="32"/>
  <c r="AC88" i="32"/>
  <c r="Y88" i="32"/>
  <c r="U88" i="32"/>
  <c r="G88" i="32"/>
  <c r="AC87" i="32"/>
  <c r="Y87" i="32"/>
  <c r="U87" i="32"/>
  <c r="AC86" i="32"/>
  <c r="Y86" i="32"/>
  <c r="U86" i="32"/>
  <c r="G86" i="32"/>
  <c r="AC85" i="32"/>
  <c r="Y85" i="32"/>
  <c r="U85" i="32"/>
  <c r="AC83" i="32"/>
  <c r="Y83" i="32"/>
  <c r="U83" i="32"/>
  <c r="AC81" i="32"/>
  <c r="Y81" i="32"/>
  <c r="U81" i="32"/>
  <c r="G81" i="32"/>
  <c r="AC80" i="32"/>
  <c r="Y80" i="32"/>
  <c r="U80" i="32"/>
  <c r="G80" i="32"/>
  <c r="AC79" i="32"/>
  <c r="Y79" i="32"/>
  <c r="U79" i="32"/>
  <c r="AC78" i="32"/>
  <c r="Y78" i="32"/>
  <c r="U78" i="32"/>
  <c r="AC76" i="32"/>
  <c r="Y76" i="32"/>
  <c r="U76" i="32"/>
  <c r="G76" i="32"/>
  <c r="D73" i="32"/>
  <c r="AC72" i="32"/>
  <c r="Y72" i="32"/>
  <c r="U72" i="32"/>
  <c r="Q72" i="32"/>
  <c r="M72" i="32"/>
  <c r="I72" i="32"/>
  <c r="H72" i="32" s="1"/>
  <c r="G72" i="32"/>
  <c r="Q71" i="32"/>
  <c r="M71" i="32"/>
  <c r="I71" i="32"/>
  <c r="H71" i="32" s="1"/>
  <c r="G71" i="32"/>
  <c r="AC68" i="32"/>
  <c r="Y68" i="32"/>
  <c r="U68" i="32"/>
  <c r="G68" i="32"/>
  <c r="AC67" i="32"/>
  <c r="Y67" i="32"/>
  <c r="U67" i="32"/>
  <c r="G67" i="32"/>
  <c r="AC66" i="32"/>
  <c r="Y66" i="32"/>
  <c r="U66" i="32"/>
  <c r="G66" i="32"/>
  <c r="AC65" i="32"/>
  <c r="Y65" i="32"/>
  <c r="U65" i="32"/>
  <c r="G65" i="32"/>
  <c r="AC64" i="32"/>
  <c r="Y64" i="32"/>
  <c r="U64" i="32"/>
  <c r="G64" i="32"/>
  <c r="AC63" i="32"/>
  <c r="Y63" i="32"/>
  <c r="U63" i="32"/>
  <c r="D57" i="32"/>
  <c r="L55" i="32"/>
  <c r="AC54" i="32"/>
  <c r="Y54" i="32"/>
  <c r="U54" i="32"/>
  <c r="Q54" i="32"/>
  <c r="P54" i="32" s="1"/>
  <c r="M54" i="32"/>
  <c r="L54" i="32" s="1"/>
  <c r="I54" i="32"/>
  <c r="E54" i="32"/>
  <c r="AC53" i="32"/>
  <c r="Y53" i="32"/>
  <c r="U53" i="32"/>
  <c r="Q53" i="32"/>
  <c r="P53" i="32" s="1"/>
  <c r="M53" i="32"/>
  <c r="I53" i="32"/>
  <c r="E53" i="32"/>
  <c r="AC52" i="32"/>
  <c r="Y52" i="32"/>
  <c r="U52" i="32"/>
  <c r="Q52" i="32"/>
  <c r="M52" i="32"/>
  <c r="L52" i="32" s="1"/>
  <c r="G52" i="32"/>
  <c r="AC51" i="32"/>
  <c r="Y51" i="32"/>
  <c r="U51" i="32"/>
  <c r="Q51" i="32"/>
  <c r="P51" i="32" s="1"/>
  <c r="M51" i="32"/>
  <c r="L51" i="32" s="1"/>
  <c r="I51" i="32"/>
  <c r="E51" i="32"/>
  <c r="AC50" i="32"/>
  <c r="Y50" i="32"/>
  <c r="U50" i="32"/>
  <c r="Q50" i="32"/>
  <c r="P50" i="32" s="1"/>
  <c r="M50" i="32"/>
  <c r="L50" i="32" s="1"/>
  <c r="I50" i="32"/>
  <c r="E50" i="32"/>
  <c r="AC49" i="32"/>
  <c r="Y49" i="32"/>
  <c r="U49" i="32"/>
  <c r="Q49" i="32"/>
  <c r="P49" i="32" s="1"/>
  <c r="M49" i="32"/>
  <c r="L49" i="32" s="1"/>
  <c r="I49" i="32"/>
  <c r="E49" i="32"/>
  <c r="U48" i="32"/>
  <c r="Q48" i="32"/>
  <c r="M48" i="32"/>
  <c r="I48" i="32"/>
  <c r="G48" i="32"/>
  <c r="E48" i="32"/>
  <c r="D45" i="32"/>
  <c r="AC43" i="32"/>
  <c r="Y43" i="32"/>
  <c r="U43" i="32"/>
  <c r="G43" i="32"/>
  <c r="AC42" i="32"/>
  <c r="Y42" i="32"/>
  <c r="U42" i="32"/>
  <c r="Q42" i="32"/>
  <c r="M42" i="32"/>
  <c r="L42" i="32"/>
  <c r="P42" i="32" s="1"/>
  <c r="G42" i="32"/>
  <c r="AC41" i="32"/>
  <c r="Y41" i="32"/>
  <c r="U41" i="32"/>
  <c r="Q41" i="32"/>
  <c r="M41" i="32"/>
  <c r="AC40" i="32"/>
  <c r="Y40" i="32"/>
  <c r="U40" i="32"/>
  <c r="AC37" i="32"/>
  <c r="Y37" i="32"/>
  <c r="U37" i="32"/>
  <c r="Q37" i="32"/>
  <c r="M37" i="32"/>
  <c r="G37" i="32"/>
  <c r="AC36" i="32"/>
  <c r="Y36" i="32"/>
  <c r="U36" i="32"/>
  <c r="Q36" i="32"/>
  <c r="M36" i="32"/>
  <c r="L36" i="32"/>
  <c r="AC35" i="32"/>
  <c r="Y35" i="32"/>
  <c r="U35" i="32"/>
  <c r="Q35" i="32"/>
  <c r="M35" i="32"/>
  <c r="D32" i="32"/>
  <c r="G32" i="32" s="1"/>
  <c r="O31" i="32"/>
  <c r="I31" i="32"/>
  <c r="H31" i="32"/>
  <c r="K31" i="32" s="1"/>
  <c r="G31" i="32"/>
  <c r="Q30" i="32"/>
  <c r="M30" i="32"/>
  <c r="I30" i="32"/>
  <c r="H30" i="32"/>
  <c r="K30" i="32" s="1"/>
  <c r="G30" i="32"/>
  <c r="Q29" i="32"/>
  <c r="M29" i="32"/>
  <c r="I29" i="32"/>
  <c r="H29" i="32"/>
  <c r="K29" i="32" s="1"/>
  <c r="G29" i="32"/>
  <c r="AC28" i="32"/>
  <c r="Y28" i="32"/>
  <c r="U28" i="32"/>
  <c r="Q28" i="32"/>
  <c r="M28" i="32"/>
  <c r="I28" i="32"/>
  <c r="H28" i="32"/>
  <c r="K28" i="32" s="1"/>
  <c r="G28" i="32"/>
  <c r="AC27" i="32"/>
  <c r="Y27" i="32"/>
  <c r="U27" i="32"/>
  <c r="Q27" i="32"/>
  <c r="M27" i="32"/>
  <c r="I27" i="32"/>
  <c r="H27" i="32"/>
  <c r="L27" i="32" s="1"/>
  <c r="G27" i="32"/>
  <c r="AC26" i="32"/>
  <c r="Y26" i="32"/>
  <c r="U26" i="32"/>
  <c r="Q26" i="32"/>
  <c r="M26" i="32"/>
  <c r="I26" i="32"/>
  <c r="H26" i="32"/>
  <c r="K26" i="32" s="1"/>
  <c r="G26" i="32"/>
  <c r="AC25" i="32"/>
  <c r="Y25" i="32"/>
  <c r="U25" i="32"/>
  <c r="Q25" i="32"/>
  <c r="M25" i="32"/>
  <c r="I25" i="32"/>
  <c r="H25" i="32"/>
  <c r="L25" i="32" s="1"/>
  <c r="G25" i="32"/>
  <c r="AC24" i="32"/>
  <c r="Y24" i="32"/>
  <c r="U24" i="32"/>
  <c r="Q24" i="32"/>
  <c r="M24" i="32"/>
  <c r="I24" i="32"/>
  <c r="H24" i="32"/>
  <c r="K24" i="32" s="1"/>
  <c r="G24" i="32"/>
  <c r="AC23" i="32"/>
  <c r="Y23" i="32"/>
  <c r="U23" i="32"/>
  <c r="Q23" i="32"/>
  <c r="M23" i="32"/>
  <c r="I23" i="32"/>
  <c r="H23" i="32"/>
  <c r="L23" i="32" s="1"/>
  <c r="G23" i="32"/>
  <c r="AC22" i="32"/>
  <c r="Y22" i="32"/>
  <c r="U22" i="32"/>
  <c r="Q22" i="32"/>
  <c r="M22" i="32"/>
  <c r="I22" i="32"/>
  <c r="H22" i="32"/>
  <c r="L22" i="32" s="1"/>
  <c r="G22" i="32"/>
  <c r="AC21" i="32"/>
  <c r="Y21" i="32"/>
  <c r="U21" i="32"/>
  <c r="Q21" i="32"/>
  <c r="M21" i="32"/>
  <c r="I21" i="32"/>
  <c r="H21" i="32"/>
  <c r="L21" i="32" s="1"/>
  <c r="G21" i="32"/>
  <c r="P11" i="32"/>
  <c r="H11" i="32"/>
  <c r="D11" i="32"/>
  <c r="AB10" i="32"/>
  <c r="X10" i="32"/>
  <c r="AA10" i="32" s="1"/>
  <c r="T10" i="32"/>
  <c r="W10" i="32" s="1"/>
  <c r="K10" i="32"/>
  <c r="G10" i="32"/>
  <c r="X9" i="32"/>
  <c r="AA9" i="32" s="1"/>
  <c r="O9" i="32"/>
  <c r="K9" i="32"/>
  <c r="G9" i="32"/>
  <c r="L6" i="32"/>
  <c r="P6" i="32" s="1"/>
  <c r="T6" i="32" s="1"/>
  <c r="X6" i="32" s="1"/>
  <c r="AB6" i="32" s="1"/>
  <c r="H6" i="32"/>
  <c r="AB3" i="32"/>
  <c r="AB9" i="32" s="1"/>
  <c r="AB11" i="32" s="1"/>
  <c r="X3" i="32"/>
  <c r="T3" i="32"/>
  <c r="T9" i="32" s="1"/>
  <c r="T11" i="32" s="1"/>
  <c r="P3" i="32"/>
  <c r="L3" i="32"/>
  <c r="H3" i="32"/>
  <c r="D3" i="32"/>
  <c r="AC122" i="31"/>
  <c r="Y122" i="31"/>
  <c r="U122" i="31"/>
  <c r="G122" i="31"/>
  <c r="AC121" i="31"/>
  <c r="Y121" i="31"/>
  <c r="U121" i="31"/>
  <c r="Q121" i="31"/>
  <c r="M121" i="31"/>
  <c r="AC120" i="31"/>
  <c r="Y120" i="31"/>
  <c r="U120" i="31"/>
  <c r="Q120" i="31"/>
  <c r="M120" i="31"/>
  <c r="AC119" i="31"/>
  <c r="Y119" i="31"/>
  <c r="U119" i="31"/>
  <c r="Q119" i="31"/>
  <c r="M119" i="31"/>
  <c r="AC118" i="31"/>
  <c r="Y118" i="31"/>
  <c r="U118" i="31"/>
  <c r="Q118" i="31"/>
  <c r="M118" i="31"/>
  <c r="AC117" i="31"/>
  <c r="Y117" i="31"/>
  <c r="U117" i="31"/>
  <c r="Q117" i="31"/>
  <c r="M117" i="31"/>
  <c r="AC116" i="31"/>
  <c r="Y116" i="31"/>
  <c r="U116" i="31"/>
  <c r="Q116" i="31"/>
  <c r="M116" i="31"/>
  <c r="AC115" i="31"/>
  <c r="Y115" i="31"/>
  <c r="U115" i="31"/>
  <c r="AC114" i="31"/>
  <c r="Y114" i="31"/>
  <c r="U114" i="31"/>
  <c r="Q114" i="31"/>
  <c r="M114" i="31"/>
  <c r="L114" i="31" s="1"/>
  <c r="AC113" i="31"/>
  <c r="Y113" i="31"/>
  <c r="U113" i="31"/>
  <c r="Q113" i="31"/>
  <c r="M113" i="31"/>
  <c r="AC112" i="31"/>
  <c r="Y112" i="31"/>
  <c r="U112" i="31"/>
  <c r="Q112" i="31"/>
  <c r="M112" i="31"/>
  <c r="AC111" i="31"/>
  <c r="Y111" i="31"/>
  <c r="U111" i="31"/>
  <c r="AC107" i="31"/>
  <c r="Y107" i="31"/>
  <c r="U107" i="31"/>
  <c r="Q107" i="31"/>
  <c r="I107" i="31"/>
  <c r="H107" i="31" s="1"/>
  <c r="G107" i="31"/>
  <c r="Q106" i="31"/>
  <c r="I106" i="31"/>
  <c r="H106" i="31" s="1"/>
  <c r="G106" i="31"/>
  <c r="Q105" i="31"/>
  <c r="I105" i="31"/>
  <c r="H105" i="31" s="1"/>
  <c r="AC103" i="31"/>
  <c r="Y103" i="31"/>
  <c r="U103" i="31"/>
  <c r="G103" i="31"/>
  <c r="AC102" i="31"/>
  <c r="Y102" i="31"/>
  <c r="U102" i="31"/>
  <c r="AC101" i="31"/>
  <c r="Y101" i="31"/>
  <c r="U101" i="31"/>
  <c r="G101" i="31"/>
  <c r="AC100" i="31"/>
  <c r="Y100" i="31"/>
  <c r="U100" i="31"/>
  <c r="AC99" i="31"/>
  <c r="Y99" i="31"/>
  <c r="U99" i="31"/>
  <c r="AC98" i="31"/>
  <c r="Y98" i="31"/>
  <c r="U98" i="31"/>
  <c r="G98" i="31"/>
  <c r="G90" i="31"/>
  <c r="AC89" i="31"/>
  <c r="Y89" i="31"/>
  <c r="U89" i="31"/>
  <c r="Q89" i="31"/>
  <c r="M89" i="31"/>
  <c r="I89" i="31"/>
  <c r="E89" i="31"/>
  <c r="AC88" i="31"/>
  <c r="Y88" i="31"/>
  <c r="U88" i="31"/>
  <c r="Q88" i="31"/>
  <c r="M88" i="31"/>
  <c r="I88" i="31"/>
  <c r="E88" i="31"/>
  <c r="AC87" i="31"/>
  <c r="Y87" i="31"/>
  <c r="U87" i="31"/>
  <c r="Q87" i="31"/>
  <c r="M87" i="31"/>
  <c r="AC86" i="31"/>
  <c r="Y86" i="31"/>
  <c r="U86" i="31"/>
  <c r="Q86" i="31"/>
  <c r="M86" i="31"/>
  <c r="I86" i="31"/>
  <c r="E86" i="31"/>
  <c r="AC85" i="31"/>
  <c r="Y85" i="31"/>
  <c r="U85" i="31"/>
  <c r="Q85" i="31"/>
  <c r="M85" i="31"/>
  <c r="I85" i="31"/>
  <c r="E85" i="31"/>
  <c r="AC84" i="31"/>
  <c r="Y84" i="31"/>
  <c r="U84" i="31"/>
  <c r="Q84" i="31"/>
  <c r="M84" i="31"/>
  <c r="E84" i="31"/>
  <c r="U83" i="31"/>
  <c r="Q83" i="31"/>
  <c r="M83" i="31"/>
  <c r="E83" i="31"/>
  <c r="AC70" i="31"/>
  <c r="Y70" i="31"/>
  <c r="U70" i="31"/>
  <c r="G70" i="31"/>
  <c r="AC69" i="31"/>
  <c r="Y69" i="31"/>
  <c r="U69" i="31"/>
  <c r="AC68" i="31"/>
  <c r="Y68" i="31"/>
  <c r="U68" i="31"/>
  <c r="AC53" i="31"/>
  <c r="Y53" i="31"/>
  <c r="U53" i="31"/>
  <c r="L53" i="31"/>
  <c r="O53" i="31" s="1"/>
  <c r="AC51" i="31"/>
  <c r="Y51" i="31"/>
  <c r="U51" i="31"/>
  <c r="Q51" i="31"/>
  <c r="AC46" i="31"/>
  <c r="Y46" i="31"/>
  <c r="U46" i="31"/>
  <c r="AC45" i="31"/>
  <c r="Y45" i="31"/>
  <c r="U45" i="31"/>
  <c r="Q45" i="31"/>
  <c r="M45" i="31"/>
  <c r="AC44" i="31"/>
  <c r="Y44" i="31"/>
  <c r="U44" i="31"/>
  <c r="Q44" i="31"/>
  <c r="M44" i="31"/>
  <c r="L44" i="31"/>
  <c r="AC43" i="31"/>
  <c r="Y43" i="31"/>
  <c r="U43" i="31"/>
  <c r="Q43" i="31"/>
  <c r="M43" i="31"/>
  <c r="L43" i="31"/>
  <c r="AC42" i="31"/>
  <c r="Y42" i="31"/>
  <c r="U42" i="31"/>
  <c r="Q42" i="31"/>
  <c r="M42" i="31"/>
  <c r="AC39" i="31"/>
  <c r="Y39" i="31"/>
  <c r="U39" i="31"/>
  <c r="Q39" i="31"/>
  <c r="M39" i="31"/>
  <c r="L39" i="31"/>
  <c r="P39" i="31" s="1"/>
  <c r="AB25" i="31"/>
  <c r="X25" i="31"/>
  <c r="AA25" i="31" s="1"/>
  <c r="T25" i="31"/>
  <c r="W25" i="31" s="1"/>
  <c r="H6" i="31"/>
  <c r="L6" i="31" s="1"/>
  <c r="P6" i="31" s="1"/>
  <c r="T6" i="31" s="1"/>
  <c r="X6" i="31" s="1"/>
  <c r="AB6" i="31" s="1"/>
  <c r="AB3" i="31"/>
  <c r="AB9" i="31" s="1"/>
  <c r="X3" i="31"/>
  <c r="X9" i="31" s="1"/>
  <c r="T3" i="31"/>
  <c r="T9" i="31" s="1"/>
  <c r="P3" i="31"/>
  <c r="L3" i="31"/>
  <c r="H3" i="31"/>
  <c r="D3" i="31"/>
  <c r="P52" i="32" l="1"/>
  <c r="I55" i="26"/>
  <c r="H55" i="42"/>
  <c r="O55" i="42" s="1"/>
  <c r="P55" i="42" s="1"/>
  <c r="O53" i="42"/>
  <c r="P53" i="42" s="1"/>
  <c r="H108" i="31"/>
  <c r="I49" i="42"/>
  <c r="I55" i="42"/>
  <c r="Q55" i="42" s="1"/>
  <c r="R55" i="42" s="1"/>
  <c r="Q53" i="42"/>
  <c r="R53" i="42" s="1"/>
  <c r="J53" i="42"/>
  <c r="Q42" i="26"/>
  <c r="R42" i="26" s="1"/>
  <c r="O55" i="26"/>
  <c r="P55" i="26" s="1"/>
  <c r="Q55" i="26"/>
  <c r="R55" i="26" s="1"/>
  <c r="O160" i="31"/>
  <c r="Q159" i="31"/>
  <c r="K44" i="31"/>
  <c r="S10" i="32"/>
  <c r="I11" i="32"/>
  <c r="I11" i="34"/>
  <c r="L29" i="34"/>
  <c r="P29" i="34" s="1"/>
  <c r="P43" i="31"/>
  <c r="O43" i="31" s="1"/>
  <c r="K43" i="31"/>
  <c r="I11" i="33"/>
  <c r="G41" i="26"/>
  <c r="P53" i="31"/>
  <c r="T53" i="31" s="1"/>
  <c r="S53" i="31" s="1"/>
  <c r="H42" i="28"/>
  <c r="L105" i="31"/>
  <c r="L106" i="31" s="1"/>
  <c r="L107" i="31" s="1"/>
  <c r="L56" i="33"/>
  <c r="L59" i="33" s="1"/>
  <c r="M59" i="33" s="1"/>
  <c r="D13" i="33"/>
  <c r="G13" i="33" s="1"/>
  <c r="AB13" i="33" s="1"/>
  <c r="AB96" i="33" s="1"/>
  <c r="K42" i="32"/>
  <c r="G21" i="34"/>
  <c r="D13" i="34"/>
  <c r="G13" i="34" s="1"/>
  <c r="AB13" i="34" s="1"/>
  <c r="L9" i="34"/>
  <c r="G10" i="31"/>
  <c r="G17" i="31"/>
  <c r="L90" i="31"/>
  <c r="H41" i="42" s="1"/>
  <c r="O41" i="42" s="1"/>
  <c r="P41" i="42" s="1"/>
  <c r="F11" i="26"/>
  <c r="M11" i="26" s="1"/>
  <c r="N11" i="26" s="1"/>
  <c r="I49" i="26"/>
  <c r="Q49" i="26" s="1"/>
  <c r="R49" i="26" s="1"/>
  <c r="H65" i="31"/>
  <c r="P13" i="32"/>
  <c r="S13" i="32" s="1"/>
  <c r="H13" i="32"/>
  <c r="H109" i="32" s="1"/>
  <c r="O132" i="31"/>
  <c r="K133" i="31"/>
  <c r="K131" i="31"/>
  <c r="L85" i="34"/>
  <c r="P85" i="34" s="1"/>
  <c r="L65" i="34"/>
  <c r="P125" i="31"/>
  <c r="O125" i="31" s="1"/>
  <c r="K126" i="31"/>
  <c r="G90" i="32"/>
  <c r="L67" i="34"/>
  <c r="L75" i="34"/>
  <c r="P75" i="34" s="1"/>
  <c r="L77" i="34"/>
  <c r="L83" i="34"/>
  <c r="P83" i="34" s="1"/>
  <c r="O83" i="34" s="1"/>
  <c r="O85" i="32"/>
  <c r="L64" i="34"/>
  <c r="O64" i="34" s="1"/>
  <c r="L72" i="32"/>
  <c r="P72" i="32" s="1"/>
  <c r="S72" i="32" s="1"/>
  <c r="K72" i="32"/>
  <c r="L81" i="34"/>
  <c r="L66" i="34"/>
  <c r="P66" i="34" s="1"/>
  <c r="K66" i="34"/>
  <c r="L69" i="34"/>
  <c r="O69" i="34" s="1"/>
  <c r="K69" i="34"/>
  <c r="G74" i="33"/>
  <c r="P74" i="33"/>
  <c r="L79" i="34"/>
  <c r="O79" i="34" s="1"/>
  <c r="O89" i="32"/>
  <c r="K25" i="32"/>
  <c r="L29" i="32"/>
  <c r="P29" i="32" s="1"/>
  <c r="K21" i="32"/>
  <c r="K23" i="32"/>
  <c r="K27" i="32"/>
  <c r="O91" i="31"/>
  <c r="I42" i="28"/>
  <c r="O159" i="31"/>
  <c r="O157" i="31"/>
  <c r="K38" i="33"/>
  <c r="K52" i="33"/>
  <c r="O57" i="33"/>
  <c r="K57" i="33"/>
  <c r="T157" i="31"/>
  <c r="P167" i="31"/>
  <c r="Q167" i="31" s="1"/>
  <c r="L119" i="31"/>
  <c r="P119" i="31" s="1"/>
  <c r="O119" i="31" s="1"/>
  <c r="K167" i="31"/>
  <c r="O143" i="31"/>
  <c r="O144" i="31"/>
  <c r="O142" i="31"/>
  <c r="O130" i="31"/>
  <c r="K130" i="31"/>
  <c r="O139" i="31"/>
  <c r="O141" i="31"/>
  <c r="O135" i="31"/>
  <c r="K135" i="31"/>
  <c r="K124" i="31"/>
  <c r="P124" i="31"/>
  <c r="O124" i="31" s="1"/>
  <c r="K139" i="31"/>
  <c r="K129" i="31"/>
  <c r="O129" i="31"/>
  <c r="O146" i="31"/>
  <c r="O145" i="31"/>
  <c r="K23" i="31"/>
  <c r="L17" i="31"/>
  <c r="H11" i="42" s="1"/>
  <c r="K17" i="31"/>
  <c r="L51" i="31"/>
  <c r="G39" i="31"/>
  <c r="L42" i="31"/>
  <c r="G23" i="31"/>
  <c r="AB29" i="31"/>
  <c r="L121" i="31"/>
  <c r="K121" i="31" s="1"/>
  <c r="L87" i="31"/>
  <c r="T98" i="31"/>
  <c r="X98" i="31" s="1"/>
  <c r="W98" i="31" s="1"/>
  <c r="L117" i="31"/>
  <c r="P117" i="31" s="1"/>
  <c r="L26" i="34"/>
  <c r="P26" i="34" s="1"/>
  <c r="T26" i="34" s="1"/>
  <c r="W26" i="34" s="1"/>
  <c r="K64" i="34"/>
  <c r="K37" i="34"/>
  <c r="O23" i="34"/>
  <c r="P23" i="34"/>
  <c r="S23" i="34" s="1"/>
  <c r="K23" i="34"/>
  <c r="L24" i="34"/>
  <c r="P24" i="34" s="1"/>
  <c r="T24" i="34" s="1"/>
  <c r="W24" i="34" s="1"/>
  <c r="G35" i="34"/>
  <c r="O21" i="34"/>
  <c r="K21" i="34"/>
  <c r="O39" i="34"/>
  <c r="P39" i="34"/>
  <c r="T39" i="34" s="1"/>
  <c r="O25" i="34"/>
  <c r="P25" i="34"/>
  <c r="S25" i="34" s="1"/>
  <c r="K41" i="34"/>
  <c r="K25" i="34"/>
  <c r="K27" i="34"/>
  <c r="K36" i="34"/>
  <c r="K39" i="34"/>
  <c r="H43" i="34"/>
  <c r="G48" i="34" s="1"/>
  <c r="L50" i="34"/>
  <c r="O29" i="34"/>
  <c r="K35" i="34"/>
  <c r="P36" i="34"/>
  <c r="S36" i="34" s="1"/>
  <c r="K49" i="33"/>
  <c r="G54" i="33"/>
  <c r="G52" i="33"/>
  <c r="T13" i="34"/>
  <c r="T15" i="34" s="1"/>
  <c r="W15" i="34" s="1"/>
  <c r="W11" i="34"/>
  <c r="AA9" i="34"/>
  <c r="X11" i="34"/>
  <c r="X26" i="34"/>
  <c r="D101" i="34"/>
  <c r="O10" i="34"/>
  <c r="O26" i="34"/>
  <c r="W9" i="34"/>
  <c r="G11" i="34"/>
  <c r="P27" i="34"/>
  <c r="L28" i="34"/>
  <c r="K30" i="34"/>
  <c r="K38" i="34"/>
  <c r="L38" i="34"/>
  <c r="D57" i="34"/>
  <c r="H13" i="34"/>
  <c r="O30" i="34"/>
  <c r="X35" i="34"/>
  <c r="W35" i="34" s="1"/>
  <c r="K40" i="34"/>
  <c r="L40" i="34"/>
  <c r="L22" i="34"/>
  <c r="T25" i="34"/>
  <c r="H32" i="34"/>
  <c r="I32" i="34" s="1"/>
  <c r="O35" i="34"/>
  <c r="S35" i="34"/>
  <c r="P37" i="34"/>
  <c r="P41" i="34"/>
  <c r="L53" i="34"/>
  <c r="P65" i="34"/>
  <c r="O65" i="34"/>
  <c r="L70" i="34"/>
  <c r="K70" i="34"/>
  <c r="L76" i="34"/>
  <c r="K76" i="34" s="1"/>
  <c r="G76" i="34"/>
  <c r="P81" i="34"/>
  <c r="O81" i="34"/>
  <c r="L84" i="34"/>
  <c r="G84" i="34"/>
  <c r="K84" i="34"/>
  <c r="P67" i="34"/>
  <c r="O67" i="34"/>
  <c r="L78" i="34"/>
  <c r="G78" i="34"/>
  <c r="K78" i="34"/>
  <c r="L62" i="34"/>
  <c r="K68" i="34"/>
  <c r="L68" i="34"/>
  <c r="P77" i="34"/>
  <c r="O77" i="34" s="1"/>
  <c r="L80" i="34"/>
  <c r="G80" i="34"/>
  <c r="K80" i="34"/>
  <c r="O85" i="34"/>
  <c r="K61" i="34"/>
  <c r="H71" i="34"/>
  <c r="I71" i="34" s="1"/>
  <c r="L63" i="34"/>
  <c r="K63" i="34"/>
  <c r="K74" i="34"/>
  <c r="G74" i="34"/>
  <c r="L82" i="34"/>
  <c r="G82" i="34"/>
  <c r="K65" i="34"/>
  <c r="K67" i="34"/>
  <c r="K75" i="34"/>
  <c r="K77" i="34"/>
  <c r="K79" i="34"/>
  <c r="K81" i="34"/>
  <c r="K83" i="34"/>
  <c r="K85" i="34"/>
  <c r="G75" i="34"/>
  <c r="G77" i="34"/>
  <c r="G79" i="34"/>
  <c r="G81" i="34"/>
  <c r="G83" i="34"/>
  <c r="G85" i="34"/>
  <c r="L22" i="33"/>
  <c r="AA9" i="33"/>
  <c r="X11" i="33"/>
  <c r="G11" i="33"/>
  <c r="W9" i="33"/>
  <c r="H13" i="33"/>
  <c r="T11" i="33"/>
  <c r="H24" i="33"/>
  <c r="I24" i="33" s="1"/>
  <c r="L21" i="33"/>
  <c r="G21" i="33"/>
  <c r="K41" i="33"/>
  <c r="P41" i="33"/>
  <c r="O41" i="33"/>
  <c r="G23" i="33"/>
  <c r="O51" i="33"/>
  <c r="D45" i="33"/>
  <c r="K55" i="33"/>
  <c r="G53" i="33"/>
  <c r="K54" i="33"/>
  <c r="G55" i="33"/>
  <c r="K72" i="33"/>
  <c r="G72" i="33"/>
  <c r="K51" i="33"/>
  <c r="K62" i="33"/>
  <c r="G62" i="33"/>
  <c r="O71" i="33"/>
  <c r="G51" i="33"/>
  <c r="K56" i="33"/>
  <c r="K64" i="33"/>
  <c r="G64" i="33"/>
  <c r="K67" i="33"/>
  <c r="G67" i="33"/>
  <c r="O73" i="33"/>
  <c r="G56" i="33"/>
  <c r="K58" i="33"/>
  <c r="K63" i="33"/>
  <c r="G63" i="33"/>
  <c r="O66" i="33"/>
  <c r="K69" i="33"/>
  <c r="G69" i="33"/>
  <c r="K66" i="33"/>
  <c r="K68" i="33"/>
  <c r="K71" i="33"/>
  <c r="K73" i="33"/>
  <c r="G66" i="33"/>
  <c r="G68" i="33"/>
  <c r="G71" i="33"/>
  <c r="G73" i="33"/>
  <c r="G11" i="32"/>
  <c r="L93" i="32"/>
  <c r="O93" i="32" s="1"/>
  <c r="G79" i="32"/>
  <c r="K87" i="32"/>
  <c r="G87" i="32"/>
  <c r="G63" i="32"/>
  <c r="G89" i="32"/>
  <c r="G85" i="32"/>
  <c r="G69" i="32"/>
  <c r="K66" i="32"/>
  <c r="K65" i="32"/>
  <c r="G55" i="32"/>
  <c r="K55" i="32"/>
  <c r="K36" i="32"/>
  <c r="G36" i="32"/>
  <c r="G35" i="32"/>
  <c r="P23" i="32"/>
  <c r="S23" i="32" s="1"/>
  <c r="O23" i="32"/>
  <c r="P25" i="32"/>
  <c r="S25" i="32" s="1"/>
  <c r="O25" i="32"/>
  <c r="O21" i="32"/>
  <c r="P21" i="32"/>
  <c r="T21" i="32" s="1"/>
  <c r="X21" i="32" s="1"/>
  <c r="P27" i="32"/>
  <c r="O27" i="32"/>
  <c r="L28" i="32"/>
  <c r="O29" i="32"/>
  <c r="D59" i="32"/>
  <c r="D13" i="32"/>
  <c r="D109" i="32" s="1"/>
  <c r="L11" i="32"/>
  <c r="O10" i="32"/>
  <c r="O22" i="32"/>
  <c r="P22" i="32"/>
  <c r="S11" i="32"/>
  <c r="S9" i="32"/>
  <c r="W11" i="32"/>
  <c r="H32" i="32"/>
  <c r="K22" i="32"/>
  <c r="T25" i="32"/>
  <c r="L26" i="32"/>
  <c r="W9" i="32"/>
  <c r="X11" i="32"/>
  <c r="T13" i="32"/>
  <c r="L24" i="32"/>
  <c r="P36" i="32"/>
  <c r="O36" i="32" s="1"/>
  <c r="T42" i="32"/>
  <c r="S42" i="32" s="1"/>
  <c r="K52" i="32"/>
  <c r="O63" i="32"/>
  <c r="T65" i="32"/>
  <c r="S65" i="32" s="1"/>
  <c r="P28" i="32"/>
  <c r="L30" i="32"/>
  <c r="L35" i="32"/>
  <c r="K35" i="32" s="1"/>
  <c r="K37" i="32"/>
  <c r="L41" i="32"/>
  <c r="K41" i="32" s="1"/>
  <c r="O42" i="32"/>
  <c r="K43" i="32"/>
  <c r="H45" i="32"/>
  <c r="O55" i="32"/>
  <c r="O65" i="32"/>
  <c r="K67" i="32"/>
  <c r="K88" i="32"/>
  <c r="O69" i="32"/>
  <c r="K86" i="32"/>
  <c r="H73" i="32"/>
  <c r="I73" i="32" s="1"/>
  <c r="K63" i="32"/>
  <c r="K68" i="32"/>
  <c r="K69" i="32"/>
  <c r="L71" i="32"/>
  <c r="K71" i="32"/>
  <c r="K76" i="32"/>
  <c r="K39" i="31"/>
  <c r="P45" i="31"/>
  <c r="AA9" i="31"/>
  <c r="X29" i="31"/>
  <c r="K69" i="31"/>
  <c r="P44" i="31"/>
  <c r="O44" i="31" s="1"/>
  <c r="W9" i="31"/>
  <c r="T29" i="31"/>
  <c r="S9" i="31"/>
  <c r="T43" i="31"/>
  <c r="S43" i="31" s="1"/>
  <c r="L46" i="31"/>
  <c r="D92" i="31"/>
  <c r="I92" i="31" s="1"/>
  <c r="P90" i="31"/>
  <c r="I41" i="42" s="1"/>
  <c r="Q41" i="42" s="1"/>
  <c r="R41" i="42" s="1"/>
  <c r="K99" i="31"/>
  <c r="G99" i="31"/>
  <c r="G68" i="31"/>
  <c r="G69" i="31"/>
  <c r="K101" i="31"/>
  <c r="K106" i="31"/>
  <c r="K107" i="31"/>
  <c r="L112" i="31"/>
  <c r="K112" i="31" s="1"/>
  <c r="G112" i="31"/>
  <c r="L118" i="31"/>
  <c r="K118" i="31" s="1"/>
  <c r="G118" i="31"/>
  <c r="G87" i="31"/>
  <c r="L120" i="31"/>
  <c r="K120" i="31" s="1"/>
  <c r="G120" i="31"/>
  <c r="K90" i="31"/>
  <c r="K102" i="31"/>
  <c r="G102" i="31"/>
  <c r="K111" i="31"/>
  <c r="G111" i="31"/>
  <c r="K105" i="31"/>
  <c r="G105" i="31"/>
  <c r="L113" i="31"/>
  <c r="G113" i="31"/>
  <c r="L116" i="31"/>
  <c r="K116" i="31" s="1"/>
  <c r="G116" i="31"/>
  <c r="K122" i="31"/>
  <c r="G115" i="31"/>
  <c r="G117" i="31"/>
  <c r="G119" i="31"/>
  <c r="G121" i="31"/>
  <c r="Q49" i="42" l="1"/>
  <c r="R49" i="42" s="1"/>
  <c r="J49" i="42"/>
  <c r="K49" i="42" s="1"/>
  <c r="L49" i="42" s="1"/>
  <c r="K53" i="42"/>
  <c r="J55" i="42"/>
  <c r="J60" i="42" s="1"/>
  <c r="J61" i="42" s="1"/>
  <c r="K59" i="42" s="1"/>
  <c r="O11" i="42"/>
  <c r="P11" i="42" s="1"/>
  <c r="I65" i="31"/>
  <c r="G27" i="42"/>
  <c r="I108" i="31"/>
  <c r="M41" i="26"/>
  <c r="N41" i="26" s="1"/>
  <c r="X42" i="28"/>
  <c r="Q42" i="28"/>
  <c r="R42" i="28" s="1"/>
  <c r="W42" i="28"/>
  <c r="O42" i="28"/>
  <c r="P42" i="28" s="1"/>
  <c r="O72" i="32"/>
  <c r="K46" i="31"/>
  <c r="K78" i="32"/>
  <c r="T72" i="32"/>
  <c r="X72" i="32" s="1"/>
  <c r="L43" i="34"/>
  <c r="X24" i="34"/>
  <c r="O24" i="34"/>
  <c r="L11" i="34"/>
  <c r="M11" i="34" s="1"/>
  <c r="K42" i="31"/>
  <c r="T45" i="31"/>
  <c r="X45" i="31" s="1"/>
  <c r="AB45" i="31" s="1"/>
  <c r="AA45" i="31" s="1"/>
  <c r="O45" i="31"/>
  <c r="L65" i="31"/>
  <c r="K51" i="31"/>
  <c r="K70" i="31"/>
  <c r="L80" i="31"/>
  <c r="H28" i="42" s="1"/>
  <c r="P42" i="31"/>
  <c r="T42" i="31" s="1"/>
  <c r="X42" i="31" s="1"/>
  <c r="W42" i="31" s="1"/>
  <c r="T40" i="32"/>
  <c r="S40" i="32" s="1"/>
  <c r="D15" i="33"/>
  <c r="D96" i="33"/>
  <c r="G45" i="32"/>
  <c r="I45" i="32"/>
  <c r="K53" i="34"/>
  <c r="Q11" i="32"/>
  <c r="M11" i="32"/>
  <c r="D15" i="34"/>
  <c r="P78" i="32"/>
  <c r="O78" i="32" s="1"/>
  <c r="W21" i="32"/>
  <c r="T23" i="32"/>
  <c r="P109" i="32"/>
  <c r="K92" i="32"/>
  <c r="P92" i="32"/>
  <c r="O92" i="32" s="1"/>
  <c r="K90" i="32"/>
  <c r="P90" i="32"/>
  <c r="K80" i="32"/>
  <c r="P80" i="32"/>
  <c r="P81" i="32"/>
  <c r="O81" i="32" s="1"/>
  <c r="P56" i="33"/>
  <c r="O56" i="33"/>
  <c r="P87" i="31"/>
  <c r="K119" i="31"/>
  <c r="O66" i="34"/>
  <c r="T23" i="34"/>
  <c r="X23" i="34" s="1"/>
  <c r="O50" i="34"/>
  <c r="K50" i="34"/>
  <c r="G47" i="34"/>
  <c r="T21" i="34"/>
  <c r="X21" i="34" s="1"/>
  <c r="AB21" i="34" s="1"/>
  <c r="AA21" i="34" s="1"/>
  <c r="K89" i="32"/>
  <c r="P22" i="33"/>
  <c r="T22" i="33" s="1"/>
  <c r="S22" i="33" s="1"/>
  <c r="K22" i="33"/>
  <c r="K74" i="33"/>
  <c r="G13" i="32"/>
  <c r="AB13" i="32" s="1"/>
  <c r="AB109" i="32" s="1"/>
  <c r="K11" i="34"/>
  <c r="L13" i="34"/>
  <c r="K9" i="34"/>
  <c r="P9" i="34"/>
  <c r="O90" i="31"/>
  <c r="H11" i="26"/>
  <c r="O11" i="26" s="1"/>
  <c r="P11" i="26" s="1"/>
  <c r="G65" i="31"/>
  <c r="T39" i="31"/>
  <c r="X39" i="31" s="1"/>
  <c r="W39" i="31" s="1"/>
  <c r="P50" i="34"/>
  <c r="T50" i="34" s="1"/>
  <c r="K13" i="32"/>
  <c r="P79" i="34"/>
  <c r="T79" i="34" s="1"/>
  <c r="P69" i="34"/>
  <c r="K115" i="31"/>
  <c r="O87" i="32"/>
  <c r="K75" i="33"/>
  <c r="O75" i="34"/>
  <c r="P64" i="34"/>
  <c r="S64" i="34" s="1"/>
  <c r="P93" i="32"/>
  <c r="H76" i="33"/>
  <c r="L65" i="33"/>
  <c r="P65" i="33" s="1"/>
  <c r="O167" i="31"/>
  <c r="L32" i="32"/>
  <c r="O32" i="32" s="1"/>
  <c r="K117" i="31"/>
  <c r="O38" i="33"/>
  <c r="K79" i="32"/>
  <c r="T79" i="32"/>
  <c r="K87" i="31"/>
  <c r="T52" i="33"/>
  <c r="S52" i="33" s="1"/>
  <c r="G49" i="33"/>
  <c r="K98" i="31"/>
  <c r="X157" i="31"/>
  <c r="T167" i="31"/>
  <c r="P70" i="31"/>
  <c r="T70" i="31" s="1"/>
  <c r="X70" i="31" s="1"/>
  <c r="W70" i="31" s="1"/>
  <c r="P51" i="31"/>
  <c r="T51" i="31" s="1"/>
  <c r="X51" i="31" s="1"/>
  <c r="AB51" i="31" s="1"/>
  <c r="AA51" i="31" s="1"/>
  <c r="P17" i="31"/>
  <c r="O39" i="31"/>
  <c r="O98" i="31"/>
  <c r="P121" i="31"/>
  <c r="T121" i="31" s="1"/>
  <c r="S24" i="34"/>
  <c r="S26" i="34"/>
  <c r="G71" i="34"/>
  <c r="G51" i="34"/>
  <c r="S39" i="34"/>
  <c r="T36" i="34"/>
  <c r="W36" i="34" s="1"/>
  <c r="G32" i="34"/>
  <c r="L32" i="34"/>
  <c r="K43" i="34"/>
  <c r="G43" i="34"/>
  <c r="S21" i="34"/>
  <c r="AB101" i="34"/>
  <c r="AB15" i="34"/>
  <c r="P82" i="34"/>
  <c r="P70" i="34"/>
  <c r="O70" i="34"/>
  <c r="K82" i="34"/>
  <c r="L71" i="34"/>
  <c r="O61" i="34"/>
  <c r="T85" i="34"/>
  <c r="S85" i="34"/>
  <c r="P68" i="34"/>
  <c r="O68" i="34"/>
  <c r="P78" i="34"/>
  <c r="O78" i="34" s="1"/>
  <c r="O84" i="34"/>
  <c r="P84" i="34"/>
  <c r="T66" i="34"/>
  <c r="S66" i="34"/>
  <c r="P53" i="34"/>
  <c r="O53" i="34"/>
  <c r="S37" i="34"/>
  <c r="T37" i="34"/>
  <c r="P40" i="34"/>
  <c r="O40" i="34"/>
  <c r="X36" i="34"/>
  <c r="AA24" i="34"/>
  <c r="AB24" i="34"/>
  <c r="L101" i="34"/>
  <c r="O13" i="34"/>
  <c r="T77" i="34"/>
  <c r="S77" i="34" s="1"/>
  <c r="T83" i="34"/>
  <c r="S83" i="34"/>
  <c r="P76" i="34"/>
  <c r="G46" i="34"/>
  <c r="G49" i="34"/>
  <c r="X39" i="34"/>
  <c r="W39" i="34"/>
  <c r="P63" i="34"/>
  <c r="O63" i="34"/>
  <c r="O62" i="34"/>
  <c r="P62" i="34"/>
  <c r="T75" i="34"/>
  <c r="S75" i="34"/>
  <c r="T81" i="34"/>
  <c r="S81" i="34" s="1"/>
  <c r="X25" i="34"/>
  <c r="W25" i="34"/>
  <c r="AB35" i="34"/>
  <c r="AA35" i="34" s="1"/>
  <c r="H101" i="34"/>
  <c r="K13" i="34"/>
  <c r="G52" i="34"/>
  <c r="P38" i="34"/>
  <c r="O38" i="34"/>
  <c r="P28" i="34"/>
  <c r="O28" i="34"/>
  <c r="AA26" i="34"/>
  <c r="AB26" i="34"/>
  <c r="AA11" i="34"/>
  <c r="X13" i="34"/>
  <c r="T101" i="34"/>
  <c r="W13" i="34"/>
  <c r="P80" i="34"/>
  <c r="O80" i="34" s="1"/>
  <c r="T65" i="34"/>
  <c r="S65" i="34"/>
  <c r="S41" i="34"/>
  <c r="T41" i="34"/>
  <c r="L48" i="34"/>
  <c r="L47" i="34"/>
  <c r="P22" i="34"/>
  <c r="O22" i="34"/>
  <c r="S27" i="34"/>
  <c r="T27" i="34"/>
  <c r="T54" i="33"/>
  <c r="S54" i="33" s="1"/>
  <c r="O50" i="33"/>
  <c r="K50" i="33"/>
  <c r="O27" i="33"/>
  <c r="K31" i="33"/>
  <c r="P23" i="33"/>
  <c r="O58" i="33"/>
  <c r="O54" i="33"/>
  <c r="O62" i="33"/>
  <c r="G65" i="33"/>
  <c r="O55" i="33"/>
  <c r="T41" i="33"/>
  <c r="AB15" i="33"/>
  <c r="O74" i="33"/>
  <c r="O72" i="33"/>
  <c r="K53" i="33"/>
  <c r="T13" i="33"/>
  <c r="T15" i="33" s="1"/>
  <c r="W15" i="33" s="1"/>
  <c r="W11" i="33"/>
  <c r="O69" i="33"/>
  <c r="T73" i="33"/>
  <c r="O67" i="33"/>
  <c r="T68" i="33"/>
  <c r="S68" i="33" s="1"/>
  <c r="T51" i="33"/>
  <c r="L24" i="33"/>
  <c r="M24" i="33" s="1"/>
  <c r="K21" i="33"/>
  <c r="P21" i="33"/>
  <c r="O21" i="33" s="1"/>
  <c r="X13" i="33"/>
  <c r="X15" i="33" s="1"/>
  <c r="AA15" i="33" s="1"/>
  <c r="AA11" i="33"/>
  <c r="T66" i="33"/>
  <c r="S66" i="33" s="1"/>
  <c r="T71" i="33"/>
  <c r="S71" i="33" s="1"/>
  <c r="O68" i="33"/>
  <c r="O49" i="33"/>
  <c r="G24" i="33"/>
  <c r="H96" i="33"/>
  <c r="K13" i="33"/>
  <c r="X22" i="33"/>
  <c r="W22" i="33" s="1"/>
  <c r="K23" i="33"/>
  <c r="K81" i="32"/>
  <c r="O66" i="32"/>
  <c r="L73" i="32"/>
  <c r="M73" i="32" s="1"/>
  <c r="K64" i="32"/>
  <c r="G73" i="32"/>
  <c r="O28" i="32"/>
  <c r="S21" i="32"/>
  <c r="S27" i="32"/>
  <c r="T27" i="32"/>
  <c r="D15" i="32"/>
  <c r="O90" i="32"/>
  <c r="O68" i="32"/>
  <c r="T89" i="32"/>
  <c r="S89" i="32" s="1"/>
  <c r="O88" i="32"/>
  <c r="O52" i="32"/>
  <c r="T109" i="32"/>
  <c r="T15" i="32"/>
  <c r="W15" i="32" s="1"/>
  <c r="W13" i="32"/>
  <c r="L13" i="32"/>
  <c r="O11" i="32"/>
  <c r="O76" i="32"/>
  <c r="O71" i="32"/>
  <c r="P71" i="32"/>
  <c r="O86" i="32"/>
  <c r="T55" i="32"/>
  <c r="S55" i="32" s="1"/>
  <c r="P41" i="32"/>
  <c r="O41" i="32" s="1"/>
  <c r="P30" i="32"/>
  <c r="O30" i="32"/>
  <c r="T63" i="32"/>
  <c r="S63" i="32" s="1"/>
  <c r="X42" i="32"/>
  <c r="W42" i="32" s="1"/>
  <c r="O24" i="32"/>
  <c r="P24" i="32"/>
  <c r="X13" i="32"/>
  <c r="AA11" i="32"/>
  <c r="O26" i="32"/>
  <c r="P26" i="32"/>
  <c r="T22" i="32"/>
  <c r="S22" i="32"/>
  <c r="T85" i="32"/>
  <c r="S85" i="32" s="1"/>
  <c r="O67" i="32"/>
  <c r="G53" i="32"/>
  <c r="G50" i="32"/>
  <c r="G54" i="32"/>
  <c r="G51" i="32"/>
  <c r="G49" i="32"/>
  <c r="X65" i="32"/>
  <c r="W65" i="32" s="1"/>
  <c r="W23" i="32"/>
  <c r="X23" i="32"/>
  <c r="W25" i="32"/>
  <c r="X25" i="32"/>
  <c r="AB21" i="32"/>
  <c r="AA21" i="32"/>
  <c r="O80" i="32"/>
  <c r="O43" i="32"/>
  <c r="O37" i="32"/>
  <c r="T28" i="32"/>
  <c r="S28" i="32"/>
  <c r="L48" i="32"/>
  <c r="O64" i="32"/>
  <c r="K11" i="32"/>
  <c r="T81" i="32"/>
  <c r="S81" i="32" s="1"/>
  <c r="P35" i="32"/>
  <c r="O35" i="32" s="1"/>
  <c r="L45" i="32"/>
  <c r="T36" i="32"/>
  <c r="S36" i="32" s="1"/>
  <c r="H48" i="32"/>
  <c r="K32" i="32"/>
  <c r="S98" i="31"/>
  <c r="P113" i="31"/>
  <c r="O113" i="31" s="1"/>
  <c r="K113" i="31"/>
  <c r="K100" i="31"/>
  <c r="T117" i="31"/>
  <c r="S117" i="31" s="1"/>
  <c r="T115" i="31"/>
  <c r="S115" i="31" s="1"/>
  <c r="P106" i="31"/>
  <c r="O106" i="31"/>
  <c r="K68" i="31"/>
  <c r="H80" i="31"/>
  <c r="G28" i="42" s="1"/>
  <c r="M28" i="42" s="1"/>
  <c r="N28" i="42" s="1"/>
  <c r="P116" i="31"/>
  <c r="O116" i="31" s="1"/>
  <c r="G100" i="31"/>
  <c r="O111" i="31"/>
  <c r="O102" i="31"/>
  <c r="O117" i="31"/>
  <c r="O115" i="31"/>
  <c r="P107" i="31"/>
  <c r="O107" i="31"/>
  <c r="O99" i="31"/>
  <c r="X53" i="31"/>
  <c r="W53" i="31" s="1"/>
  <c r="AB42" i="31"/>
  <c r="AA42" i="31" s="1"/>
  <c r="K103" i="31"/>
  <c r="G114" i="31"/>
  <c r="D94" i="31"/>
  <c r="P46" i="31"/>
  <c r="O46" i="31" s="1"/>
  <c r="P105" i="31"/>
  <c r="O105" i="31"/>
  <c r="H148" i="31"/>
  <c r="G108" i="31"/>
  <c r="P120" i="31"/>
  <c r="O120" i="31" s="1"/>
  <c r="P118" i="31"/>
  <c r="O118" i="31" s="1"/>
  <c r="T90" i="31"/>
  <c r="S90" i="31" s="1"/>
  <c r="X43" i="31"/>
  <c r="W43" i="31" s="1"/>
  <c r="W29" i="31"/>
  <c r="T31" i="31"/>
  <c r="T33" i="31" s="1"/>
  <c r="W33" i="31" s="1"/>
  <c r="T44" i="31"/>
  <c r="AA29" i="31"/>
  <c r="X31" i="31"/>
  <c r="O122" i="31"/>
  <c r="T119" i="31"/>
  <c r="S119" i="31" s="1"/>
  <c r="P112" i="31"/>
  <c r="O112" i="31" s="1"/>
  <c r="O101" i="31"/>
  <c r="AB98" i="31"/>
  <c r="AA98" i="31" s="1"/>
  <c r="P69" i="31"/>
  <c r="O69" i="31" s="1"/>
  <c r="G34" i="42" l="1"/>
  <c r="G34" i="26"/>
  <c r="K55" i="42"/>
  <c r="K60" i="42" s="1"/>
  <c r="K61" i="42" s="1"/>
  <c r="L59" i="42" s="1"/>
  <c r="L53" i="42"/>
  <c r="L55" i="42" s="1"/>
  <c r="L60" i="42" s="1"/>
  <c r="L61" i="42" s="1"/>
  <c r="I11" i="26"/>
  <c r="I11" i="42"/>
  <c r="O28" i="42"/>
  <c r="P28" i="42" s="1"/>
  <c r="I148" i="31"/>
  <c r="G31" i="42"/>
  <c r="M27" i="42"/>
  <c r="N27" i="42" s="1"/>
  <c r="G30" i="42"/>
  <c r="M30" i="42" s="1"/>
  <c r="N30" i="42" s="1"/>
  <c r="L83" i="31"/>
  <c r="H27" i="42"/>
  <c r="L89" i="31"/>
  <c r="Q11" i="26"/>
  <c r="R11" i="26" s="1"/>
  <c r="W72" i="32"/>
  <c r="I80" i="31"/>
  <c r="M65" i="31"/>
  <c r="X40" i="32"/>
  <c r="W40" i="32" s="1"/>
  <c r="W21" i="34"/>
  <c r="L46" i="34"/>
  <c r="K46" i="34" s="1"/>
  <c r="M32" i="34"/>
  <c r="W23" i="34"/>
  <c r="L52" i="34"/>
  <c r="O9" i="34"/>
  <c r="S42" i="31"/>
  <c r="S45" i="31"/>
  <c r="O51" i="31"/>
  <c r="W45" i="31"/>
  <c r="O42" i="31"/>
  <c r="M80" i="31"/>
  <c r="K45" i="32"/>
  <c r="M45" i="32"/>
  <c r="AB15" i="32"/>
  <c r="D180" i="31"/>
  <c r="S51" i="31"/>
  <c r="T64" i="34"/>
  <c r="X64" i="34" s="1"/>
  <c r="K71" i="34"/>
  <c r="M71" i="34"/>
  <c r="AB39" i="31"/>
  <c r="AA39" i="31" s="1"/>
  <c r="P31" i="33"/>
  <c r="Q31" i="33" s="1"/>
  <c r="O87" i="31"/>
  <c r="T87" i="31"/>
  <c r="S87" i="31" s="1"/>
  <c r="S50" i="34"/>
  <c r="T38" i="33"/>
  <c r="S38" i="33" s="1"/>
  <c r="O22" i="33"/>
  <c r="P11" i="34"/>
  <c r="Q11" i="34" s="1"/>
  <c r="S9" i="34"/>
  <c r="S70" i="31"/>
  <c r="S39" i="31"/>
  <c r="W51" i="31"/>
  <c r="G80" i="31"/>
  <c r="P65" i="31"/>
  <c r="S79" i="34"/>
  <c r="K65" i="33"/>
  <c r="T87" i="32"/>
  <c r="S87" i="32" s="1"/>
  <c r="K73" i="32"/>
  <c r="G59" i="33"/>
  <c r="O79" i="32"/>
  <c r="S79" i="32"/>
  <c r="O52" i="33"/>
  <c r="K65" i="31"/>
  <c r="AB157" i="31"/>
  <c r="AB167" i="31" s="1"/>
  <c r="X167" i="31"/>
  <c r="O121" i="31"/>
  <c r="K114" i="31"/>
  <c r="O70" i="31"/>
  <c r="O17" i="31"/>
  <c r="S121" i="31"/>
  <c r="K32" i="34"/>
  <c r="L49" i="34"/>
  <c r="K49" i="34" s="1"/>
  <c r="L51" i="34"/>
  <c r="K51" i="34" s="1"/>
  <c r="K47" i="34"/>
  <c r="K48" i="34"/>
  <c r="K52" i="34"/>
  <c r="X101" i="34"/>
  <c r="AA13" i="34"/>
  <c r="T22" i="34"/>
  <c r="S22" i="34"/>
  <c r="P32" i="34"/>
  <c r="Q32" i="34" s="1"/>
  <c r="T38" i="34"/>
  <c r="S38" i="34"/>
  <c r="P43" i="34"/>
  <c r="O43" i="34" s="1"/>
  <c r="AB25" i="34"/>
  <c r="AA25" i="34"/>
  <c r="AB23" i="34"/>
  <c r="AA23" i="34"/>
  <c r="T76" i="34"/>
  <c r="S76" i="34" s="1"/>
  <c r="X66" i="34"/>
  <c r="W66" i="34"/>
  <c r="T74" i="34"/>
  <c r="S74" i="34" s="1"/>
  <c r="X27" i="34"/>
  <c r="W27" i="34"/>
  <c r="X15" i="34"/>
  <c r="AA15" i="34" s="1"/>
  <c r="T62" i="34"/>
  <c r="S62" i="34"/>
  <c r="H55" i="34"/>
  <c r="O76" i="34"/>
  <c r="W83" i="34"/>
  <c r="X83" i="34"/>
  <c r="AA36" i="34"/>
  <c r="AB36" i="34"/>
  <c r="T84" i="34"/>
  <c r="S84" i="34" s="1"/>
  <c r="P71" i="34"/>
  <c r="T61" i="34"/>
  <c r="S61" i="34" s="1"/>
  <c r="W65" i="34"/>
  <c r="X65" i="34"/>
  <c r="T28" i="34"/>
  <c r="S28" i="34"/>
  <c r="X81" i="34"/>
  <c r="T63" i="34"/>
  <c r="S63" i="34"/>
  <c r="AB39" i="34"/>
  <c r="AA39" i="34"/>
  <c r="S40" i="34"/>
  <c r="T40" i="34"/>
  <c r="T43" i="34" s="1"/>
  <c r="S53" i="34"/>
  <c r="T53" i="34"/>
  <c r="O74" i="34"/>
  <c r="T82" i="34"/>
  <c r="S82" i="34"/>
  <c r="T80" i="34"/>
  <c r="S80" i="34" s="1"/>
  <c r="X50" i="34"/>
  <c r="W50" i="34"/>
  <c r="X77" i="34"/>
  <c r="W77" i="34" s="1"/>
  <c r="X37" i="34"/>
  <c r="W37" i="34"/>
  <c r="T78" i="34"/>
  <c r="S78" i="34"/>
  <c r="S70" i="34"/>
  <c r="T70" i="34"/>
  <c r="O82" i="34"/>
  <c r="X41" i="34"/>
  <c r="W41" i="34"/>
  <c r="X75" i="34"/>
  <c r="W85" i="34"/>
  <c r="X85" i="34"/>
  <c r="X79" i="34"/>
  <c r="H43" i="33"/>
  <c r="I43" i="33" s="1"/>
  <c r="T23" i="33"/>
  <c r="S23" i="33" s="1"/>
  <c r="X71" i="33"/>
  <c r="W71" i="33" s="1"/>
  <c r="X96" i="33"/>
  <c r="AA13" i="33"/>
  <c r="T67" i="33"/>
  <c r="S67" i="33" s="1"/>
  <c r="X41" i="33"/>
  <c r="W41" i="33" s="1"/>
  <c r="T30" i="33"/>
  <c r="S30" i="33" s="1"/>
  <c r="O65" i="33"/>
  <c r="X51" i="33"/>
  <c r="W51" i="33" s="1"/>
  <c r="X73" i="33"/>
  <c r="W73" i="33" s="1"/>
  <c r="T64" i="33"/>
  <c r="S64" i="33" s="1"/>
  <c r="T63" i="33"/>
  <c r="S63" i="33" s="1"/>
  <c r="L34" i="33"/>
  <c r="T53" i="33"/>
  <c r="T74" i="33"/>
  <c r="S74" i="33" s="1"/>
  <c r="X68" i="33"/>
  <c r="W68" i="33" s="1"/>
  <c r="T69" i="33"/>
  <c r="S69" i="33" s="1"/>
  <c r="T58" i="33"/>
  <c r="S58" i="33"/>
  <c r="X54" i="33"/>
  <c r="W54" i="33" s="1"/>
  <c r="AB22" i="33"/>
  <c r="AA22" i="33" s="1"/>
  <c r="K24" i="33"/>
  <c r="P59" i="33"/>
  <c r="Q59" i="33" s="1"/>
  <c r="T49" i="33"/>
  <c r="S49" i="33" s="1"/>
  <c r="X66" i="33"/>
  <c r="W66" i="33" s="1"/>
  <c r="T21" i="33"/>
  <c r="S51" i="33"/>
  <c r="S73" i="33"/>
  <c r="O53" i="33"/>
  <c r="X52" i="33"/>
  <c r="S41" i="33"/>
  <c r="L76" i="33"/>
  <c r="M76" i="33" s="1"/>
  <c r="O64" i="33"/>
  <c r="O23" i="33"/>
  <c r="L37" i="33"/>
  <c r="K37" i="33" s="1"/>
  <c r="L36" i="33"/>
  <c r="K36" i="33" s="1"/>
  <c r="L35" i="33"/>
  <c r="L40" i="33"/>
  <c r="K40" i="33" s="1"/>
  <c r="L39" i="33"/>
  <c r="K39" i="33" s="1"/>
  <c r="T50" i="33"/>
  <c r="S50" i="33" s="1"/>
  <c r="O63" i="33"/>
  <c r="K59" i="33"/>
  <c r="T75" i="33"/>
  <c r="S75" i="33" s="1"/>
  <c r="T96" i="33"/>
  <c r="W13" i="33"/>
  <c r="T72" i="33"/>
  <c r="S72" i="33" s="1"/>
  <c r="T29" i="33"/>
  <c r="S29" i="33" s="1"/>
  <c r="T62" i="33"/>
  <c r="S62" i="33" s="1"/>
  <c r="T27" i="33"/>
  <c r="S27" i="33" s="1"/>
  <c r="T66" i="32"/>
  <c r="S66" i="32" s="1"/>
  <c r="W27" i="32"/>
  <c r="X27" i="32"/>
  <c r="P45" i="32"/>
  <c r="T35" i="32"/>
  <c r="S35" i="32" s="1"/>
  <c r="AB72" i="32"/>
  <c r="AA72" i="32"/>
  <c r="AB42" i="32"/>
  <c r="AA42" i="32"/>
  <c r="T78" i="32"/>
  <c r="S78" i="32" s="1"/>
  <c r="X79" i="32"/>
  <c r="W79" i="32" s="1"/>
  <c r="T37" i="32"/>
  <c r="S37" i="32" s="1"/>
  <c r="AB65" i="32"/>
  <c r="AA65" i="32" s="1"/>
  <c r="T67" i="32"/>
  <c r="S67" i="32" s="1"/>
  <c r="T83" i="32"/>
  <c r="S83" i="32" s="1"/>
  <c r="W22" i="32"/>
  <c r="X22" i="32"/>
  <c r="X109" i="32"/>
  <c r="AA13" i="32"/>
  <c r="T86" i="32"/>
  <c r="S86" i="32" s="1"/>
  <c r="L109" i="32"/>
  <c r="O13" i="32"/>
  <c r="T88" i="32"/>
  <c r="S88" i="32" s="1"/>
  <c r="X89" i="32"/>
  <c r="W89" i="32" s="1"/>
  <c r="T90" i="32"/>
  <c r="S90" i="32" s="1"/>
  <c r="K48" i="32"/>
  <c r="H57" i="32"/>
  <c r="K49" i="32"/>
  <c r="L53" i="32"/>
  <c r="K54" i="32"/>
  <c r="K51" i="32"/>
  <c r="T64" i="32"/>
  <c r="S64" i="32" s="1"/>
  <c r="W28" i="32"/>
  <c r="X28" i="32"/>
  <c r="T43" i="32"/>
  <c r="S43" i="32" s="1"/>
  <c r="T80" i="32"/>
  <c r="S80" i="32" s="1"/>
  <c r="AB23" i="32"/>
  <c r="AA23" i="32"/>
  <c r="T26" i="32"/>
  <c r="S26" i="32"/>
  <c r="X15" i="32"/>
  <c r="AA15" i="32" s="1"/>
  <c r="P73" i="32"/>
  <c r="Q73" i="32" s="1"/>
  <c r="X55" i="32"/>
  <c r="W55" i="32" s="1"/>
  <c r="T68" i="32"/>
  <c r="S68" i="32" s="1"/>
  <c r="X36" i="32"/>
  <c r="W36" i="32" s="1"/>
  <c r="X81" i="32"/>
  <c r="W81" i="32" s="1"/>
  <c r="X85" i="32"/>
  <c r="W85" i="32" s="1"/>
  <c r="T52" i="32"/>
  <c r="S52" i="32" s="1"/>
  <c r="O48" i="32"/>
  <c r="AB25" i="32"/>
  <c r="AA25" i="32"/>
  <c r="T24" i="32"/>
  <c r="S24" i="32"/>
  <c r="X63" i="32"/>
  <c r="W63" i="32" s="1"/>
  <c r="AB40" i="32"/>
  <c r="AA40" i="32" s="1"/>
  <c r="T41" i="32"/>
  <c r="S41" i="32" s="1"/>
  <c r="T76" i="32"/>
  <c r="S76" i="32" s="1"/>
  <c r="T118" i="31"/>
  <c r="T46" i="31"/>
  <c r="S46" i="31" s="1"/>
  <c r="X119" i="31"/>
  <c r="W119" i="31" s="1"/>
  <c r="AA31" i="31"/>
  <c r="X44" i="31"/>
  <c r="W44" i="31" s="1"/>
  <c r="T101" i="31"/>
  <c r="S101" i="31" s="1"/>
  <c r="X33" i="31"/>
  <c r="AA33" i="31" s="1"/>
  <c r="S44" i="31"/>
  <c r="T120" i="31"/>
  <c r="S120" i="31" s="1"/>
  <c r="G83" i="31"/>
  <c r="P114" i="31"/>
  <c r="O114" i="31" s="1"/>
  <c r="T107" i="31"/>
  <c r="S107" i="31"/>
  <c r="T102" i="31"/>
  <c r="S102" i="31" s="1"/>
  <c r="X121" i="31"/>
  <c r="W121" i="31" s="1"/>
  <c r="L84" i="31"/>
  <c r="P68" i="31"/>
  <c r="X115" i="31"/>
  <c r="W115" i="31" s="1"/>
  <c r="P108" i="31"/>
  <c r="L108" i="31"/>
  <c r="X90" i="31"/>
  <c r="W90" i="31" s="1"/>
  <c r="T99" i="31"/>
  <c r="S99" i="31" s="1"/>
  <c r="AB70" i="31"/>
  <c r="AA70" i="31" s="1"/>
  <c r="T113" i="31"/>
  <c r="S113" i="31" s="1"/>
  <c r="AB43" i="31"/>
  <c r="AB53" i="31"/>
  <c r="AA53" i="31" s="1"/>
  <c r="T116" i="31"/>
  <c r="S116" i="31" s="1"/>
  <c r="G148" i="31"/>
  <c r="X117" i="31"/>
  <c r="W117" i="31" s="1"/>
  <c r="T103" i="31"/>
  <c r="S103" i="31" s="1"/>
  <c r="T122" i="31"/>
  <c r="S122" i="31" s="1"/>
  <c r="W31" i="31"/>
  <c r="T69" i="31"/>
  <c r="S69" i="31" s="1"/>
  <c r="T112" i="31"/>
  <c r="T111" i="31"/>
  <c r="S111" i="31" s="1"/>
  <c r="O103" i="31"/>
  <c r="M34" i="26" l="1"/>
  <c r="N34" i="26" s="1"/>
  <c r="V42" i="26"/>
  <c r="V42" i="42"/>
  <c r="M34" i="42"/>
  <c r="N34" i="42" s="1"/>
  <c r="Q11" i="42"/>
  <c r="R11" i="42" s="1"/>
  <c r="J11" i="42"/>
  <c r="K11" i="42" s="1"/>
  <c r="L11" i="42" s="1"/>
  <c r="G32" i="42"/>
  <c r="M32" i="42" s="1"/>
  <c r="N32" i="42" s="1"/>
  <c r="M31" i="42"/>
  <c r="N31" i="42" s="1"/>
  <c r="O27" i="42"/>
  <c r="P27" i="42" s="1"/>
  <c r="H30" i="42"/>
  <c r="O30" i="42" s="1"/>
  <c r="P30" i="42" s="1"/>
  <c r="H31" i="42"/>
  <c r="M108" i="31"/>
  <c r="X87" i="31"/>
  <c r="W87" i="31" s="1"/>
  <c r="O45" i="32"/>
  <c r="Q45" i="32"/>
  <c r="G55" i="34"/>
  <c r="I55" i="34"/>
  <c r="Q65" i="31"/>
  <c r="W64" i="34"/>
  <c r="K34" i="33"/>
  <c r="L43" i="33"/>
  <c r="M43" i="33" s="1"/>
  <c r="O71" i="34"/>
  <c r="Q71" i="34"/>
  <c r="G57" i="32"/>
  <c r="I57" i="32"/>
  <c r="L55" i="34"/>
  <c r="M55" i="34" s="1"/>
  <c r="Q108" i="31"/>
  <c r="L57" i="32"/>
  <c r="M57" i="32" s="1"/>
  <c r="P36" i="33"/>
  <c r="O36" i="33" s="1"/>
  <c r="P35" i="33"/>
  <c r="O35" i="33" s="1"/>
  <c r="X87" i="32"/>
  <c r="W87" i="32" s="1"/>
  <c r="X38" i="33"/>
  <c r="W38" i="33" s="1"/>
  <c r="S11" i="34"/>
  <c r="P13" i="34"/>
  <c r="O11" i="34"/>
  <c r="K80" i="31"/>
  <c r="O59" i="33"/>
  <c r="T73" i="32"/>
  <c r="S73" i="32" s="1"/>
  <c r="X66" i="32"/>
  <c r="W66" i="32" s="1"/>
  <c r="O65" i="31"/>
  <c r="P76" i="33"/>
  <c r="Q76" i="33" s="1"/>
  <c r="O32" i="34"/>
  <c r="P51" i="34"/>
  <c r="O51" i="34" s="1"/>
  <c r="P46" i="34"/>
  <c r="O46" i="34" s="1"/>
  <c r="AB79" i="34"/>
  <c r="AA79" i="34"/>
  <c r="X78" i="34"/>
  <c r="W78" i="34" s="1"/>
  <c r="W79" i="34"/>
  <c r="X70" i="34"/>
  <c r="W70" i="34"/>
  <c r="T47" i="34"/>
  <c r="T48" i="34"/>
  <c r="X82" i="34"/>
  <c r="W82" i="34" s="1"/>
  <c r="W40" i="34"/>
  <c r="X40" i="34"/>
  <c r="AB85" i="34"/>
  <c r="AA85" i="34" s="1"/>
  <c r="W63" i="34"/>
  <c r="X63" i="34"/>
  <c r="W28" i="34"/>
  <c r="X28" i="34"/>
  <c r="AB83" i="34"/>
  <c r="AA83" i="34" s="1"/>
  <c r="H57" i="34"/>
  <c r="I57" i="34" s="1"/>
  <c r="P48" i="34"/>
  <c r="S43" i="34"/>
  <c r="P52" i="34"/>
  <c r="O52" i="34" s="1"/>
  <c r="P49" i="34"/>
  <c r="O49" i="34" s="1"/>
  <c r="P47" i="34"/>
  <c r="AB41" i="34"/>
  <c r="AA41" i="34"/>
  <c r="AB37" i="34"/>
  <c r="AA37" i="34"/>
  <c r="AB64" i="34"/>
  <c r="AA64" i="34"/>
  <c r="X80" i="34"/>
  <c r="W80" i="34" s="1"/>
  <c r="X53" i="34"/>
  <c r="W53" i="34"/>
  <c r="AB81" i="34"/>
  <c r="AA81" i="34" s="1"/>
  <c r="AB65" i="34"/>
  <c r="AA65" i="34"/>
  <c r="X84" i="34"/>
  <c r="W84" i="34" s="1"/>
  <c r="X74" i="34"/>
  <c r="W74" i="34" s="1"/>
  <c r="X76" i="34"/>
  <c r="W76" i="34"/>
  <c r="X22" i="34"/>
  <c r="W22" i="34"/>
  <c r="T32" i="34"/>
  <c r="T49" i="34" s="1"/>
  <c r="AB77" i="34"/>
  <c r="AA77" i="34" s="1"/>
  <c r="W81" i="34"/>
  <c r="T71" i="34"/>
  <c r="X61" i="34"/>
  <c r="W61" i="34" s="1"/>
  <c r="W62" i="34"/>
  <c r="X62" i="34"/>
  <c r="AA27" i="34"/>
  <c r="AB27" i="34"/>
  <c r="W38" i="34"/>
  <c r="X38" i="34"/>
  <c r="AB75" i="34"/>
  <c r="AA75" i="34" s="1"/>
  <c r="W75" i="34"/>
  <c r="AB50" i="34"/>
  <c r="AA50" i="34"/>
  <c r="AB66" i="34"/>
  <c r="AA66" i="34"/>
  <c r="T24" i="33"/>
  <c r="X21" i="33"/>
  <c r="T31" i="33"/>
  <c r="S31" i="33" s="1"/>
  <c r="X27" i="33"/>
  <c r="W27" i="33" s="1"/>
  <c r="X72" i="33"/>
  <c r="W72" i="33" s="1"/>
  <c r="X75" i="33"/>
  <c r="W75" i="33" s="1"/>
  <c r="X50" i="33"/>
  <c r="W50" i="33" s="1"/>
  <c r="S21" i="33"/>
  <c r="AB54" i="33"/>
  <c r="AA54" i="33" s="1"/>
  <c r="X63" i="33"/>
  <c r="W63" i="33" s="1"/>
  <c r="X67" i="33"/>
  <c r="W67" i="33" s="1"/>
  <c r="AB52" i="33"/>
  <c r="AA52" i="33" s="1"/>
  <c r="T59" i="33"/>
  <c r="S59" i="33" s="1"/>
  <c r="X49" i="33"/>
  <c r="W49" i="33" s="1"/>
  <c r="X69" i="33"/>
  <c r="W69" i="33" s="1"/>
  <c r="X74" i="33"/>
  <c r="W74" i="33" s="1"/>
  <c r="AB73" i="33"/>
  <c r="AA73" i="33" s="1"/>
  <c r="X29" i="33"/>
  <c r="W29" i="33" s="1"/>
  <c r="O31" i="33"/>
  <c r="K76" i="33"/>
  <c r="W52" i="33"/>
  <c r="X53" i="33"/>
  <c r="W53" i="33" s="1"/>
  <c r="T65" i="33"/>
  <c r="T76" i="33" s="1"/>
  <c r="AA41" i="33"/>
  <c r="AB41" i="33"/>
  <c r="AB71" i="33"/>
  <c r="AA71" i="33" s="1"/>
  <c r="W23" i="33"/>
  <c r="X23" i="33"/>
  <c r="X62" i="33"/>
  <c r="W62" i="33" s="1"/>
  <c r="AB66" i="33"/>
  <c r="AA66" i="33" s="1"/>
  <c r="X58" i="33"/>
  <c r="W58" i="33"/>
  <c r="AB68" i="33"/>
  <c r="AA68" i="33" s="1"/>
  <c r="S53" i="33"/>
  <c r="X64" i="33"/>
  <c r="W64" i="33" s="1"/>
  <c r="AB51" i="33"/>
  <c r="AA51" i="33" s="1"/>
  <c r="X30" i="33"/>
  <c r="W30" i="33" s="1"/>
  <c r="K35" i="33"/>
  <c r="H45" i="33"/>
  <c r="G43" i="33"/>
  <c r="H95" i="33"/>
  <c r="H97" i="33" s="1"/>
  <c r="O73" i="32"/>
  <c r="K53" i="32"/>
  <c r="K50" i="32"/>
  <c r="AA27" i="32"/>
  <c r="AB27" i="32"/>
  <c r="X52" i="32"/>
  <c r="W52" i="32" s="1"/>
  <c r="AB81" i="32"/>
  <c r="AA81" i="32" s="1"/>
  <c r="X68" i="32"/>
  <c r="W68" i="32" s="1"/>
  <c r="X43" i="32"/>
  <c r="W43" i="32" s="1"/>
  <c r="AB89" i="32"/>
  <c r="AA89" i="32" s="1"/>
  <c r="AB79" i="32"/>
  <c r="AA79" i="32" s="1"/>
  <c r="X41" i="32"/>
  <c r="W41" i="32"/>
  <c r="AB63" i="32"/>
  <c r="AA63" i="32" s="1"/>
  <c r="X24" i="32"/>
  <c r="W24" i="32"/>
  <c r="AB55" i="32"/>
  <c r="AA55" i="32" s="1"/>
  <c r="AB28" i="32"/>
  <c r="AA28" i="32"/>
  <c r="X37" i="32"/>
  <c r="W37" i="32" s="1"/>
  <c r="T45" i="32"/>
  <c r="S45" i="32" s="1"/>
  <c r="X35" i="32"/>
  <c r="W35" i="32" s="1"/>
  <c r="AB85" i="32"/>
  <c r="AA85" i="32" s="1"/>
  <c r="AB36" i="32"/>
  <c r="AA36" i="32" s="1"/>
  <c r="X26" i="32"/>
  <c r="W26" i="32"/>
  <c r="X80" i="32"/>
  <c r="W80" i="32" s="1"/>
  <c r="X90" i="32"/>
  <c r="W90" i="32" s="1"/>
  <c r="X88" i="32"/>
  <c r="W88" i="32" s="1"/>
  <c r="T32" i="32"/>
  <c r="X83" i="32"/>
  <c r="W83" i="32" s="1"/>
  <c r="X78" i="32"/>
  <c r="W78" i="32" s="1"/>
  <c r="O49" i="32"/>
  <c r="O50" i="32"/>
  <c r="X76" i="32"/>
  <c r="W76" i="32" s="1"/>
  <c r="X64" i="32"/>
  <c r="W64" i="32" s="1"/>
  <c r="H59" i="32"/>
  <c r="I59" i="32" s="1"/>
  <c r="X86" i="32"/>
  <c r="W86" i="32" s="1"/>
  <c r="AA22" i="32"/>
  <c r="AB22" i="32"/>
  <c r="X67" i="32"/>
  <c r="W67" i="32" s="1"/>
  <c r="T65" i="31"/>
  <c r="T83" i="31" s="1"/>
  <c r="G89" i="31"/>
  <c r="X111" i="31"/>
  <c r="W111" i="31" s="1"/>
  <c r="X122" i="31"/>
  <c r="W122" i="31" s="1"/>
  <c r="AB117" i="31"/>
  <c r="AA117" i="31" s="1"/>
  <c r="G84" i="31"/>
  <c r="X113" i="31"/>
  <c r="AB90" i="31"/>
  <c r="AA90" i="31" s="1"/>
  <c r="T100" i="31"/>
  <c r="S100" i="31" s="1"/>
  <c r="T68" i="31"/>
  <c r="P80" i="31"/>
  <c r="I28" i="42" s="1"/>
  <c r="AB121" i="31"/>
  <c r="AA121" i="31" s="1"/>
  <c r="X107" i="31"/>
  <c r="W107" i="31"/>
  <c r="K83" i="31"/>
  <c r="X118" i="31"/>
  <c r="P83" i="31"/>
  <c r="X69" i="31"/>
  <c r="W69" i="31" s="1"/>
  <c r="G88" i="31"/>
  <c r="G85" i="31"/>
  <c r="AA43" i="31"/>
  <c r="X99" i="31"/>
  <c r="O100" i="31"/>
  <c r="O68" i="31"/>
  <c r="X102" i="31"/>
  <c r="W102" i="31" s="1"/>
  <c r="X120" i="31"/>
  <c r="X101" i="31"/>
  <c r="W101" i="31" s="1"/>
  <c r="AB44" i="31"/>
  <c r="X112" i="31"/>
  <c r="W112" i="31" s="1"/>
  <c r="X103" i="31"/>
  <c r="W103" i="31" s="1"/>
  <c r="G86" i="31"/>
  <c r="L86" i="31"/>
  <c r="L85" i="31"/>
  <c r="L88" i="31"/>
  <c r="T114" i="31"/>
  <c r="T148" i="31" s="1"/>
  <c r="AB119" i="31"/>
  <c r="AA119" i="31" s="1"/>
  <c r="X46" i="31"/>
  <c r="S112" i="31"/>
  <c r="X116" i="31"/>
  <c r="W116" i="31" s="1"/>
  <c r="O108" i="31"/>
  <c r="K108" i="31"/>
  <c r="AB115" i="31"/>
  <c r="AA115" i="31" s="1"/>
  <c r="S118" i="31"/>
  <c r="J28" i="42" l="1"/>
  <c r="K28" i="42" s="1"/>
  <c r="L28" i="42" s="1"/>
  <c r="Q28" i="42"/>
  <c r="R28" i="42" s="1"/>
  <c r="H32" i="42"/>
  <c r="O32" i="42" s="1"/>
  <c r="P32" i="42" s="1"/>
  <c r="O31" i="42"/>
  <c r="P31" i="42" s="1"/>
  <c r="AB87" i="31"/>
  <c r="AA87" i="31" s="1"/>
  <c r="AB87" i="32"/>
  <c r="AA87" i="32" s="1"/>
  <c r="L95" i="33"/>
  <c r="H85" i="33"/>
  <c r="I45" i="33"/>
  <c r="Q80" i="31"/>
  <c r="K55" i="34"/>
  <c r="L92" i="31"/>
  <c r="M92" i="31" s="1"/>
  <c r="AB38" i="33"/>
  <c r="AA38" i="33" s="1"/>
  <c r="P101" i="34"/>
  <c r="S13" i="34"/>
  <c r="O80" i="31"/>
  <c r="L59" i="32"/>
  <c r="K59" i="32" s="1"/>
  <c r="O76" i="33"/>
  <c r="G57" i="34"/>
  <c r="G59" i="32"/>
  <c r="X32" i="32"/>
  <c r="AA32" i="32" s="1"/>
  <c r="S76" i="33"/>
  <c r="AB66" i="32"/>
  <c r="AA66" i="32" s="1"/>
  <c r="K86" i="31"/>
  <c r="K89" i="31"/>
  <c r="S65" i="33"/>
  <c r="S114" i="31"/>
  <c r="S65" i="31"/>
  <c r="L57" i="34"/>
  <c r="S71" i="34"/>
  <c r="S32" i="34"/>
  <c r="S48" i="34"/>
  <c r="O48" i="34"/>
  <c r="S47" i="34"/>
  <c r="O47" i="34"/>
  <c r="AB61" i="34"/>
  <c r="AA61" i="34" s="1"/>
  <c r="X71" i="34"/>
  <c r="W71" i="34" s="1"/>
  <c r="AA22" i="34"/>
  <c r="AB22" i="34"/>
  <c r="X32" i="34"/>
  <c r="W32" i="34" s="1"/>
  <c r="S49" i="34"/>
  <c r="AA28" i="34"/>
  <c r="AB28" i="34"/>
  <c r="AA40" i="34"/>
  <c r="AB40" i="34"/>
  <c r="T51" i="34"/>
  <c r="P55" i="34"/>
  <c r="AB74" i="34"/>
  <c r="AB53" i="34"/>
  <c r="AA53" i="34" s="1"/>
  <c r="AA38" i="34"/>
  <c r="AB38" i="34"/>
  <c r="AB62" i="34"/>
  <c r="AA62" i="34"/>
  <c r="T46" i="34"/>
  <c r="S46" i="34" s="1"/>
  <c r="AB76" i="34"/>
  <c r="AA76" i="34"/>
  <c r="X43" i="34"/>
  <c r="W43" i="34" s="1"/>
  <c r="AB63" i="34"/>
  <c r="AA63" i="34"/>
  <c r="T52" i="34"/>
  <c r="AB78" i="34"/>
  <c r="AA78" i="34"/>
  <c r="AB84" i="34"/>
  <c r="AA84" i="34"/>
  <c r="AB80" i="34"/>
  <c r="AA80" i="34"/>
  <c r="AB82" i="34"/>
  <c r="AA82" i="34"/>
  <c r="AB70" i="34"/>
  <c r="AA70" i="34"/>
  <c r="K43" i="33"/>
  <c r="G45" i="33"/>
  <c r="X65" i="33"/>
  <c r="X76" i="33" s="1"/>
  <c r="AB67" i="33"/>
  <c r="AA67" i="33" s="1"/>
  <c r="L45" i="33"/>
  <c r="AB72" i="33"/>
  <c r="AA72" i="33" s="1"/>
  <c r="T34" i="33"/>
  <c r="AB30" i="33"/>
  <c r="AA30" i="33" s="1"/>
  <c r="AB64" i="33"/>
  <c r="AA64" i="33" s="1"/>
  <c r="AB23" i="33"/>
  <c r="AA23" i="33"/>
  <c r="AB53" i="33"/>
  <c r="AA53" i="33" s="1"/>
  <c r="AB29" i="33"/>
  <c r="AA29" i="33" s="1"/>
  <c r="AA58" i="33"/>
  <c r="AB58" i="33"/>
  <c r="AB62" i="33"/>
  <c r="AA62" i="33" s="1"/>
  <c r="AB74" i="33"/>
  <c r="AA74" i="33" s="1"/>
  <c r="AB69" i="33"/>
  <c r="AA69" i="33" s="1"/>
  <c r="X31" i="33"/>
  <c r="W31" i="33" s="1"/>
  <c r="AB27" i="33"/>
  <c r="X24" i="33"/>
  <c r="AB21" i="33"/>
  <c r="X59" i="33"/>
  <c r="AB49" i="33"/>
  <c r="AA49" i="33" s="1"/>
  <c r="AB63" i="33"/>
  <c r="AA63" i="33" s="1"/>
  <c r="AB50" i="33"/>
  <c r="AA50" i="33" s="1"/>
  <c r="AB75" i="33"/>
  <c r="AA75" i="33" s="1"/>
  <c r="T37" i="33"/>
  <c r="T36" i="33"/>
  <c r="T35" i="33"/>
  <c r="T40" i="33"/>
  <c r="T39" i="33"/>
  <c r="W21" i="33"/>
  <c r="K57" i="32"/>
  <c r="AB86" i="32"/>
  <c r="AA86" i="32" s="1"/>
  <c r="AB64" i="32"/>
  <c r="AA64" i="32" s="1"/>
  <c r="AB78" i="32"/>
  <c r="AA78" i="32" s="1"/>
  <c r="T48" i="32"/>
  <c r="W32" i="32"/>
  <c r="AA26" i="32"/>
  <c r="AB26" i="32"/>
  <c r="AB41" i="32"/>
  <c r="AA41" i="32" s="1"/>
  <c r="AB68" i="32"/>
  <c r="AA68" i="32" s="1"/>
  <c r="AB76" i="32"/>
  <c r="AA76" i="32" s="1"/>
  <c r="AB88" i="32"/>
  <c r="AA88" i="32" s="1"/>
  <c r="AB80" i="32"/>
  <c r="AA80" i="32" s="1"/>
  <c r="AB37" i="32"/>
  <c r="AA37" i="32" s="1"/>
  <c r="AB67" i="32"/>
  <c r="AA67" i="32" s="1"/>
  <c r="AB83" i="32"/>
  <c r="AA83" i="32" s="1"/>
  <c r="X45" i="32"/>
  <c r="W45" i="32" s="1"/>
  <c r="AB35" i="32"/>
  <c r="AA35" i="32" s="1"/>
  <c r="X73" i="32"/>
  <c r="AB43" i="32"/>
  <c r="AA43" i="32" s="1"/>
  <c r="AB90" i="32"/>
  <c r="AA90" i="32" s="1"/>
  <c r="T54" i="32"/>
  <c r="T51" i="32"/>
  <c r="T49" i="32"/>
  <c r="S49" i="32" s="1"/>
  <c r="T53" i="32"/>
  <c r="T50" i="32"/>
  <c r="AA24" i="32"/>
  <c r="AB24" i="32"/>
  <c r="AB52" i="32"/>
  <c r="AA52" i="32" s="1"/>
  <c r="AB46" i="31"/>
  <c r="AA46" i="31" s="1"/>
  <c r="X65" i="31"/>
  <c r="AB120" i="31"/>
  <c r="AA120" i="31" s="1"/>
  <c r="X114" i="31"/>
  <c r="X148" i="31" s="1"/>
  <c r="H94" i="31"/>
  <c r="G92" i="31"/>
  <c r="AB99" i="31"/>
  <c r="AA99" i="31" s="1"/>
  <c r="AB118" i="31"/>
  <c r="AA118" i="31" s="1"/>
  <c r="T80" i="31"/>
  <c r="S80" i="31" s="1"/>
  <c r="X68" i="31"/>
  <c r="W68" i="31" s="1"/>
  <c r="AB113" i="31"/>
  <c r="AA113" i="31" s="1"/>
  <c r="AB116" i="31"/>
  <c r="AA116" i="31" s="1"/>
  <c r="AB112" i="31"/>
  <c r="AA112" i="31" s="1"/>
  <c r="AB101" i="31"/>
  <c r="AA101" i="31" s="1"/>
  <c r="AB102" i="31"/>
  <c r="AA102" i="31" s="1"/>
  <c r="W99" i="31"/>
  <c r="K88" i="31"/>
  <c r="W118" i="31"/>
  <c r="S68" i="31"/>
  <c r="AB111" i="31"/>
  <c r="AA111" i="31" s="1"/>
  <c r="S83" i="31"/>
  <c r="W46" i="31"/>
  <c r="AA44" i="31"/>
  <c r="W120" i="31"/>
  <c r="T108" i="31"/>
  <c r="K85" i="31"/>
  <c r="P86" i="31"/>
  <c r="P85" i="31"/>
  <c r="P89" i="31"/>
  <c r="P88" i="31"/>
  <c r="P84" i="31"/>
  <c r="W113" i="31"/>
  <c r="K84" i="31"/>
  <c r="AB122" i="31"/>
  <c r="AA122" i="31" s="1"/>
  <c r="AB103" i="31"/>
  <c r="AA103" i="31" s="1"/>
  <c r="X100" i="31"/>
  <c r="X108" i="31" s="1"/>
  <c r="AB69" i="31"/>
  <c r="AA69" i="31" s="1"/>
  <c r="AA107" i="31"/>
  <c r="AB107" i="31"/>
  <c r="O83" i="31"/>
  <c r="H180" i="31" l="1"/>
  <c r="I94" i="31"/>
  <c r="M59" i="32"/>
  <c r="M45" i="33"/>
  <c r="M57" i="34"/>
  <c r="O55" i="34"/>
  <c r="Q55" i="34"/>
  <c r="K57" i="34"/>
  <c r="AB32" i="32"/>
  <c r="O88" i="31"/>
  <c r="O85" i="31"/>
  <c r="W100" i="31"/>
  <c r="O86" i="31"/>
  <c r="S52" i="34"/>
  <c r="AB32" i="34"/>
  <c r="AB43" i="34"/>
  <c r="X47" i="34"/>
  <c r="X51" i="34"/>
  <c r="X48" i="34"/>
  <c r="X52" i="34"/>
  <c r="W52" i="34" s="1"/>
  <c r="X49" i="34"/>
  <c r="T55" i="34"/>
  <c r="S55" i="34" s="1"/>
  <c r="AA74" i="34"/>
  <c r="P57" i="34"/>
  <c r="Q57" i="34" s="1"/>
  <c r="S51" i="34"/>
  <c r="AB71" i="34"/>
  <c r="AA71" i="34" s="1"/>
  <c r="AB31" i="33"/>
  <c r="AB36" i="33" s="1"/>
  <c r="AB24" i="33"/>
  <c r="AA24" i="33" s="1"/>
  <c r="W76" i="33"/>
  <c r="AA21" i="33"/>
  <c r="AA27" i="33"/>
  <c r="W65" i="33"/>
  <c r="S35" i="33"/>
  <c r="X40" i="33"/>
  <c r="X39" i="33"/>
  <c r="X37" i="33"/>
  <c r="X36" i="33"/>
  <c r="W36" i="33" s="1"/>
  <c r="X35" i="33"/>
  <c r="AA31" i="33"/>
  <c r="T43" i="33"/>
  <c r="S36" i="33"/>
  <c r="AB59" i="33"/>
  <c r="AA59" i="33" s="1"/>
  <c r="W24" i="33"/>
  <c r="W59" i="33"/>
  <c r="H98" i="33"/>
  <c r="H87" i="33"/>
  <c r="AB65" i="33"/>
  <c r="AB76" i="33" s="1"/>
  <c r="K45" i="33"/>
  <c r="AB73" i="32"/>
  <c r="AA73" i="32" s="1"/>
  <c r="W73" i="32"/>
  <c r="S50" i="32"/>
  <c r="AB45" i="32"/>
  <c r="AB50" i="32" s="1"/>
  <c r="T57" i="32"/>
  <c r="W48" i="32"/>
  <c r="X53" i="32"/>
  <c r="X50" i="32"/>
  <c r="X54" i="32"/>
  <c r="X51" i="32"/>
  <c r="W51" i="32" s="1"/>
  <c r="X49" i="32"/>
  <c r="L94" i="31"/>
  <c r="K92" i="31"/>
  <c r="AB65" i="31"/>
  <c r="AB100" i="31"/>
  <c r="AB108" i="31" s="1"/>
  <c r="AA108" i="31" s="1"/>
  <c r="W108" i="31"/>
  <c r="S108" i="31"/>
  <c r="G94" i="31"/>
  <c r="W148" i="31"/>
  <c r="X80" i="31"/>
  <c r="W80" i="31" s="1"/>
  <c r="AB68" i="31"/>
  <c r="AB80" i="31" s="1"/>
  <c r="W65" i="31"/>
  <c r="P92" i="31"/>
  <c r="Q92" i="31" s="1"/>
  <c r="AB114" i="31"/>
  <c r="AB148" i="31" s="1"/>
  <c r="O84" i="31"/>
  <c r="O89" i="31"/>
  <c r="T89" i="31"/>
  <c r="T88" i="31"/>
  <c r="T86" i="31"/>
  <c r="T85" i="31"/>
  <c r="T84" i="31"/>
  <c r="W114" i="31"/>
  <c r="M94" i="31" l="1"/>
  <c r="AA45" i="32"/>
  <c r="O57" i="34"/>
  <c r="AA65" i="33"/>
  <c r="AA100" i="31"/>
  <c r="AA114" i="31"/>
  <c r="AA68" i="31"/>
  <c r="K94" i="31"/>
  <c r="AB52" i="34"/>
  <c r="AA52" i="34" s="1"/>
  <c r="AA32" i="34"/>
  <c r="W48" i="34"/>
  <c r="AB51" i="34"/>
  <c r="AA51" i="34" s="1"/>
  <c r="W47" i="34"/>
  <c r="AB49" i="34"/>
  <c r="AA49" i="34" s="1"/>
  <c r="AA43" i="34"/>
  <c r="W49" i="34"/>
  <c r="W51" i="34"/>
  <c r="AB47" i="34"/>
  <c r="AA47" i="34" s="1"/>
  <c r="AB48" i="34"/>
  <c r="AA48" i="34" s="1"/>
  <c r="T57" i="34"/>
  <c r="S57" i="34" s="1"/>
  <c r="AB40" i="33"/>
  <c r="AA40" i="33" s="1"/>
  <c r="AB35" i="33"/>
  <c r="AA35" i="33" s="1"/>
  <c r="AB39" i="33"/>
  <c r="AA39" i="33" s="1"/>
  <c r="AB37" i="33"/>
  <c r="AA37" i="33" s="1"/>
  <c r="W40" i="33"/>
  <c r="AA76" i="33"/>
  <c r="W39" i="33"/>
  <c r="W35" i="33"/>
  <c r="T45" i="33"/>
  <c r="T95" i="33"/>
  <c r="T97" i="33" s="1"/>
  <c r="AA36" i="33"/>
  <c r="W37" i="33"/>
  <c r="AA50" i="32"/>
  <c r="AB49" i="32"/>
  <c r="AA49" i="32" s="1"/>
  <c r="W49" i="32"/>
  <c r="W54" i="32"/>
  <c r="W53" i="32"/>
  <c r="W50" i="32"/>
  <c r="AB51" i="32"/>
  <c r="AA51" i="32" s="1"/>
  <c r="AB54" i="32"/>
  <c r="AA54" i="32" s="1"/>
  <c r="AB53" i="32"/>
  <c r="AA53" i="32" s="1"/>
  <c r="T59" i="32"/>
  <c r="AA65" i="31"/>
  <c r="AA148" i="31"/>
  <c r="T92" i="31"/>
  <c r="T180" i="31" s="1"/>
  <c r="P94" i="31"/>
  <c r="O92" i="31"/>
  <c r="AB86" i="31"/>
  <c r="AB85" i="31"/>
  <c r="AB84" i="31"/>
  <c r="AB89" i="31"/>
  <c r="AB88" i="31"/>
  <c r="S89" i="31"/>
  <c r="S88" i="31"/>
  <c r="S84" i="31"/>
  <c r="X86" i="31"/>
  <c r="X85" i="31"/>
  <c r="X84" i="31"/>
  <c r="AA80" i="31"/>
  <c r="X89" i="31"/>
  <c r="X88" i="31"/>
  <c r="S86" i="31"/>
  <c r="S85" i="31"/>
  <c r="Q94" i="31" l="1"/>
  <c r="AA85" i="31"/>
  <c r="AA84" i="31"/>
  <c r="T85" i="33"/>
  <c r="AA89" i="31"/>
  <c r="AA86" i="31"/>
  <c r="AA88" i="31"/>
  <c r="O94" i="31"/>
  <c r="W88" i="31"/>
  <c r="W86" i="31"/>
  <c r="T94" i="31"/>
  <c r="S94" i="31" s="1"/>
  <c r="W89" i="31"/>
  <c r="W85" i="31"/>
  <c r="S92" i="31"/>
  <c r="W84" i="31"/>
  <c r="T98" i="33" l="1"/>
  <c r="T87" i="33"/>
  <c r="T170" i="31"/>
  <c r="T172" i="31" l="1"/>
  <c r="G24" i="30" l="1"/>
  <c r="D79" i="30" l="1"/>
  <c r="K78" i="30"/>
  <c r="G78" i="30"/>
  <c r="G77" i="30"/>
  <c r="M78" i="30"/>
  <c r="M77" i="30"/>
  <c r="L77" i="30" s="1"/>
  <c r="O77" i="30" s="1"/>
  <c r="Q78" i="30"/>
  <c r="Q77" i="30"/>
  <c r="L61" i="30"/>
  <c r="H41" i="26" s="1"/>
  <c r="O41" i="26" s="1"/>
  <c r="P41" i="26" s="1"/>
  <c r="G26" i="30"/>
  <c r="G32" i="30"/>
  <c r="Q30" i="30"/>
  <c r="Q29" i="30"/>
  <c r="M30" i="30"/>
  <c r="D33" i="30"/>
  <c r="AC92" i="30"/>
  <c r="Y92" i="30"/>
  <c r="U92" i="30"/>
  <c r="AC91" i="30"/>
  <c r="Y91" i="30"/>
  <c r="U91" i="30"/>
  <c r="AC90" i="30"/>
  <c r="Y90" i="30"/>
  <c r="U90" i="30"/>
  <c r="AC89" i="30"/>
  <c r="Y89" i="30"/>
  <c r="U89" i="30"/>
  <c r="AC88" i="30"/>
  <c r="Y88" i="30"/>
  <c r="U88" i="30"/>
  <c r="AC87" i="30"/>
  <c r="Y87" i="30"/>
  <c r="U87" i="30"/>
  <c r="AC86" i="30"/>
  <c r="Y86" i="30"/>
  <c r="U86" i="30"/>
  <c r="AC85" i="30"/>
  <c r="Y85" i="30"/>
  <c r="U85" i="30"/>
  <c r="AC84" i="30"/>
  <c r="Y84" i="30"/>
  <c r="U84" i="30"/>
  <c r="AC83" i="30"/>
  <c r="Y83" i="30"/>
  <c r="U83" i="30"/>
  <c r="G83" i="30"/>
  <c r="AC82" i="30"/>
  <c r="Y82" i="30"/>
  <c r="U82" i="30"/>
  <c r="G82" i="30"/>
  <c r="AC78" i="30"/>
  <c r="Y78" i="30"/>
  <c r="U78" i="30"/>
  <c r="AC72" i="30"/>
  <c r="Y72" i="30"/>
  <c r="U72" i="30"/>
  <c r="G72" i="30"/>
  <c r="AC71" i="30"/>
  <c r="Y71" i="30"/>
  <c r="U71" i="30"/>
  <c r="G71" i="30"/>
  <c r="AC70" i="30"/>
  <c r="Y70" i="30"/>
  <c r="U70" i="30"/>
  <c r="G70" i="30"/>
  <c r="AC69" i="30"/>
  <c r="Y69" i="30"/>
  <c r="U69" i="30"/>
  <c r="G69" i="30"/>
  <c r="AC60" i="30"/>
  <c r="Y60" i="30"/>
  <c r="U60" i="30"/>
  <c r="Q60" i="30"/>
  <c r="M60" i="30"/>
  <c r="I60" i="30"/>
  <c r="E60" i="30"/>
  <c r="AC59" i="30"/>
  <c r="Y59" i="30"/>
  <c r="U59" i="30"/>
  <c r="Q59" i="30"/>
  <c r="M59" i="30"/>
  <c r="I59" i="30"/>
  <c r="E59" i="30"/>
  <c r="AC58" i="30"/>
  <c r="Y58" i="30"/>
  <c r="U58" i="30"/>
  <c r="Q58" i="30"/>
  <c r="M58" i="30"/>
  <c r="AC57" i="30"/>
  <c r="Y57" i="30"/>
  <c r="U57" i="30"/>
  <c r="Q57" i="30"/>
  <c r="M57" i="30"/>
  <c r="L57" i="30" s="1"/>
  <c r="I57" i="30"/>
  <c r="E57" i="30"/>
  <c r="AC56" i="30"/>
  <c r="Y56" i="30"/>
  <c r="U56" i="30"/>
  <c r="Q56" i="30"/>
  <c r="M56" i="30"/>
  <c r="L56" i="30" s="1"/>
  <c r="H36" i="42" s="1"/>
  <c r="O36" i="42" s="1"/>
  <c r="P36" i="42" s="1"/>
  <c r="I56" i="30"/>
  <c r="E56" i="30"/>
  <c r="AC55" i="30"/>
  <c r="Y55" i="30"/>
  <c r="U55" i="30"/>
  <c r="Q55" i="30"/>
  <c r="M55" i="30"/>
  <c r="E55" i="30"/>
  <c r="U54" i="30"/>
  <c r="Q54" i="30"/>
  <c r="M54" i="30"/>
  <c r="I54" i="30"/>
  <c r="E54" i="30"/>
  <c r="D51" i="30"/>
  <c r="AC49" i="30"/>
  <c r="Y49" i="30"/>
  <c r="U49" i="30"/>
  <c r="H49" i="30"/>
  <c r="G49" i="30"/>
  <c r="AC41" i="30"/>
  <c r="Y41" i="30"/>
  <c r="U41" i="30"/>
  <c r="AC40" i="30"/>
  <c r="Y40" i="30"/>
  <c r="U40" i="30"/>
  <c r="M40" i="30"/>
  <c r="L40" i="30"/>
  <c r="AC39" i="30"/>
  <c r="Y39" i="30"/>
  <c r="U39" i="30"/>
  <c r="AC38" i="30"/>
  <c r="Y38" i="30"/>
  <c r="U38" i="30"/>
  <c r="Q38" i="30"/>
  <c r="M38" i="30"/>
  <c r="L38" i="30"/>
  <c r="P38" i="30" s="1"/>
  <c r="T38" i="30" s="1"/>
  <c r="AC37" i="30"/>
  <c r="Y37" i="30"/>
  <c r="U37" i="30"/>
  <c r="Q37" i="30"/>
  <c r="M37" i="30"/>
  <c r="AC36" i="30"/>
  <c r="Y36" i="30"/>
  <c r="U36" i="30"/>
  <c r="Q36" i="30"/>
  <c r="M36" i="30"/>
  <c r="G36" i="30"/>
  <c r="AC30" i="30"/>
  <c r="Y30" i="30"/>
  <c r="U30" i="30"/>
  <c r="P30" i="30"/>
  <c r="AC29" i="30"/>
  <c r="Y29" i="30"/>
  <c r="U29" i="30"/>
  <c r="M29" i="30"/>
  <c r="P29" i="30"/>
  <c r="AC27" i="30"/>
  <c r="Y27" i="30"/>
  <c r="U27" i="30"/>
  <c r="G27" i="30"/>
  <c r="AC26" i="30"/>
  <c r="Y26" i="30"/>
  <c r="U26" i="30"/>
  <c r="AC25" i="30"/>
  <c r="Y25" i="30"/>
  <c r="U25" i="30"/>
  <c r="T25" i="30"/>
  <c r="AC23" i="30"/>
  <c r="Y23" i="30"/>
  <c r="U23" i="30"/>
  <c r="Q23" i="30"/>
  <c r="M23" i="30"/>
  <c r="AC22" i="30"/>
  <c r="Y22" i="30"/>
  <c r="U22" i="30"/>
  <c r="Q22" i="30"/>
  <c r="M22" i="30"/>
  <c r="G22" i="30"/>
  <c r="AC21" i="30"/>
  <c r="Y21" i="30"/>
  <c r="U21" i="30"/>
  <c r="Q21" i="30"/>
  <c r="M21" i="30"/>
  <c r="AB10" i="30"/>
  <c r="X10" i="30"/>
  <c r="AA10" i="30" s="1"/>
  <c r="T10" i="30"/>
  <c r="W10" i="30" s="1"/>
  <c r="P10" i="30"/>
  <c r="S10" i="30" s="1"/>
  <c r="L10" i="30"/>
  <c r="O10" i="30" s="1"/>
  <c r="K10" i="30"/>
  <c r="G10" i="30"/>
  <c r="D11" i="30"/>
  <c r="H6" i="30"/>
  <c r="L6" i="30" s="1"/>
  <c r="P6" i="30" s="1"/>
  <c r="T6" i="30" s="1"/>
  <c r="X6" i="30" s="1"/>
  <c r="AB6" i="30" s="1"/>
  <c r="AB3" i="30"/>
  <c r="AB9" i="30" s="1"/>
  <c r="X3" i="30"/>
  <c r="X9" i="30" s="1"/>
  <c r="T3" i="30"/>
  <c r="T9" i="30" s="1"/>
  <c r="P3" i="30"/>
  <c r="L3" i="30"/>
  <c r="H3" i="30"/>
  <c r="D3" i="30"/>
  <c r="E68" i="26"/>
  <c r="E19" i="26"/>
  <c r="E20" i="26"/>
  <c r="E21" i="26"/>
  <c r="D20" i="26"/>
  <c r="D21" i="26"/>
  <c r="D19" i="26"/>
  <c r="E67" i="28"/>
  <c r="E66" i="28"/>
  <c r="E65" i="28"/>
  <c r="E59" i="28"/>
  <c r="E18" i="28"/>
  <c r="E54" i="28"/>
  <c r="E17" i="28"/>
  <c r="E53" i="28"/>
  <c r="E16" i="28"/>
  <c r="E49" i="28"/>
  <c r="E48" i="28"/>
  <c r="E47" i="28"/>
  <c r="E45" i="28"/>
  <c r="E44" i="28"/>
  <c r="E43" i="28"/>
  <c r="E40" i="28"/>
  <c r="E39" i="28"/>
  <c r="E38" i="28"/>
  <c r="E37" i="28"/>
  <c r="E36" i="28"/>
  <c r="E35" i="28"/>
  <c r="E34" i="28"/>
  <c r="E33" i="28"/>
  <c r="E28" i="28"/>
  <c r="E27" i="28"/>
  <c r="E12" i="28"/>
  <c r="E11" i="28"/>
  <c r="E10" i="28"/>
  <c r="E9" i="28"/>
  <c r="E8" i="28"/>
  <c r="E7" i="28"/>
  <c r="E5" i="28"/>
  <c r="E1" i="26"/>
  <c r="E1" i="27" s="1"/>
  <c r="G1" i="28"/>
  <c r="M47" i="5"/>
  <c r="E47" i="5"/>
  <c r="E46" i="5"/>
  <c r="AF51" i="5"/>
  <c r="AE51" i="5"/>
  <c r="AD51" i="5"/>
  <c r="Y50" i="5"/>
  <c r="C47" i="5"/>
  <c r="C46" i="5"/>
  <c r="H51" i="15"/>
  <c r="L51" i="15" s="1"/>
  <c r="G51" i="15"/>
  <c r="H51" i="14"/>
  <c r="L51" i="14" s="1"/>
  <c r="G51" i="14"/>
  <c r="H51" i="12"/>
  <c r="L51" i="12" s="1"/>
  <c r="G51" i="12"/>
  <c r="P51" i="19"/>
  <c r="T51" i="19" s="1"/>
  <c r="G51" i="19"/>
  <c r="L51" i="11"/>
  <c r="G51" i="11"/>
  <c r="G51" i="10"/>
  <c r="P51" i="7"/>
  <c r="K51" i="7"/>
  <c r="G51" i="7"/>
  <c r="I19" i="27"/>
  <c r="I19" i="42" s="1"/>
  <c r="G19" i="27"/>
  <c r="G19" i="42" s="1"/>
  <c r="H19" i="27"/>
  <c r="F19" i="27"/>
  <c r="U17" i="28"/>
  <c r="D41" i="23"/>
  <c r="F5" i="27"/>
  <c r="A80" i="28"/>
  <c r="C78" i="28"/>
  <c r="C76" i="28"/>
  <c r="B75" i="28"/>
  <c r="B68" i="28"/>
  <c r="L67" i="28"/>
  <c r="K67" i="28"/>
  <c r="J67" i="28"/>
  <c r="I67" i="28"/>
  <c r="X67" i="28" s="1"/>
  <c r="H67" i="28"/>
  <c r="W67" i="28" s="1"/>
  <c r="G67" i="28"/>
  <c r="V67" i="28" s="1"/>
  <c r="F67" i="28"/>
  <c r="U67" i="28" s="1"/>
  <c r="B67" i="28"/>
  <c r="B66" i="28"/>
  <c r="F65" i="28"/>
  <c r="U65" i="28" s="1"/>
  <c r="B65" i="28"/>
  <c r="A64" i="28"/>
  <c r="F59" i="28"/>
  <c r="U59" i="28" s="1"/>
  <c r="L54" i="28"/>
  <c r="K54" i="28"/>
  <c r="J54" i="28"/>
  <c r="I54" i="28"/>
  <c r="H54" i="28"/>
  <c r="G54" i="28"/>
  <c r="F54" i="28"/>
  <c r="U54" i="28" s="1"/>
  <c r="L17" i="28"/>
  <c r="K17" i="28"/>
  <c r="J17" i="28"/>
  <c r="I17" i="28"/>
  <c r="H17" i="28"/>
  <c r="G17" i="28"/>
  <c r="F53" i="28"/>
  <c r="U53" i="28" s="1"/>
  <c r="L16" i="28"/>
  <c r="K16" i="28"/>
  <c r="J16" i="28"/>
  <c r="I16" i="28"/>
  <c r="H16" i="28"/>
  <c r="G16" i="28"/>
  <c r="F16" i="28"/>
  <c r="L33" i="28"/>
  <c r="K33" i="28"/>
  <c r="J33" i="28"/>
  <c r="L12" i="28"/>
  <c r="K12" i="28"/>
  <c r="J12" i="28"/>
  <c r="I12" i="28"/>
  <c r="H12" i="28"/>
  <c r="G12" i="28"/>
  <c r="F12" i="28"/>
  <c r="U12" i="28" s="1"/>
  <c r="L10" i="28"/>
  <c r="K10" i="28"/>
  <c r="J10" i="28"/>
  <c r="I10" i="28"/>
  <c r="H10" i="28"/>
  <c r="L8" i="28"/>
  <c r="K8" i="28"/>
  <c r="J8" i="28"/>
  <c r="G53" i="27"/>
  <c r="G55" i="27" s="1"/>
  <c r="C43" i="27"/>
  <c r="G69" i="26"/>
  <c r="G69" i="28" s="1"/>
  <c r="V69" i="28" s="1"/>
  <c r="L54" i="30" l="1"/>
  <c r="H34" i="42" s="1"/>
  <c r="O34" i="42" s="1"/>
  <c r="P34" i="42" s="1"/>
  <c r="L55" i="30"/>
  <c r="H35" i="42" s="1"/>
  <c r="O35" i="42" s="1"/>
  <c r="P35" i="42" s="1"/>
  <c r="O19" i="27"/>
  <c r="P19" i="27" s="1"/>
  <c r="H19" i="42"/>
  <c r="Q19" i="42" s="1"/>
  <c r="R19" i="42" s="1"/>
  <c r="G22" i="42"/>
  <c r="M19" i="42"/>
  <c r="N19" i="42" s="1"/>
  <c r="O19" i="42"/>
  <c r="P19" i="42" s="1"/>
  <c r="W16" i="28"/>
  <c r="O16" i="28"/>
  <c r="P16" i="28" s="1"/>
  <c r="X17" i="28"/>
  <c r="Q17" i="28"/>
  <c r="R17" i="28" s="1"/>
  <c r="V12" i="28"/>
  <c r="M12" i="28"/>
  <c r="N12" i="28" s="1"/>
  <c r="Q16" i="28"/>
  <c r="R16" i="28" s="1"/>
  <c r="V54" i="28"/>
  <c r="M54" i="28"/>
  <c r="N54" i="28" s="1"/>
  <c r="X10" i="28"/>
  <c r="Q10" i="28"/>
  <c r="R10" i="28" s="1"/>
  <c r="W12" i="28"/>
  <c r="O12" i="28"/>
  <c r="P12" i="28" s="1"/>
  <c r="V17" i="28"/>
  <c r="M17" i="28"/>
  <c r="N17" i="28" s="1"/>
  <c r="W54" i="28"/>
  <c r="O54" i="28"/>
  <c r="P54" i="28" s="1"/>
  <c r="W10" i="28"/>
  <c r="X12" i="28"/>
  <c r="Q12" i="28"/>
  <c r="R12" i="28" s="1"/>
  <c r="V16" i="28"/>
  <c r="M16" i="28"/>
  <c r="N16" i="28" s="1"/>
  <c r="W17" i="28"/>
  <c r="O17" i="28"/>
  <c r="P17" i="28" s="1"/>
  <c r="X54" i="28"/>
  <c r="Q54" i="28"/>
  <c r="R54" i="28" s="1"/>
  <c r="M19" i="27"/>
  <c r="N19" i="27" s="1"/>
  <c r="I19" i="26"/>
  <c r="I19" i="28" s="1"/>
  <c r="Q19" i="27"/>
  <c r="R19" i="27" s="1"/>
  <c r="L49" i="30"/>
  <c r="K49" i="30"/>
  <c r="X16" i="28"/>
  <c r="I22" i="28"/>
  <c r="G41" i="30"/>
  <c r="G40" i="30"/>
  <c r="K41" i="30"/>
  <c r="F43" i="26"/>
  <c r="F28" i="26"/>
  <c r="F27" i="26"/>
  <c r="U16" i="28"/>
  <c r="K51" i="12"/>
  <c r="O51" i="19"/>
  <c r="K51" i="19"/>
  <c r="F55" i="28"/>
  <c r="U55" i="28" s="1"/>
  <c r="J34" i="28"/>
  <c r="K35" i="28"/>
  <c r="L36" i="28"/>
  <c r="K39" i="28"/>
  <c r="L40" i="28"/>
  <c r="F19" i="26"/>
  <c r="H19" i="26"/>
  <c r="O19" i="26" s="1"/>
  <c r="P19" i="26" s="1"/>
  <c r="G19" i="26"/>
  <c r="L38" i="28"/>
  <c r="L34" i="28"/>
  <c r="G91" i="30"/>
  <c r="G87" i="30"/>
  <c r="G90" i="30"/>
  <c r="K90" i="30"/>
  <c r="G84" i="30"/>
  <c r="K84" i="30"/>
  <c r="G88" i="30"/>
  <c r="K88" i="30"/>
  <c r="G86" i="30"/>
  <c r="K86" i="30"/>
  <c r="G89" i="30"/>
  <c r="G92" i="30"/>
  <c r="G85" i="30"/>
  <c r="E55" i="26"/>
  <c r="L35" i="28"/>
  <c r="L39" i="28"/>
  <c r="E68" i="28"/>
  <c r="J44" i="28"/>
  <c r="G68" i="26"/>
  <c r="H69" i="26"/>
  <c r="I69" i="26" s="1"/>
  <c r="I68" i="26" s="1"/>
  <c r="E50" i="28"/>
  <c r="E55" i="28"/>
  <c r="E13" i="28"/>
  <c r="K77" i="30"/>
  <c r="G75" i="30"/>
  <c r="L78" i="30"/>
  <c r="O78" i="30" s="1"/>
  <c r="K75" i="30"/>
  <c r="O75" i="30"/>
  <c r="P77" i="30"/>
  <c r="T11" i="30"/>
  <c r="W11" i="30" s="1"/>
  <c r="D65" i="30"/>
  <c r="G39" i="30"/>
  <c r="L11" i="30"/>
  <c r="L13" i="30" s="1"/>
  <c r="AB11" i="30"/>
  <c r="G61" i="30"/>
  <c r="G23" i="30"/>
  <c r="P23" i="30"/>
  <c r="T23" i="30" s="1"/>
  <c r="S23" i="30" s="1"/>
  <c r="G30" i="30"/>
  <c r="G31" i="30"/>
  <c r="P61" i="30"/>
  <c r="I41" i="26" s="1"/>
  <c r="Q41" i="26" s="1"/>
  <c r="R41" i="26" s="1"/>
  <c r="K61" i="30"/>
  <c r="K40" i="30"/>
  <c r="P40" i="30"/>
  <c r="P24" i="30"/>
  <c r="O24" i="30" s="1"/>
  <c r="G25" i="30"/>
  <c r="K26" i="30"/>
  <c r="K32" i="30"/>
  <c r="H33" i="30"/>
  <c r="G27" i="26" s="1"/>
  <c r="T72" i="30"/>
  <c r="T39" i="30"/>
  <c r="X39" i="30" s="1"/>
  <c r="AB39" i="30" s="1"/>
  <c r="AA39" i="30" s="1"/>
  <c r="K39" i="30"/>
  <c r="G38" i="30"/>
  <c r="O38" i="30"/>
  <c r="L37" i="30"/>
  <c r="G37" i="30"/>
  <c r="G29" i="30"/>
  <c r="K25" i="30"/>
  <c r="P22" i="30"/>
  <c r="T22" i="30" s="1"/>
  <c r="X22" i="30" s="1"/>
  <c r="W22" i="30" s="1"/>
  <c r="P21" i="30"/>
  <c r="T21" i="30" s="1"/>
  <c r="K21" i="30"/>
  <c r="G21" i="30"/>
  <c r="P11" i="30"/>
  <c r="S9" i="30"/>
  <c r="X25" i="30"/>
  <c r="W25" i="30" s="1"/>
  <c r="D13" i="30"/>
  <c r="D15" i="30" s="1"/>
  <c r="K9" i="30"/>
  <c r="H11" i="30"/>
  <c r="I11" i="30" s="1"/>
  <c r="X11" i="30"/>
  <c r="AA9" i="30"/>
  <c r="T26" i="30"/>
  <c r="S26" i="30" s="1"/>
  <c r="X38" i="30"/>
  <c r="W38" i="30" s="1"/>
  <c r="G9" i="30"/>
  <c r="W9" i="30"/>
  <c r="O26" i="30"/>
  <c r="K30" i="30"/>
  <c r="K38" i="30"/>
  <c r="K27" i="30"/>
  <c r="S38" i="30"/>
  <c r="O41" i="30"/>
  <c r="S25" i="30"/>
  <c r="H51" i="30"/>
  <c r="G28" i="26" s="1"/>
  <c r="L36" i="30"/>
  <c r="K36" i="30" s="1"/>
  <c r="O9" i="30"/>
  <c r="O25" i="30"/>
  <c r="K69" i="30"/>
  <c r="K71" i="30"/>
  <c r="K82" i="30"/>
  <c r="D95" i="30"/>
  <c r="K85" i="30"/>
  <c r="K87" i="30"/>
  <c r="K91" i="30"/>
  <c r="K37" i="28"/>
  <c r="E60" i="28"/>
  <c r="H1" i="28"/>
  <c r="G1" i="26"/>
  <c r="V41" i="26" s="1"/>
  <c r="F1" i="26"/>
  <c r="U41" i="26" s="1"/>
  <c r="K36" i="28"/>
  <c r="K38" i="28"/>
  <c r="K40" i="28"/>
  <c r="K44" i="28"/>
  <c r="L37" i="28"/>
  <c r="J35" i="28"/>
  <c r="F5" i="28"/>
  <c r="U5" i="28" s="1"/>
  <c r="K34" i="28"/>
  <c r="P51" i="15"/>
  <c r="O51" i="15"/>
  <c r="K51" i="15"/>
  <c r="O61" i="13"/>
  <c r="K61" i="13"/>
  <c r="P51" i="14"/>
  <c r="O51" i="14"/>
  <c r="K51" i="14"/>
  <c r="P51" i="12"/>
  <c r="O51" i="12"/>
  <c r="X51" i="19"/>
  <c r="W51" i="19"/>
  <c r="S51" i="19"/>
  <c r="P51" i="11"/>
  <c r="O51" i="11" s="1"/>
  <c r="K51" i="11"/>
  <c r="T51" i="7"/>
  <c r="S51" i="7" s="1"/>
  <c r="O51" i="7"/>
  <c r="L50" i="6"/>
  <c r="J36" i="28"/>
  <c r="J38" i="28"/>
  <c r="F13" i="26"/>
  <c r="G53" i="28"/>
  <c r="G65" i="28"/>
  <c r="V65" i="28" s="1"/>
  <c r="H65" i="26"/>
  <c r="I65" i="26" s="1"/>
  <c r="F68" i="28"/>
  <c r="U68" i="28" s="1"/>
  <c r="G68" i="28"/>
  <c r="J37" i="28"/>
  <c r="J39" i="28"/>
  <c r="J40" i="28"/>
  <c r="L44" i="28"/>
  <c r="H53" i="27"/>
  <c r="H55" i="27" s="1"/>
  <c r="M28" i="26" l="1"/>
  <c r="N28" i="26" s="1"/>
  <c r="M22" i="42"/>
  <c r="N22" i="42" s="1"/>
  <c r="G24" i="42"/>
  <c r="M24" i="42" s="1"/>
  <c r="N24" i="42" s="1"/>
  <c r="E76" i="26"/>
  <c r="E76" i="42"/>
  <c r="M27" i="26"/>
  <c r="N27" i="26" s="1"/>
  <c r="F30" i="28"/>
  <c r="U30" i="28" s="1"/>
  <c r="M19" i="26"/>
  <c r="N19" i="26" s="1"/>
  <c r="V53" i="28"/>
  <c r="M53" i="28"/>
  <c r="N53" i="28" s="1"/>
  <c r="Q19" i="26"/>
  <c r="R19" i="26" s="1"/>
  <c r="H19" i="28"/>
  <c r="O19" i="28" s="1"/>
  <c r="P19" i="28" s="1"/>
  <c r="G19" i="28"/>
  <c r="V68" i="28"/>
  <c r="O49" i="30"/>
  <c r="P49" i="30"/>
  <c r="I33" i="30"/>
  <c r="O40" i="30"/>
  <c r="I51" i="30"/>
  <c r="F19" i="28"/>
  <c r="U19" i="28" s="1"/>
  <c r="G55" i="28"/>
  <c r="M11" i="30"/>
  <c r="Q11" i="30"/>
  <c r="K92" i="30"/>
  <c r="P92" i="30"/>
  <c r="O92" i="30" s="1"/>
  <c r="K89" i="30"/>
  <c r="G11" i="30"/>
  <c r="O61" i="30"/>
  <c r="H69" i="28"/>
  <c r="W69" i="28" s="1"/>
  <c r="G58" i="30"/>
  <c r="F1" i="27"/>
  <c r="U41" i="27" s="1"/>
  <c r="E76" i="28"/>
  <c r="E61" i="28"/>
  <c r="P78" i="30"/>
  <c r="G51" i="30"/>
  <c r="G33" i="30"/>
  <c r="O11" i="30"/>
  <c r="K83" i="30"/>
  <c r="O91" i="30"/>
  <c r="T13" i="30"/>
  <c r="T15" i="30" s="1"/>
  <c r="W15" i="30" s="1"/>
  <c r="K22" i="30"/>
  <c r="O87" i="30"/>
  <c r="K23" i="30"/>
  <c r="O89" i="30"/>
  <c r="O23" i="30"/>
  <c r="H95" i="30"/>
  <c r="I95" i="30" s="1"/>
  <c r="O31" i="30"/>
  <c r="K31" i="30"/>
  <c r="H79" i="30"/>
  <c r="O21" i="30"/>
  <c r="K72" i="30"/>
  <c r="O72" i="30"/>
  <c r="O70" i="30"/>
  <c r="K70" i="30"/>
  <c r="T61" i="30"/>
  <c r="S61" i="30" s="1"/>
  <c r="L58" i="30"/>
  <c r="T40" i="30"/>
  <c r="O83" i="30"/>
  <c r="O32" i="30"/>
  <c r="S72" i="30"/>
  <c r="S39" i="30"/>
  <c r="O39" i="30"/>
  <c r="W39" i="30"/>
  <c r="P37" i="30"/>
  <c r="O37" i="30" s="1"/>
  <c r="K37" i="30"/>
  <c r="O29" i="30"/>
  <c r="K29" i="30"/>
  <c r="O22" i="30"/>
  <c r="S22" i="30"/>
  <c r="S21" i="30"/>
  <c r="T87" i="30"/>
  <c r="S87" i="30" s="1"/>
  <c r="L95" i="30"/>
  <c r="O82" i="30"/>
  <c r="O84" i="30"/>
  <c r="T70" i="30"/>
  <c r="S70" i="30" s="1"/>
  <c r="AA11" i="30"/>
  <c r="X13" i="30"/>
  <c r="X15" i="30" s="1"/>
  <c r="AA15" i="30" s="1"/>
  <c r="AB25" i="30"/>
  <c r="AA25" i="30" s="1"/>
  <c r="O88" i="30"/>
  <c r="T89" i="30"/>
  <c r="S89" i="30" s="1"/>
  <c r="L51" i="30"/>
  <c r="P36" i="30"/>
  <c r="O36" i="30" s="1"/>
  <c r="X21" i="30"/>
  <c r="W21" i="30" s="1"/>
  <c r="O30" i="30"/>
  <c r="AB38" i="30"/>
  <c r="AA38" i="30" s="1"/>
  <c r="H13" i="30"/>
  <c r="K11" i="30"/>
  <c r="O71" i="30"/>
  <c r="T91" i="30"/>
  <c r="S91" i="30" s="1"/>
  <c r="T83" i="30"/>
  <c r="S83" i="30" s="1"/>
  <c r="O86" i="30"/>
  <c r="T41" i="30"/>
  <c r="S41" i="30" s="1"/>
  <c r="O27" i="30"/>
  <c r="L109" i="30"/>
  <c r="O13" i="30"/>
  <c r="D109" i="30"/>
  <c r="G13" i="30"/>
  <c r="AB13" i="30" s="1"/>
  <c r="D98" i="30"/>
  <c r="D108" i="30"/>
  <c r="X72" i="30"/>
  <c r="W72" i="30" s="1"/>
  <c r="O90" i="30"/>
  <c r="O69" i="30"/>
  <c r="X23" i="30"/>
  <c r="W23" i="30" s="1"/>
  <c r="X26" i="30"/>
  <c r="W26" i="30" s="1"/>
  <c r="AB22" i="30"/>
  <c r="AA22" i="30" s="1"/>
  <c r="S11" i="30"/>
  <c r="P13" i="30"/>
  <c r="I1" i="28"/>
  <c r="I1" i="26" s="1"/>
  <c r="X41" i="26" s="1"/>
  <c r="H1" i="26"/>
  <c r="W41" i="26" s="1"/>
  <c r="G1" i="27"/>
  <c r="V41" i="27" s="1"/>
  <c r="T51" i="15"/>
  <c r="S51" i="15"/>
  <c r="T61" i="13"/>
  <c r="S61" i="13" s="1"/>
  <c r="T51" i="14"/>
  <c r="S51" i="14"/>
  <c r="T51" i="12"/>
  <c r="S51" i="12"/>
  <c r="AB51" i="19"/>
  <c r="AA51" i="19"/>
  <c r="T51" i="11"/>
  <c r="S51" i="11" s="1"/>
  <c r="O51" i="10"/>
  <c r="K51" i="10"/>
  <c r="X51" i="7"/>
  <c r="W51" i="7" s="1"/>
  <c r="G50" i="6"/>
  <c r="O50" i="6"/>
  <c r="K50" i="6"/>
  <c r="J70" i="26"/>
  <c r="H53" i="28"/>
  <c r="J47" i="26"/>
  <c r="H65" i="28"/>
  <c r="W65" i="28" s="1"/>
  <c r="H68" i="26"/>
  <c r="I53" i="27"/>
  <c r="I55" i="27" s="1"/>
  <c r="H38" i="26" l="1"/>
  <c r="O38" i="26" s="1"/>
  <c r="P38" i="26" s="1"/>
  <c r="H38" i="42"/>
  <c r="O38" i="42" s="1"/>
  <c r="P38" i="42" s="1"/>
  <c r="I79" i="30"/>
  <c r="G43" i="42"/>
  <c r="Q19" i="28"/>
  <c r="R19" i="28" s="1"/>
  <c r="M31" i="26"/>
  <c r="N31" i="26" s="1"/>
  <c r="G31" i="28"/>
  <c r="M19" i="28"/>
  <c r="N19" i="28" s="1"/>
  <c r="F32" i="28"/>
  <c r="U32" i="28" s="1"/>
  <c r="F31" i="28"/>
  <c r="U31" i="28" s="1"/>
  <c r="M30" i="26"/>
  <c r="N30" i="26" s="1"/>
  <c r="G30" i="28"/>
  <c r="V55" i="28"/>
  <c r="M55" i="28"/>
  <c r="N55" i="28" s="1"/>
  <c r="W53" i="28"/>
  <c r="O53" i="28"/>
  <c r="P53" i="28" s="1"/>
  <c r="M95" i="30"/>
  <c r="M51" i="30"/>
  <c r="H35" i="26"/>
  <c r="O35" i="26" s="1"/>
  <c r="P35" i="26" s="1"/>
  <c r="M33" i="30"/>
  <c r="S40" i="30"/>
  <c r="U18" i="28"/>
  <c r="F22" i="28"/>
  <c r="H55" i="28"/>
  <c r="K51" i="30"/>
  <c r="H28" i="26"/>
  <c r="O28" i="26" s="1"/>
  <c r="P28" i="26" s="1"/>
  <c r="I69" i="28"/>
  <c r="X69" i="28" s="1"/>
  <c r="K33" i="30"/>
  <c r="H27" i="26"/>
  <c r="G56" i="30"/>
  <c r="G57" i="30"/>
  <c r="G54" i="30"/>
  <c r="G55" i="30"/>
  <c r="G60" i="30"/>
  <c r="G59" i="30"/>
  <c r="P58" i="30"/>
  <c r="H68" i="28"/>
  <c r="W68" i="28" s="1"/>
  <c r="J69" i="26"/>
  <c r="J71" i="26"/>
  <c r="E78" i="28"/>
  <c r="E80" i="28" s="1"/>
  <c r="G95" i="30"/>
  <c r="G79" i="30"/>
  <c r="G43" i="26"/>
  <c r="M43" i="26" s="1"/>
  <c r="N43" i="26" s="1"/>
  <c r="H63" i="30"/>
  <c r="D110" i="30"/>
  <c r="D111" i="30" s="1"/>
  <c r="O85" i="30"/>
  <c r="K95" i="30"/>
  <c r="T109" i="30"/>
  <c r="T37" i="30"/>
  <c r="S37" i="30" s="1"/>
  <c r="T85" i="30"/>
  <c r="W13" i="30"/>
  <c r="X40" i="30"/>
  <c r="AB40" i="30" s="1"/>
  <c r="K58" i="30"/>
  <c r="L79" i="30"/>
  <c r="X61" i="30"/>
  <c r="W61" i="30" s="1"/>
  <c r="T29" i="30"/>
  <c r="T90" i="30"/>
  <c r="S90" i="30" s="1"/>
  <c r="T71" i="30"/>
  <c r="S71" i="30" s="1"/>
  <c r="T30" i="30"/>
  <c r="S30" i="30" s="1"/>
  <c r="P109" i="30"/>
  <c r="S13" i="30"/>
  <c r="AB26" i="30"/>
  <c r="AA26" i="30" s="1"/>
  <c r="P79" i="30"/>
  <c r="I43" i="42" s="1"/>
  <c r="T69" i="30"/>
  <c r="S69" i="30" s="1"/>
  <c r="D100" i="30"/>
  <c r="X41" i="30"/>
  <c r="W41" i="30" s="1"/>
  <c r="S49" i="30"/>
  <c r="T49" i="30"/>
  <c r="T84" i="30"/>
  <c r="S84" i="30" s="1"/>
  <c r="AB72" i="30"/>
  <c r="AA72" i="30" s="1"/>
  <c r="AB109" i="30"/>
  <c r="AB15" i="30"/>
  <c r="X83" i="30"/>
  <c r="W83" i="30" s="1"/>
  <c r="T78" i="30"/>
  <c r="S78" i="30" s="1"/>
  <c r="H109" i="30"/>
  <c r="K13" i="30"/>
  <c r="P51" i="30"/>
  <c r="T36" i="30"/>
  <c r="S36" i="30" s="1"/>
  <c r="X89" i="30"/>
  <c r="W89" i="30" s="1"/>
  <c r="T82" i="30"/>
  <c r="S82" i="30" s="1"/>
  <c r="P95" i="30"/>
  <c r="Q95" i="30" s="1"/>
  <c r="X87" i="30"/>
  <c r="W87" i="30" s="1"/>
  <c r="AB23" i="30"/>
  <c r="AA23" i="30" s="1"/>
  <c r="T86" i="30"/>
  <c r="S86" i="30" s="1"/>
  <c r="AB21" i="30"/>
  <c r="AA21" i="30" s="1"/>
  <c r="T88" i="30"/>
  <c r="S88" i="30" s="1"/>
  <c r="X109" i="30"/>
  <c r="AA13" i="30"/>
  <c r="T92" i="30"/>
  <c r="S92" i="30" s="1"/>
  <c r="T27" i="30"/>
  <c r="S27" i="30" s="1"/>
  <c r="X91" i="30"/>
  <c r="W91" i="30" s="1"/>
  <c r="L59" i="30"/>
  <c r="H36" i="26"/>
  <c r="O36" i="26" s="1"/>
  <c r="P36" i="26" s="1"/>
  <c r="L60" i="30"/>
  <c r="X70" i="30"/>
  <c r="W70" i="30" s="1"/>
  <c r="J1" i="28"/>
  <c r="H1" i="27"/>
  <c r="W41" i="27" s="1"/>
  <c r="W51" i="15"/>
  <c r="X51" i="15"/>
  <c r="X61" i="13"/>
  <c r="W61" i="13" s="1"/>
  <c r="X51" i="14"/>
  <c r="W51" i="14"/>
  <c r="X51" i="12"/>
  <c r="W51" i="12"/>
  <c r="X51" i="11"/>
  <c r="W51" i="11"/>
  <c r="T51" i="10"/>
  <c r="AB51" i="7"/>
  <c r="AA51" i="7" s="1"/>
  <c r="T50" i="6"/>
  <c r="I53" i="28"/>
  <c r="J53" i="26"/>
  <c r="J72" i="26"/>
  <c r="J70" i="28"/>
  <c r="K70" i="26"/>
  <c r="J48" i="26"/>
  <c r="I65" i="28"/>
  <c r="X65" i="28" s="1"/>
  <c r="J65" i="26"/>
  <c r="K47" i="26"/>
  <c r="J53" i="27"/>
  <c r="J55" i="27" s="1"/>
  <c r="J43" i="42" l="1"/>
  <c r="K43" i="42" s="1"/>
  <c r="L43" i="42" s="1"/>
  <c r="H40" i="26"/>
  <c r="O40" i="26" s="1"/>
  <c r="P40" i="26" s="1"/>
  <c r="H40" i="42"/>
  <c r="O40" i="42" s="1"/>
  <c r="P40" i="42" s="1"/>
  <c r="M79" i="30"/>
  <c r="H43" i="42"/>
  <c r="Q43" i="42" s="1"/>
  <c r="R43" i="42" s="1"/>
  <c r="H37" i="26"/>
  <c r="O37" i="26" s="1"/>
  <c r="P37" i="26" s="1"/>
  <c r="H37" i="42"/>
  <c r="H39" i="26"/>
  <c r="O39" i="26" s="1"/>
  <c r="P39" i="26" s="1"/>
  <c r="H39" i="42"/>
  <c r="O39" i="42" s="1"/>
  <c r="P39" i="42" s="1"/>
  <c r="I38" i="26"/>
  <c r="Q38" i="26" s="1"/>
  <c r="R38" i="26" s="1"/>
  <c r="I38" i="42"/>
  <c r="Q38" i="42" s="1"/>
  <c r="R38" i="42" s="1"/>
  <c r="M43" i="42"/>
  <c r="N43" i="42" s="1"/>
  <c r="O43" i="42"/>
  <c r="P43" i="42" s="1"/>
  <c r="V31" i="28"/>
  <c r="M31" i="28"/>
  <c r="N31" i="28" s="1"/>
  <c r="O27" i="26"/>
  <c r="P27" i="26" s="1"/>
  <c r="M32" i="26"/>
  <c r="N32" i="26" s="1"/>
  <c r="G32" i="28"/>
  <c r="M30" i="28"/>
  <c r="N30" i="28" s="1"/>
  <c r="V30" i="28"/>
  <c r="W55" i="28"/>
  <c r="O55" i="28"/>
  <c r="P55" i="28" s="1"/>
  <c r="X53" i="28"/>
  <c r="Q53" i="28"/>
  <c r="R53" i="28" s="1"/>
  <c r="G63" i="30"/>
  <c r="I63" i="30"/>
  <c r="W40" i="30"/>
  <c r="Q51" i="30"/>
  <c r="I28" i="26"/>
  <c r="Q28" i="26" s="1"/>
  <c r="R28" i="26" s="1"/>
  <c r="Q79" i="30"/>
  <c r="I43" i="26"/>
  <c r="L63" i="30"/>
  <c r="M63" i="30" s="1"/>
  <c r="H34" i="26"/>
  <c r="I55" i="28"/>
  <c r="T58" i="30"/>
  <c r="S58" i="30" s="1"/>
  <c r="O51" i="30"/>
  <c r="K57" i="30"/>
  <c r="K54" i="30"/>
  <c r="K56" i="30"/>
  <c r="O58" i="30"/>
  <c r="K59" i="30"/>
  <c r="J68" i="26"/>
  <c r="I68" i="28"/>
  <c r="X68" i="28" s="1"/>
  <c r="K69" i="26"/>
  <c r="J69" i="28"/>
  <c r="K71" i="26"/>
  <c r="J71" i="28"/>
  <c r="O95" i="30"/>
  <c r="K79" i="30"/>
  <c r="H43" i="26"/>
  <c r="O43" i="26" s="1"/>
  <c r="P43" i="26" s="1"/>
  <c r="AA40" i="30"/>
  <c r="S85" i="30"/>
  <c r="X85" i="30"/>
  <c r="W85" i="30" s="1"/>
  <c r="X37" i="30"/>
  <c r="W37" i="30" s="1"/>
  <c r="O79" i="30"/>
  <c r="AB61" i="30"/>
  <c r="AA61" i="30" s="1"/>
  <c r="K55" i="30"/>
  <c r="X29" i="30"/>
  <c r="W29" i="30" s="1"/>
  <c r="S29" i="30"/>
  <c r="K60" i="30"/>
  <c r="AB91" i="30"/>
  <c r="AA91" i="30" s="1"/>
  <c r="X27" i="30"/>
  <c r="W27" i="30" s="1"/>
  <c r="T33" i="30"/>
  <c r="AB70" i="30"/>
  <c r="AA70" i="30" s="1"/>
  <c r="T51" i="30"/>
  <c r="S51" i="30" s="1"/>
  <c r="X36" i="30"/>
  <c r="W36" i="30" s="1"/>
  <c r="X78" i="30"/>
  <c r="W78" i="30" s="1"/>
  <c r="W49" i="30"/>
  <c r="X49" i="30"/>
  <c r="D102" i="30"/>
  <c r="X71" i="30"/>
  <c r="W71" i="30" s="1"/>
  <c r="X92" i="30"/>
  <c r="W92" i="30" s="1"/>
  <c r="X88" i="30"/>
  <c r="W88" i="30" s="1"/>
  <c r="X86" i="30"/>
  <c r="W86" i="30" s="1"/>
  <c r="AB89" i="30"/>
  <c r="AA89" i="30" s="1"/>
  <c r="P56" i="30"/>
  <c r="P55" i="30"/>
  <c r="X30" i="30"/>
  <c r="W30" i="30" s="1"/>
  <c r="AB87" i="30"/>
  <c r="AA87" i="30" s="1"/>
  <c r="X82" i="30"/>
  <c r="W82" i="30" s="1"/>
  <c r="T95" i="30"/>
  <c r="S95" i="30" s="1"/>
  <c r="AB83" i="30"/>
  <c r="AA83" i="30" s="1"/>
  <c r="H65" i="30"/>
  <c r="I65" i="30" s="1"/>
  <c r="H108" i="30"/>
  <c r="H110" i="30" s="1"/>
  <c r="X84" i="30"/>
  <c r="W84" i="30" s="1"/>
  <c r="AB41" i="30"/>
  <c r="AA41" i="30" s="1"/>
  <c r="X69" i="30"/>
  <c r="W69" i="30" s="1"/>
  <c r="T79" i="30"/>
  <c r="S79" i="30" s="1"/>
  <c r="X90" i="30"/>
  <c r="W90" i="30" s="1"/>
  <c r="I1" i="27"/>
  <c r="X41" i="27" s="1"/>
  <c r="K1" i="28"/>
  <c r="J1" i="26"/>
  <c r="AB51" i="15"/>
  <c r="AA51" i="15"/>
  <c r="AB61" i="13"/>
  <c r="AA61" i="13" s="1"/>
  <c r="AB51" i="14"/>
  <c r="AA51" i="14"/>
  <c r="AB51" i="12"/>
  <c r="AA51" i="12"/>
  <c r="AB51" i="11"/>
  <c r="AA51" i="11"/>
  <c r="X51" i="10"/>
  <c r="S51" i="10"/>
  <c r="X50" i="6"/>
  <c r="W50" i="6" s="1"/>
  <c r="S50" i="6"/>
  <c r="L47" i="26"/>
  <c r="J49" i="26"/>
  <c r="K53" i="27"/>
  <c r="K55" i="27" s="1"/>
  <c r="J65" i="28"/>
  <c r="K65" i="26"/>
  <c r="K48" i="26"/>
  <c r="J72" i="28"/>
  <c r="K72" i="26"/>
  <c r="K70" i="28"/>
  <c r="L70" i="26"/>
  <c r="J11" i="26"/>
  <c r="J53" i="28"/>
  <c r="K53" i="26"/>
  <c r="O37" i="42" l="1"/>
  <c r="P37" i="42" s="1"/>
  <c r="W42" i="42"/>
  <c r="I35" i="26"/>
  <c r="Q35" i="26" s="1"/>
  <c r="R35" i="26" s="1"/>
  <c r="I35" i="42"/>
  <c r="Q35" i="42" s="1"/>
  <c r="R35" i="42" s="1"/>
  <c r="I36" i="26"/>
  <c r="Q36" i="26" s="1"/>
  <c r="R36" i="26" s="1"/>
  <c r="I36" i="42"/>
  <c r="Q36" i="42" s="1"/>
  <c r="R36" i="42" s="1"/>
  <c r="Q43" i="26"/>
  <c r="R43" i="26" s="1"/>
  <c r="O30" i="26"/>
  <c r="P30" i="26" s="1"/>
  <c r="H30" i="28"/>
  <c r="V32" i="28"/>
  <c r="M32" i="28"/>
  <c r="N32" i="28" s="1"/>
  <c r="O31" i="26"/>
  <c r="P31" i="26" s="1"/>
  <c r="H31" i="28"/>
  <c r="O34" i="26"/>
  <c r="P34" i="26" s="1"/>
  <c r="W42" i="26"/>
  <c r="X55" i="28"/>
  <c r="Q55" i="28"/>
  <c r="R55" i="28" s="1"/>
  <c r="J43" i="26"/>
  <c r="K43" i="26" s="1"/>
  <c r="X58" i="30"/>
  <c r="W58" i="30" s="1"/>
  <c r="K63" i="30"/>
  <c r="J28" i="26"/>
  <c r="K28" i="26" s="1"/>
  <c r="AB85" i="30"/>
  <c r="AA85" i="30" s="1"/>
  <c r="G65" i="30"/>
  <c r="H98" i="30"/>
  <c r="G98" i="30" s="1"/>
  <c r="O55" i="30"/>
  <c r="J68" i="28"/>
  <c r="K71" i="28"/>
  <c r="L71" i="26"/>
  <c r="L71" i="28" s="1"/>
  <c r="L69" i="26"/>
  <c r="L69" i="28" s="1"/>
  <c r="K69" i="28"/>
  <c r="AB37" i="30"/>
  <c r="AA37" i="30" s="1"/>
  <c r="O56" i="30"/>
  <c r="AB29" i="30"/>
  <c r="AA29" i="30" s="1"/>
  <c r="X79" i="30"/>
  <c r="W79" i="30" s="1"/>
  <c r="AB69" i="30"/>
  <c r="AA69" i="30" s="1"/>
  <c r="L65" i="30"/>
  <c r="M65" i="30" s="1"/>
  <c r="L108" i="30"/>
  <c r="L110" i="30" s="1"/>
  <c r="X95" i="30"/>
  <c r="W95" i="30" s="1"/>
  <c r="AB82" i="30"/>
  <c r="AA82" i="30" s="1"/>
  <c r="AB92" i="30"/>
  <c r="AA92" i="30" s="1"/>
  <c r="H7" i="30"/>
  <c r="H15" i="30" s="1"/>
  <c r="T60" i="30"/>
  <c r="T57" i="30"/>
  <c r="T59" i="30"/>
  <c r="T56" i="30"/>
  <c r="S56" i="30" s="1"/>
  <c r="T55" i="30"/>
  <c r="S55" i="30" s="1"/>
  <c r="AB30" i="30"/>
  <c r="AA30" i="30" s="1"/>
  <c r="AA49" i="30"/>
  <c r="AB49" i="30"/>
  <c r="AB27" i="30"/>
  <c r="X33" i="30"/>
  <c r="W33" i="30" s="1"/>
  <c r="AB88" i="30"/>
  <c r="AA88" i="30" s="1"/>
  <c r="AB71" i="30"/>
  <c r="AA71" i="30" s="1"/>
  <c r="AB78" i="30"/>
  <c r="AA78" i="30" s="1"/>
  <c r="AB84" i="30"/>
  <c r="AA84" i="30" s="1"/>
  <c r="AB86" i="30"/>
  <c r="AA86" i="30" s="1"/>
  <c r="X51" i="30"/>
  <c r="W51" i="30" s="1"/>
  <c r="AB36" i="30"/>
  <c r="AA36" i="30" s="1"/>
  <c r="AB90" i="30"/>
  <c r="AA90" i="30" s="1"/>
  <c r="T54" i="30"/>
  <c r="J1" i="27"/>
  <c r="L1" i="28"/>
  <c r="L1" i="26" s="1"/>
  <c r="K1" i="26"/>
  <c r="AB51" i="10"/>
  <c r="AA51" i="10" s="1"/>
  <c r="W51" i="10"/>
  <c r="AB50" i="6"/>
  <c r="AA50" i="6" s="1"/>
  <c r="K53" i="28"/>
  <c r="L53" i="26"/>
  <c r="K72" i="28"/>
  <c r="L72" i="26"/>
  <c r="L72" i="28" s="1"/>
  <c r="L53" i="27"/>
  <c r="L55" i="27" s="1"/>
  <c r="K68" i="26"/>
  <c r="K65" i="28"/>
  <c r="L65" i="26"/>
  <c r="K49" i="26"/>
  <c r="K11" i="26"/>
  <c r="L70" i="28"/>
  <c r="L48" i="26"/>
  <c r="W31" i="28" l="1"/>
  <c r="O31" i="28"/>
  <c r="P31" i="28" s="1"/>
  <c r="O32" i="26"/>
  <c r="P32" i="26" s="1"/>
  <c r="H32" i="28"/>
  <c r="W30" i="28"/>
  <c r="O30" i="28"/>
  <c r="P30" i="28" s="1"/>
  <c r="AB58" i="30"/>
  <c r="AA58" i="30" s="1"/>
  <c r="G15" i="30"/>
  <c r="I15" i="30"/>
  <c r="K65" i="30"/>
  <c r="L98" i="30"/>
  <c r="K68" i="28"/>
  <c r="L68" i="26"/>
  <c r="L68" i="28"/>
  <c r="AB33" i="30"/>
  <c r="AA27" i="30"/>
  <c r="H111" i="30"/>
  <c r="H100" i="30"/>
  <c r="AB51" i="30"/>
  <c r="AA51" i="30" s="1"/>
  <c r="X59" i="30"/>
  <c r="X56" i="30"/>
  <c r="X60" i="30"/>
  <c r="W60" i="30" s="1"/>
  <c r="X57" i="30"/>
  <c r="X55" i="30"/>
  <c r="W55" i="30" s="1"/>
  <c r="AB95" i="30"/>
  <c r="AA95" i="30" s="1"/>
  <c r="T63" i="30"/>
  <c r="AB79" i="30"/>
  <c r="AA79" i="30" s="1"/>
  <c r="K1" i="27"/>
  <c r="L1" i="27"/>
  <c r="L53" i="28"/>
  <c r="L43" i="26"/>
  <c r="L28" i="26"/>
  <c r="L11" i="26"/>
  <c r="L49" i="26"/>
  <c r="L65" i="28"/>
  <c r="K98" i="30" l="1"/>
  <c r="M99" i="30"/>
  <c r="O32" i="28"/>
  <c r="P32" i="28" s="1"/>
  <c r="W32" i="28"/>
  <c r="AA33" i="30"/>
  <c r="W56" i="30"/>
  <c r="W57" i="30"/>
  <c r="W59" i="30"/>
  <c r="G100" i="30"/>
  <c r="L111" i="30"/>
  <c r="L100" i="30"/>
  <c r="AB55" i="30"/>
  <c r="AA55" i="30" s="1"/>
  <c r="AB59" i="30"/>
  <c r="AA59" i="30" s="1"/>
  <c r="AB56" i="30"/>
  <c r="AA56" i="30" s="1"/>
  <c r="AB60" i="30"/>
  <c r="AA60" i="30" s="1"/>
  <c r="AB57" i="30"/>
  <c r="AA57" i="30" s="1"/>
  <c r="T65" i="30"/>
  <c r="T108" i="30"/>
  <c r="T110" i="30" s="1"/>
  <c r="H102" i="30"/>
  <c r="L7" i="30" s="1"/>
  <c r="G102" i="30" l="1"/>
  <c r="K100" i="30"/>
  <c r="T98" i="30"/>
  <c r="L102" i="30" l="1"/>
  <c r="P7" i="30" s="1"/>
  <c r="L15" i="30"/>
  <c r="M15" i="30" s="1"/>
  <c r="T111" i="30"/>
  <c r="T100" i="30"/>
  <c r="D38" i="2"/>
  <c r="D41" i="2" s="1"/>
  <c r="H96" i="25"/>
  <c r="K85" i="25" s="1"/>
  <c r="AB96" i="25"/>
  <c r="X96" i="25"/>
  <c r="T96" i="25"/>
  <c r="P96" i="25"/>
  <c r="Q96" i="25" s="1"/>
  <c r="L96" i="25"/>
  <c r="D96" i="25"/>
  <c r="AB95" i="23"/>
  <c r="X95" i="23"/>
  <c r="T95" i="23"/>
  <c r="P95" i="23"/>
  <c r="L95" i="23"/>
  <c r="P9" i="25"/>
  <c r="T9" i="25" s="1"/>
  <c r="AC81" i="25"/>
  <c r="Y81" i="25"/>
  <c r="U81" i="25"/>
  <c r="Q81" i="25"/>
  <c r="M81" i="25"/>
  <c r="I81" i="25"/>
  <c r="AC80" i="25"/>
  <c r="Y80" i="25"/>
  <c r="U80" i="25"/>
  <c r="Q80" i="25"/>
  <c r="M80" i="25"/>
  <c r="I80" i="25"/>
  <c r="H80" i="25" s="1"/>
  <c r="G80" i="25"/>
  <c r="AC79" i="25"/>
  <c r="Y79" i="25"/>
  <c r="U79" i="25"/>
  <c r="Q79" i="25"/>
  <c r="M79" i="25"/>
  <c r="I79" i="25"/>
  <c r="H79" i="25" s="1"/>
  <c r="G79" i="25"/>
  <c r="AC78" i="25"/>
  <c r="Y78" i="25"/>
  <c r="U78" i="25"/>
  <c r="Q78" i="25"/>
  <c r="M78" i="25"/>
  <c r="I78" i="25"/>
  <c r="H78" i="25" s="1"/>
  <c r="G78" i="25"/>
  <c r="AC77" i="25"/>
  <c r="Y77" i="25"/>
  <c r="U77" i="25"/>
  <c r="Q77" i="25"/>
  <c r="M77" i="25"/>
  <c r="I77" i="25"/>
  <c r="H77" i="25" s="1"/>
  <c r="G77" i="25"/>
  <c r="AC76" i="25"/>
  <c r="Y76" i="25"/>
  <c r="U76" i="25"/>
  <c r="Q76" i="25"/>
  <c r="M76" i="25"/>
  <c r="I76" i="25"/>
  <c r="H76" i="25" s="1"/>
  <c r="G76" i="25"/>
  <c r="AC75" i="25"/>
  <c r="Y75" i="25"/>
  <c r="U75" i="25"/>
  <c r="Q75" i="25"/>
  <c r="M75" i="25"/>
  <c r="I75" i="25"/>
  <c r="H75" i="25" s="1"/>
  <c r="G75" i="25"/>
  <c r="AC74" i="25"/>
  <c r="Y74" i="25"/>
  <c r="U74" i="25"/>
  <c r="Q74" i="25"/>
  <c r="M74" i="25"/>
  <c r="I74" i="25"/>
  <c r="H74" i="25" s="1"/>
  <c r="G74" i="25"/>
  <c r="AC73" i="25"/>
  <c r="Y73" i="25"/>
  <c r="U73" i="25"/>
  <c r="Q73" i="25"/>
  <c r="M73" i="25"/>
  <c r="I73" i="25"/>
  <c r="H73" i="25" s="1"/>
  <c r="G73" i="25"/>
  <c r="AC72" i="25"/>
  <c r="Y72" i="25"/>
  <c r="U72" i="25"/>
  <c r="Q72" i="25"/>
  <c r="M72" i="25"/>
  <c r="I72" i="25"/>
  <c r="H72" i="25" s="1"/>
  <c r="K72" i="25" s="1"/>
  <c r="G72" i="25"/>
  <c r="AC71" i="25"/>
  <c r="Y71" i="25"/>
  <c r="U71" i="25"/>
  <c r="K71" i="25"/>
  <c r="G71" i="25"/>
  <c r="AC70" i="25"/>
  <c r="Y70" i="25"/>
  <c r="U70" i="25"/>
  <c r="G70" i="25"/>
  <c r="AC69" i="25"/>
  <c r="Y69" i="25"/>
  <c r="U69" i="25"/>
  <c r="G69" i="25"/>
  <c r="D66" i="25"/>
  <c r="G66" i="25" s="1"/>
  <c r="AC65" i="25"/>
  <c r="Y65" i="25"/>
  <c r="U65" i="25"/>
  <c r="Q65" i="25"/>
  <c r="M65" i="25"/>
  <c r="I65" i="25"/>
  <c r="H65" i="25" s="1"/>
  <c r="G65" i="25"/>
  <c r="AC64" i="25"/>
  <c r="Y64" i="25"/>
  <c r="U64" i="25"/>
  <c r="Q64" i="25"/>
  <c r="M64" i="25"/>
  <c r="I64" i="25"/>
  <c r="H64" i="25" s="1"/>
  <c r="G64" i="25"/>
  <c r="AC63" i="25"/>
  <c r="Y63" i="25"/>
  <c r="U63" i="25"/>
  <c r="Q63" i="25"/>
  <c r="M63" i="25"/>
  <c r="I63" i="25"/>
  <c r="H63" i="25" s="1"/>
  <c r="G63" i="25"/>
  <c r="AC62" i="25"/>
  <c r="Y62" i="25"/>
  <c r="U62" i="25"/>
  <c r="Q62" i="25"/>
  <c r="M62" i="25"/>
  <c r="I62" i="25"/>
  <c r="H62" i="25" s="1"/>
  <c r="K62" i="25" s="1"/>
  <c r="G62" i="25"/>
  <c r="AC61" i="25"/>
  <c r="Y61" i="25"/>
  <c r="U61" i="25"/>
  <c r="Q61" i="25"/>
  <c r="M61" i="25"/>
  <c r="I61" i="25"/>
  <c r="H61" i="25" s="1"/>
  <c r="K61" i="25" s="1"/>
  <c r="G61" i="25"/>
  <c r="AC60" i="25"/>
  <c r="Y60" i="25"/>
  <c r="U60" i="25"/>
  <c r="Q60" i="25"/>
  <c r="M60" i="25"/>
  <c r="I60" i="25"/>
  <c r="H60" i="25" s="1"/>
  <c r="G60" i="25"/>
  <c r="AC59" i="25"/>
  <c r="Y59" i="25"/>
  <c r="U59" i="25"/>
  <c r="Q59" i="25"/>
  <c r="M59" i="25"/>
  <c r="I59" i="25"/>
  <c r="H59" i="25" s="1"/>
  <c r="G59" i="25"/>
  <c r="D53" i="25"/>
  <c r="H52" i="25"/>
  <c r="K52" i="25" s="1"/>
  <c r="G52" i="25"/>
  <c r="H51" i="25"/>
  <c r="K51" i="25" s="1"/>
  <c r="G51" i="25"/>
  <c r="AC50" i="25"/>
  <c r="Y50" i="25"/>
  <c r="U50" i="25"/>
  <c r="Q50" i="25"/>
  <c r="M50" i="25"/>
  <c r="I50" i="25"/>
  <c r="G50" i="25"/>
  <c r="E50" i="25"/>
  <c r="AC49" i="25"/>
  <c r="Y49" i="25"/>
  <c r="U49" i="25"/>
  <c r="Q49" i="25"/>
  <c r="M49" i="25"/>
  <c r="I49" i="25"/>
  <c r="G49" i="25"/>
  <c r="E49" i="25"/>
  <c r="AC48" i="25"/>
  <c r="Y48" i="25"/>
  <c r="U48" i="25"/>
  <c r="Q48" i="25"/>
  <c r="M48" i="25"/>
  <c r="I48" i="25"/>
  <c r="H48" i="25" s="1"/>
  <c r="G48" i="25"/>
  <c r="AC47" i="25"/>
  <c r="Y47" i="25"/>
  <c r="U47" i="25"/>
  <c r="Q47" i="25"/>
  <c r="M47" i="25"/>
  <c r="I47" i="25"/>
  <c r="G47" i="25"/>
  <c r="E47" i="25"/>
  <c r="AC46" i="25"/>
  <c r="Y46" i="25"/>
  <c r="U46" i="25"/>
  <c r="Q46" i="25"/>
  <c r="M46" i="25"/>
  <c r="I46" i="25"/>
  <c r="G46" i="25"/>
  <c r="E46" i="25"/>
  <c r="AC45" i="25"/>
  <c r="Y45" i="25"/>
  <c r="U45" i="25"/>
  <c r="Q45" i="25"/>
  <c r="M45" i="25"/>
  <c r="I45" i="25"/>
  <c r="G45" i="25"/>
  <c r="E45" i="25"/>
  <c r="U44" i="25"/>
  <c r="Q44" i="25"/>
  <c r="M44" i="25"/>
  <c r="I44" i="25"/>
  <c r="G44" i="25"/>
  <c r="E44" i="25"/>
  <c r="D41" i="25"/>
  <c r="G41" i="25" s="1"/>
  <c r="AC39" i="25"/>
  <c r="Y39" i="25"/>
  <c r="U39" i="25"/>
  <c r="Q39" i="25"/>
  <c r="M39" i="25"/>
  <c r="I39" i="25"/>
  <c r="H39" i="25"/>
  <c r="K39" i="25" s="1"/>
  <c r="G39" i="25"/>
  <c r="AC38" i="25"/>
  <c r="Y38" i="25"/>
  <c r="U38" i="25"/>
  <c r="Q38" i="25"/>
  <c r="M38" i="25"/>
  <c r="I38" i="25"/>
  <c r="H38" i="25"/>
  <c r="L38" i="25" s="1"/>
  <c r="P38" i="25" s="1"/>
  <c r="S38" i="25" s="1"/>
  <c r="G38" i="25"/>
  <c r="AC37" i="25"/>
  <c r="Y37" i="25"/>
  <c r="U37" i="25"/>
  <c r="Q37" i="25"/>
  <c r="M37" i="25"/>
  <c r="I37" i="25"/>
  <c r="H37" i="25"/>
  <c r="K37" i="25" s="1"/>
  <c r="G37" i="25"/>
  <c r="AC36" i="25"/>
  <c r="Y36" i="25"/>
  <c r="U36" i="25"/>
  <c r="Q36" i="25"/>
  <c r="M36" i="25"/>
  <c r="I36" i="25"/>
  <c r="H36" i="25"/>
  <c r="L36" i="25" s="1"/>
  <c r="P36" i="25" s="1"/>
  <c r="S36" i="25" s="1"/>
  <c r="G36" i="25"/>
  <c r="AC35" i="25"/>
  <c r="Y35" i="25"/>
  <c r="U35" i="25"/>
  <c r="Q35" i="25"/>
  <c r="M35" i="25"/>
  <c r="I35" i="25"/>
  <c r="H35" i="25"/>
  <c r="K35" i="25" s="1"/>
  <c r="G35" i="25"/>
  <c r="AC34" i="25"/>
  <c r="Y34" i="25"/>
  <c r="U34" i="25"/>
  <c r="Q34" i="25"/>
  <c r="M34" i="25"/>
  <c r="I34" i="25"/>
  <c r="H34" i="25"/>
  <c r="K34" i="25" s="1"/>
  <c r="G34" i="25"/>
  <c r="AC33" i="25"/>
  <c r="Y33" i="25"/>
  <c r="U33" i="25"/>
  <c r="Q33" i="25"/>
  <c r="M33" i="25"/>
  <c r="I33" i="25"/>
  <c r="H33" i="25"/>
  <c r="K33" i="25" s="1"/>
  <c r="G33" i="25"/>
  <c r="D30" i="25"/>
  <c r="G30" i="25" s="1"/>
  <c r="AC28" i="25"/>
  <c r="Y28" i="25"/>
  <c r="U28" i="25"/>
  <c r="Q28" i="25"/>
  <c r="M28" i="25"/>
  <c r="I28" i="25"/>
  <c r="H28" i="25"/>
  <c r="L28" i="25" s="1"/>
  <c r="G28" i="25"/>
  <c r="AC27" i="25"/>
  <c r="Y27" i="25"/>
  <c r="U27" i="25"/>
  <c r="Q27" i="25"/>
  <c r="M27" i="25"/>
  <c r="I27" i="25"/>
  <c r="H27" i="25"/>
  <c r="K27" i="25" s="1"/>
  <c r="G27" i="25"/>
  <c r="AC26" i="25"/>
  <c r="Y26" i="25"/>
  <c r="U26" i="25"/>
  <c r="Q26" i="25"/>
  <c r="M26" i="25"/>
  <c r="I26" i="25"/>
  <c r="H26" i="25"/>
  <c r="L26" i="25" s="1"/>
  <c r="G26" i="25"/>
  <c r="AC25" i="25"/>
  <c r="Y25" i="25"/>
  <c r="U25" i="25"/>
  <c r="Q25" i="25"/>
  <c r="M25" i="25"/>
  <c r="I25" i="25"/>
  <c r="H25" i="25"/>
  <c r="L25" i="25" s="1"/>
  <c r="P25" i="25" s="1"/>
  <c r="G25" i="25"/>
  <c r="AC24" i="25"/>
  <c r="Y24" i="25"/>
  <c r="U24" i="25"/>
  <c r="Q24" i="25"/>
  <c r="M24" i="25"/>
  <c r="I24" i="25"/>
  <c r="H24" i="25"/>
  <c r="L24" i="25" s="1"/>
  <c r="G24" i="25"/>
  <c r="AC23" i="25"/>
  <c r="Y23" i="25"/>
  <c r="U23" i="25"/>
  <c r="Q23" i="25"/>
  <c r="M23" i="25"/>
  <c r="L23" i="25"/>
  <c r="P23" i="25" s="1"/>
  <c r="I23" i="25"/>
  <c r="H23" i="25"/>
  <c r="K23" i="25" s="1"/>
  <c r="G23" i="25"/>
  <c r="AC22" i="25"/>
  <c r="Y22" i="25"/>
  <c r="U22" i="25"/>
  <c r="Q22" i="25"/>
  <c r="M22" i="25"/>
  <c r="I22" i="25"/>
  <c r="H22" i="25"/>
  <c r="L22" i="25" s="1"/>
  <c r="G22" i="25"/>
  <c r="AC21" i="25"/>
  <c r="Y21" i="25"/>
  <c r="U21" i="25"/>
  <c r="Q21" i="25"/>
  <c r="M21" i="25"/>
  <c r="I21" i="25"/>
  <c r="H21" i="25"/>
  <c r="L21" i="25" s="1"/>
  <c r="G21" i="25"/>
  <c r="AB10" i="25"/>
  <c r="X10" i="25"/>
  <c r="AA10" i="25" s="1"/>
  <c r="T10" i="25"/>
  <c r="W10" i="25" s="1"/>
  <c r="P10" i="25"/>
  <c r="S10" i="25" s="1"/>
  <c r="L10" i="25"/>
  <c r="O10" i="25" s="1"/>
  <c r="K10" i="25"/>
  <c r="G10" i="25"/>
  <c r="P11" i="25"/>
  <c r="H6" i="25"/>
  <c r="L6" i="25" s="1"/>
  <c r="P6" i="25" s="1"/>
  <c r="T6" i="25" s="1"/>
  <c r="X6" i="25" s="1"/>
  <c r="AB6" i="25" s="1"/>
  <c r="AB3" i="25"/>
  <c r="X3" i="25"/>
  <c r="T3" i="25"/>
  <c r="L69" i="24"/>
  <c r="L59" i="24"/>
  <c r="L9" i="24"/>
  <c r="P9" i="24" s="1"/>
  <c r="T9" i="24" s="1"/>
  <c r="AC81" i="24"/>
  <c r="Y81" i="24"/>
  <c r="U81" i="24"/>
  <c r="Q81" i="24"/>
  <c r="M81" i="24"/>
  <c r="I81" i="24"/>
  <c r="AC80" i="24"/>
  <c r="Y80" i="24"/>
  <c r="U80" i="24"/>
  <c r="Q80" i="24"/>
  <c r="M80" i="24"/>
  <c r="I80" i="24"/>
  <c r="H80" i="24" s="1"/>
  <c r="G80" i="24"/>
  <c r="AC79" i="24"/>
  <c r="Y79" i="24"/>
  <c r="U79" i="24"/>
  <c r="Q79" i="24"/>
  <c r="M79" i="24"/>
  <c r="I79" i="24"/>
  <c r="H79" i="24" s="1"/>
  <c r="G79" i="24"/>
  <c r="AC78" i="24"/>
  <c r="Y78" i="24"/>
  <c r="U78" i="24"/>
  <c r="Q78" i="24"/>
  <c r="M78" i="24"/>
  <c r="I78" i="24"/>
  <c r="H78" i="24" s="1"/>
  <c r="G78" i="24"/>
  <c r="AC77" i="24"/>
  <c r="Y77" i="24"/>
  <c r="U77" i="24"/>
  <c r="Q77" i="24"/>
  <c r="M77" i="24"/>
  <c r="I77" i="24"/>
  <c r="H77" i="24" s="1"/>
  <c r="G77" i="24"/>
  <c r="AC76" i="24"/>
  <c r="Y76" i="24"/>
  <c r="U76" i="24"/>
  <c r="Q76" i="24"/>
  <c r="M76" i="24"/>
  <c r="I76" i="24"/>
  <c r="H76" i="24" s="1"/>
  <c r="G76" i="24"/>
  <c r="AC75" i="24"/>
  <c r="Y75" i="24"/>
  <c r="U75" i="24"/>
  <c r="Q75" i="24"/>
  <c r="M75" i="24"/>
  <c r="I75" i="24"/>
  <c r="H75" i="24" s="1"/>
  <c r="G75" i="24"/>
  <c r="AC74" i="24"/>
  <c r="Y74" i="24"/>
  <c r="U74" i="24"/>
  <c r="Q74" i="24"/>
  <c r="M74" i="24"/>
  <c r="I74" i="24"/>
  <c r="H74" i="24" s="1"/>
  <c r="G74" i="24"/>
  <c r="AC73" i="24"/>
  <c r="Y73" i="24"/>
  <c r="U73" i="24"/>
  <c r="Q73" i="24"/>
  <c r="M73" i="24"/>
  <c r="I73" i="24"/>
  <c r="H73" i="24" s="1"/>
  <c r="G73" i="24"/>
  <c r="AC72" i="24"/>
  <c r="Y72" i="24"/>
  <c r="U72" i="24"/>
  <c r="Q72" i="24"/>
  <c r="M72" i="24"/>
  <c r="I72" i="24"/>
  <c r="H72" i="24" s="1"/>
  <c r="G72" i="24"/>
  <c r="AC71" i="24"/>
  <c r="Y71" i="24"/>
  <c r="U71" i="24"/>
  <c r="Q71" i="24"/>
  <c r="M71" i="24"/>
  <c r="I71" i="24"/>
  <c r="H71" i="24" s="1"/>
  <c r="G71" i="24"/>
  <c r="AC70" i="24"/>
  <c r="Y70" i="24"/>
  <c r="U70" i="24"/>
  <c r="Q70" i="24"/>
  <c r="M70" i="24"/>
  <c r="I70" i="24"/>
  <c r="H70" i="24" s="1"/>
  <c r="G70" i="24"/>
  <c r="AC69" i="24"/>
  <c r="Y69" i="24"/>
  <c r="G69" i="24"/>
  <c r="D66" i="24"/>
  <c r="AC65" i="24"/>
  <c r="Y65" i="24"/>
  <c r="U65" i="24"/>
  <c r="Q65" i="24"/>
  <c r="M65" i="24"/>
  <c r="I65" i="24"/>
  <c r="H65" i="24" s="1"/>
  <c r="G65" i="24"/>
  <c r="AC64" i="24"/>
  <c r="Y64" i="24"/>
  <c r="U64" i="24"/>
  <c r="Q64" i="24"/>
  <c r="M64" i="24"/>
  <c r="I64" i="24"/>
  <c r="H64" i="24" s="1"/>
  <c r="G64" i="24"/>
  <c r="AC63" i="24"/>
  <c r="Y63" i="24"/>
  <c r="U63" i="24"/>
  <c r="Q63" i="24"/>
  <c r="M63" i="24"/>
  <c r="I63" i="24"/>
  <c r="H63" i="24" s="1"/>
  <c r="G63" i="24"/>
  <c r="AC62" i="24"/>
  <c r="Y62" i="24"/>
  <c r="U62" i="24"/>
  <c r="Q62" i="24"/>
  <c r="M62" i="24"/>
  <c r="I62" i="24"/>
  <c r="H62" i="24" s="1"/>
  <c r="G62" i="24"/>
  <c r="AC61" i="24"/>
  <c r="Y61" i="24"/>
  <c r="U61" i="24"/>
  <c r="Q61" i="24"/>
  <c r="M61" i="24"/>
  <c r="I61" i="24"/>
  <c r="H61" i="24" s="1"/>
  <c r="G61" i="24"/>
  <c r="AC60" i="24"/>
  <c r="Y60" i="24"/>
  <c r="U60" i="24"/>
  <c r="Q60" i="24"/>
  <c r="M60" i="24"/>
  <c r="I60" i="24"/>
  <c r="H60" i="24" s="1"/>
  <c r="G60" i="24"/>
  <c r="AC59" i="24"/>
  <c r="Y59" i="24"/>
  <c r="G59" i="24"/>
  <c r="D53" i="24"/>
  <c r="G53" i="24" s="1"/>
  <c r="H52" i="24"/>
  <c r="L52" i="24" s="1"/>
  <c r="G52" i="24"/>
  <c r="H51" i="24"/>
  <c r="L51" i="24" s="1"/>
  <c r="G51" i="24"/>
  <c r="AC50" i="24"/>
  <c r="Y50" i="24"/>
  <c r="U50" i="24"/>
  <c r="Q50" i="24"/>
  <c r="M50" i="24"/>
  <c r="I50" i="24"/>
  <c r="G50" i="24"/>
  <c r="E50" i="24"/>
  <c r="AC49" i="24"/>
  <c r="Y49" i="24"/>
  <c r="U49" i="24"/>
  <c r="Q49" i="24"/>
  <c r="M49" i="24"/>
  <c r="I49" i="24"/>
  <c r="G49" i="24"/>
  <c r="E49" i="24"/>
  <c r="AC48" i="24"/>
  <c r="Y48" i="24"/>
  <c r="U48" i="24"/>
  <c r="Q48" i="24"/>
  <c r="M48" i="24"/>
  <c r="I48" i="24"/>
  <c r="H48" i="24" s="1"/>
  <c r="K48" i="24" s="1"/>
  <c r="G48" i="24"/>
  <c r="AC47" i="24"/>
  <c r="Y47" i="24"/>
  <c r="U47" i="24"/>
  <c r="Q47" i="24"/>
  <c r="M47" i="24"/>
  <c r="I47" i="24"/>
  <c r="G47" i="24"/>
  <c r="E47" i="24"/>
  <c r="AC46" i="24"/>
  <c r="Y46" i="24"/>
  <c r="U46" i="24"/>
  <c r="Q46" i="24"/>
  <c r="M46" i="24"/>
  <c r="I46" i="24"/>
  <c r="G46" i="24"/>
  <c r="E46" i="24"/>
  <c r="AC45" i="24"/>
  <c r="Y45" i="24"/>
  <c r="U45" i="24"/>
  <c r="Q45" i="24"/>
  <c r="M45" i="24"/>
  <c r="I45" i="24"/>
  <c r="G45" i="24"/>
  <c r="E45" i="24"/>
  <c r="U44" i="24"/>
  <c r="Q44" i="24"/>
  <c r="M44" i="24"/>
  <c r="I44" i="24"/>
  <c r="G44" i="24"/>
  <c r="E44" i="24"/>
  <c r="D41" i="24"/>
  <c r="G41" i="24" s="1"/>
  <c r="AC39" i="24"/>
  <c r="Y39" i="24"/>
  <c r="U39" i="24"/>
  <c r="Q39" i="24"/>
  <c r="M39" i="24"/>
  <c r="I39" i="24"/>
  <c r="H39" i="24"/>
  <c r="L39" i="24" s="1"/>
  <c r="O39" i="24" s="1"/>
  <c r="G39" i="24"/>
  <c r="AC38" i="24"/>
  <c r="Y38" i="24"/>
  <c r="U38" i="24"/>
  <c r="Q38" i="24"/>
  <c r="M38" i="24"/>
  <c r="I38" i="24"/>
  <c r="H38" i="24"/>
  <c r="L38" i="24" s="1"/>
  <c r="O38" i="24" s="1"/>
  <c r="G38" i="24"/>
  <c r="AC37" i="24"/>
  <c r="Y37" i="24"/>
  <c r="U37" i="24"/>
  <c r="Q37" i="24"/>
  <c r="M37" i="24"/>
  <c r="I37" i="24"/>
  <c r="H37" i="24"/>
  <c r="L37" i="24" s="1"/>
  <c r="O37" i="24" s="1"/>
  <c r="G37" i="24"/>
  <c r="AC36" i="24"/>
  <c r="Y36" i="24"/>
  <c r="U36" i="24"/>
  <c r="Q36" i="24"/>
  <c r="M36" i="24"/>
  <c r="I36" i="24"/>
  <c r="H36" i="24"/>
  <c r="L36" i="24" s="1"/>
  <c r="O36" i="24" s="1"/>
  <c r="G36" i="24"/>
  <c r="AC35" i="24"/>
  <c r="Y35" i="24"/>
  <c r="U35" i="24"/>
  <c r="Q35" i="24"/>
  <c r="M35" i="24"/>
  <c r="I35" i="24"/>
  <c r="H35" i="24"/>
  <c r="L35" i="24" s="1"/>
  <c r="O35" i="24" s="1"/>
  <c r="G35" i="24"/>
  <c r="AC34" i="24"/>
  <c r="Y34" i="24"/>
  <c r="U34" i="24"/>
  <c r="Q34" i="24"/>
  <c r="M34" i="24"/>
  <c r="I34" i="24"/>
  <c r="H34" i="24"/>
  <c r="L34" i="24" s="1"/>
  <c r="O34" i="24" s="1"/>
  <c r="G34" i="24"/>
  <c r="AC33" i="24"/>
  <c r="Y33" i="24"/>
  <c r="U33" i="24"/>
  <c r="Q33" i="24"/>
  <c r="M33" i="24"/>
  <c r="I33" i="24"/>
  <c r="H33" i="24"/>
  <c r="K33" i="24" s="1"/>
  <c r="G33" i="24"/>
  <c r="D30" i="24"/>
  <c r="G30" i="24" s="1"/>
  <c r="AC28" i="24"/>
  <c r="Y28" i="24"/>
  <c r="U28" i="24"/>
  <c r="Q28" i="24"/>
  <c r="M28" i="24"/>
  <c r="I28" i="24"/>
  <c r="H28" i="24"/>
  <c r="K28" i="24" s="1"/>
  <c r="G28" i="24"/>
  <c r="AC27" i="24"/>
  <c r="Y27" i="24"/>
  <c r="U27" i="24"/>
  <c r="Q27" i="24"/>
  <c r="M27" i="24"/>
  <c r="I27" i="24"/>
  <c r="H27" i="24"/>
  <c r="L27" i="24" s="1"/>
  <c r="P27" i="24" s="1"/>
  <c r="S27" i="24" s="1"/>
  <c r="G27" i="24"/>
  <c r="AC26" i="24"/>
  <c r="Y26" i="24"/>
  <c r="U26" i="24"/>
  <c r="Q26" i="24"/>
  <c r="M26" i="24"/>
  <c r="I26" i="24"/>
  <c r="H26" i="24"/>
  <c r="K26" i="24" s="1"/>
  <c r="G26" i="24"/>
  <c r="AC25" i="24"/>
  <c r="Y25" i="24"/>
  <c r="U25" i="24"/>
  <c r="Q25" i="24"/>
  <c r="M25" i="24"/>
  <c r="I25" i="24"/>
  <c r="H25" i="24"/>
  <c r="L25" i="24" s="1"/>
  <c r="G25" i="24"/>
  <c r="AC24" i="24"/>
  <c r="Y24" i="24"/>
  <c r="U24" i="24"/>
  <c r="Q24" i="24"/>
  <c r="M24" i="24"/>
  <c r="I24" i="24"/>
  <c r="H24" i="24"/>
  <c r="K24" i="24" s="1"/>
  <c r="G24" i="24"/>
  <c r="AC23" i="24"/>
  <c r="Y23" i="24"/>
  <c r="U23" i="24"/>
  <c r="Q23" i="24"/>
  <c r="M23" i="24"/>
  <c r="I23" i="24"/>
  <c r="H23" i="24"/>
  <c r="L23" i="24" s="1"/>
  <c r="O23" i="24" s="1"/>
  <c r="G23" i="24"/>
  <c r="AC22" i="24"/>
  <c r="Y22" i="24"/>
  <c r="U22" i="24"/>
  <c r="Q22" i="24"/>
  <c r="M22" i="24"/>
  <c r="L22" i="24"/>
  <c r="P22" i="24" s="1"/>
  <c r="T22" i="24" s="1"/>
  <c r="I22" i="24"/>
  <c r="H22" i="24"/>
  <c r="K22" i="24" s="1"/>
  <c r="G22" i="24"/>
  <c r="AC21" i="24"/>
  <c r="Y21" i="24"/>
  <c r="U21" i="24"/>
  <c r="Q21" i="24"/>
  <c r="M21" i="24"/>
  <c r="I21" i="24"/>
  <c r="H21" i="24"/>
  <c r="G21" i="24"/>
  <c r="AB10" i="24"/>
  <c r="X10" i="24"/>
  <c r="AA10" i="24" s="1"/>
  <c r="T10" i="24"/>
  <c r="W10" i="24" s="1"/>
  <c r="P10" i="24"/>
  <c r="S10" i="24" s="1"/>
  <c r="L10" i="24"/>
  <c r="O10" i="24" s="1"/>
  <c r="K10" i="24"/>
  <c r="G10" i="24"/>
  <c r="H6" i="24"/>
  <c r="L6" i="24" s="1"/>
  <c r="P6" i="24" s="1"/>
  <c r="T6" i="24" s="1"/>
  <c r="X6" i="24" s="1"/>
  <c r="AB6" i="24" s="1"/>
  <c r="AB3" i="24"/>
  <c r="AB9" i="24" s="1"/>
  <c r="X3" i="24"/>
  <c r="X9" i="24" s="1"/>
  <c r="T3" i="24"/>
  <c r="D95" i="23"/>
  <c r="H95" i="23"/>
  <c r="G47" i="27" s="1"/>
  <c r="G84" i="23"/>
  <c r="G85" i="23"/>
  <c r="G86" i="23"/>
  <c r="G83" i="23"/>
  <c r="G67" i="23"/>
  <c r="I68" i="23"/>
  <c r="H68" i="23" s="1"/>
  <c r="G64" i="23"/>
  <c r="AC88" i="23"/>
  <c r="Y88" i="23"/>
  <c r="U88" i="23"/>
  <c r="AC83" i="23"/>
  <c r="Y83" i="23"/>
  <c r="U83" i="23"/>
  <c r="AC82" i="23"/>
  <c r="Y82" i="23"/>
  <c r="U82" i="23"/>
  <c r="G82" i="23"/>
  <c r="AC81" i="23"/>
  <c r="Y81" i="23"/>
  <c r="U81" i="23"/>
  <c r="AC80" i="23"/>
  <c r="Y80" i="23"/>
  <c r="U80" i="23"/>
  <c r="G80" i="23"/>
  <c r="AC79" i="23"/>
  <c r="Y79" i="23"/>
  <c r="U79" i="23"/>
  <c r="AC78" i="23"/>
  <c r="Y78" i="23"/>
  <c r="U78" i="23"/>
  <c r="G78" i="23"/>
  <c r="AC77" i="23"/>
  <c r="Y77" i="23"/>
  <c r="U77" i="23"/>
  <c r="G77" i="23"/>
  <c r="AC76" i="23"/>
  <c r="Y76" i="23"/>
  <c r="U76" i="23"/>
  <c r="G76" i="23"/>
  <c r="AC75" i="23"/>
  <c r="Y75" i="23"/>
  <c r="U75" i="23"/>
  <c r="AC74" i="23"/>
  <c r="Y74" i="23"/>
  <c r="U74" i="23"/>
  <c r="G74" i="23"/>
  <c r="AC73" i="23"/>
  <c r="Y73" i="23"/>
  <c r="U73" i="23"/>
  <c r="AC72" i="23"/>
  <c r="Y72" i="23"/>
  <c r="U72" i="23"/>
  <c r="G72" i="23"/>
  <c r="D69" i="23"/>
  <c r="AC68" i="23"/>
  <c r="Y68" i="23"/>
  <c r="U68" i="23"/>
  <c r="Q68" i="23"/>
  <c r="M68" i="23"/>
  <c r="G68" i="23"/>
  <c r="AC64" i="23"/>
  <c r="Y64" i="23"/>
  <c r="U64" i="23"/>
  <c r="AC63" i="23"/>
  <c r="Y63" i="23"/>
  <c r="U63" i="23"/>
  <c r="G63" i="23"/>
  <c r="AC62" i="23"/>
  <c r="Y62" i="23"/>
  <c r="U62" i="23"/>
  <c r="G62" i="23"/>
  <c r="AC61" i="23"/>
  <c r="Y61" i="23"/>
  <c r="U61" i="23"/>
  <c r="G61" i="23"/>
  <c r="AC60" i="23"/>
  <c r="Y60" i="23"/>
  <c r="U60" i="23"/>
  <c r="G60" i="23"/>
  <c r="AC59" i="23"/>
  <c r="Y59" i="23"/>
  <c r="U59" i="23"/>
  <c r="D53" i="23"/>
  <c r="L51" i="23"/>
  <c r="G51" i="23"/>
  <c r="AC50" i="23"/>
  <c r="Y50" i="23"/>
  <c r="U50" i="23"/>
  <c r="Q50" i="23"/>
  <c r="M50" i="23"/>
  <c r="I50" i="23"/>
  <c r="E50" i="23"/>
  <c r="AC49" i="23"/>
  <c r="Y49" i="23"/>
  <c r="U49" i="23"/>
  <c r="Q49" i="23"/>
  <c r="M49" i="23"/>
  <c r="I49" i="23"/>
  <c r="E49" i="23"/>
  <c r="AC48" i="23"/>
  <c r="Y48" i="23"/>
  <c r="U48" i="23"/>
  <c r="Q48" i="23"/>
  <c r="M48" i="23"/>
  <c r="G48" i="23"/>
  <c r="AC47" i="23"/>
  <c r="Y47" i="23"/>
  <c r="U47" i="23"/>
  <c r="Q47" i="23"/>
  <c r="M47" i="23"/>
  <c r="I47" i="23"/>
  <c r="E47" i="23"/>
  <c r="AC46" i="23"/>
  <c r="Y46" i="23"/>
  <c r="U46" i="23"/>
  <c r="Q46" i="23"/>
  <c r="M46" i="23"/>
  <c r="L46" i="23" s="1"/>
  <c r="I46" i="23"/>
  <c r="E46" i="23"/>
  <c r="AC45" i="23"/>
  <c r="Y45" i="23"/>
  <c r="U45" i="23"/>
  <c r="Q45" i="23"/>
  <c r="M45" i="23"/>
  <c r="L45" i="23" s="1"/>
  <c r="I45" i="23"/>
  <c r="E45" i="23"/>
  <c r="U44" i="23"/>
  <c r="Q44" i="23"/>
  <c r="M44" i="23"/>
  <c r="I44" i="23"/>
  <c r="G44" i="23"/>
  <c r="E44" i="23"/>
  <c r="AC39" i="23"/>
  <c r="Y39" i="23"/>
  <c r="U39" i="23"/>
  <c r="Q39" i="23"/>
  <c r="M39" i="23"/>
  <c r="I39" i="23"/>
  <c r="H39" i="23"/>
  <c r="L39" i="23" s="1"/>
  <c r="G39" i="23"/>
  <c r="AC38" i="23"/>
  <c r="Y38" i="23"/>
  <c r="U38" i="23"/>
  <c r="Q38" i="23"/>
  <c r="M38" i="23"/>
  <c r="I38" i="23"/>
  <c r="H38" i="23"/>
  <c r="L38" i="23" s="1"/>
  <c r="G38" i="23"/>
  <c r="AC37" i="23"/>
  <c r="Y37" i="23"/>
  <c r="U37" i="23"/>
  <c r="Q37" i="23"/>
  <c r="M37" i="23"/>
  <c r="L37" i="23"/>
  <c r="P37" i="23" s="1"/>
  <c r="T37" i="23" s="1"/>
  <c r="AC36" i="23"/>
  <c r="Y36" i="23"/>
  <c r="U36" i="23"/>
  <c r="Q36" i="23"/>
  <c r="M36" i="23"/>
  <c r="L36" i="23"/>
  <c r="AC35" i="23"/>
  <c r="Y35" i="23"/>
  <c r="U35" i="23"/>
  <c r="Q35" i="23"/>
  <c r="M35" i="23"/>
  <c r="G35" i="23"/>
  <c r="AC34" i="23"/>
  <c r="Y34" i="23"/>
  <c r="U34" i="23"/>
  <c r="Q34" i="23"/>
  <c r="M34" i="23"/>
  <c r="G34" i="23"/>
  <c r="AC33" i="23"/>
  <c r="Y33" i="23"/>
  <c r="U33" i="23"/>
  <c r="Q33" i="23"/>
  <c r="M33" i="23"/>
  <c r="L33" i="23"/>
  <c r="D30" i="23"/>
  <c r="G30" i="23" s="1"/>
  <c r="AC28" i="23"/>
  <c r="Y28" i="23"/>
  <c r="U28" i="23"/>
  <c r="Q28" i="23"/>
  <c r="M28" i="23"/>
  <c r="I28" i="23"/>
  <c r="H28" i="23"/>
  <c r="L28" i="23" s="1"/>
  <c r="O28" i="23" s="1"/>
  <c r="G28" i="23"/>
  <c r="AC27" i="23"/>
  <c r="Y27" i="23"/>
  <c r="U27" i="23"/>
  <c r="Q27" i="23"/>
  <c r="M27" i="23"/>
  <c r="I27" i="23"/>
  <c r="H27" i="23"/>
  <c r="L27" i="23" s="1"/>
  <c r="G27" i="23"/>
  <c r="AC26" i="23"/>
  <c r="Y26" i="23"/>
  <c r="U26" i="23"/>
  <c r="Q26" i="23"/>
  <c r="M26" i="23"/>
  <c r="I26" i="23"/>
  <c r="H26" i="23"/>
  <c r="L26" i="23" s="1"/>
  <c r="P26" i="23" s="1"/>
  <c r="G26" i="23"/>
  <c r="AC25" i="23"/>
  <c r="Y25" i="23"/>
  <c r="U25" i="23"/>
  <c r="Q25" i="23"/>
  <c r="M25" i="23"/>
  <c r="I25" i="23"/>
  <c r="H25" i="23"/>
  <c r="L25" i="23" s="1"/>
  <c r="G25" i="23"/>
  <c r="AC24" i="23"/>
  <c r="Y24" i="23"/>
  <c r="U24" i="23"/>
  <c r="Q24" i="23"/>
  <c r="M24" i="23"/>
  <c r="I24" i="23"/>
  <c r="H24" i="23"/>
  <c r="L24" i="23" s="1"/>
  <c r="O24" i="23" s="1"/>
  <c r="G24" i="23"/>
  <c r="AC23" i="23"/>
  <c r="Y23" i="23"/>
  <c r="U23" i="23"/>
  <c r="Q23" i="23"/>
  <c r="M23" i="23"/>
  <c r="I23" i="23"/>
  <c r="H23" i="23"/>
  <c r="K23" i="23" s="1"/>
  <c r="G23" i="23"/>
  <c r="AC22" i="23"/>
  <c r="Y22" i="23"/>
  <c r="U22" i="23"/>
  <c r="Q22" i="23"/>
  <c r="M22" i="23"/>
  <c r="I22" i="23"/>
  <c r="H22" i="23"/>
  <c r="L22" i="23" s="1"/>
  <c r="P22" i="23" s="1"/>
  <c r="G22" i="23"/>
  <c r="AC21" i="23"/>
  <c r="Y21" i="23"/>
  <c r="U21" i="23"/>
  <c r="Q21" i="23"/>
  <c r="M21" i="23"/>
  <c r="I21" i="23"/>
  <c r="H21" i="23"/>
  <c r="L21" i="23" s="1"/>
  <c r="O21" i="23" s="1"/>
  <c r="G21" i="23"/>
  <c r="G10" i="23"/>
  <c r="AB9" i="23"/>
  <c r="D11" i="23"/>
  <c r="H6" i="23"/>
  <c r="L6" i="23" s="1"/>
  <c r="P6" i="23" s="1"/>
  <c r="T6" i="23" s="1"/>
  <c r="X6" i="23" s="1"/>
  <c r="AB6" i="23" s="1"/>
  <c r="AB3" i="23"/>
  <c r="X3" i="23"/>
  <c r="X9" i="23" s="1"/>
  <c r="T3" i="23"/>
  <c r="T9" i="23" s="1"/>
  <c r="W9" i="23" s="1"/>
  <c r="T60" i="20"/>
  <c r="X60" i="20" s="1"/>
  <c r="AB60" i="20" s="1"/>
  <c r="E13" i="22"/>
  <c r="D5" i="22"/>
  <c r="E6" i="22"/>
  <c r="F6" i="22" s="1"/>
  <c r="G6" i="22" s="1"/>
  <c r="H6" i="22" s="1"/>
  <c r="I6" i="22" s="1"/>
  <c r="J6" i="22" s="1"/>
  <c r="E3" i="22"/>
  <c r="F3" i="22" s="1"/>
  <c r="G3" i="22" s="1"/>
  <c r="H3" i="22" s="1"/>
  <c r="I3" i="22" s="1"/>
  <c r="J3" i="22" s="1"/>
  <c r="I96" i="25" l="1"/>
  <c r="I47" i="27"/>
  <c r="Q47" i="27" s="1"/>
  <c r="R47" i="27" s="1"/>
  <c r="Q95" i="23"/>
  <c r="O85" i="25"/>
  <c r="M96" i="25"/>
  <c r="K34" i="24"/>
  <c r="AB11" i="24"/>
  <c r="H47" i="27"/>
  <c r="O47" i="27" s="1"/>
  <c r="P47" i="27" s="1"/>
  <c r="M95" i="23"/>
  <c r="F47" i="27"/>
  <c r="M47" i="27" s="1"/>
  <c r="N47" i="27" s="1"/>
  <c r="I95" i="23"/>
  <c r="F20" i="27"/>
  <c r="K102" i="30"/>
  <c r="K67" i="23"/>
  <c r="L67" i="23"/>
  <c r="P67" i="23" s="1"/>
  <c r="I21" i="27"/>
  <c r="P26" i="31"/>
  <c r="L33" i="25"/>
  <c r="P33" i="25" s="1"/>
  <c r="S33" i="25" s="1"/>
  <c r="K23" i="24"/>
  <c r="H30" i="24"/>
  <c r="K27" i="24"/>
  <c r="K35" i="24"/>
  <c r="K51" i="24"/>
  <c r="L35" i="23"/>
  <c r="P35" i="23" s="1"/>
  <c r="T35" i="23" s="1"/>
  <c r="X35" i="23" s="1"/>
  <c r="W35" i="23" s="1"/>
  <c r="K22" i="23"/>
  <c r="L48" i="24"/>
  <c r="P48" i="24" s="1"/>
  <c r="P15" i="30"/>
  <c r="G32" i="22"/>
  <c r="G14" i="22" s="1"/>
  <c r="S9" i="24"/>
  <c r="K15" i="30"/>
  <c r="P51" i="23"/>
  <c r="O51" i="23" s="1"/>
  <c r="K51" i="23"/>
  <c r="D32" i="22"/>
  <c r="H32" i="22"/>
  <c r="E32" i="22"/>
  <c r="I32" i="22"/>
  <c r="I8" i="22" s="1"/>
  <c r="F32" i="22"/>
  <c r="J32" i="22"/>
  <c r="K65" i="23"/>
  <c r="K62" i="24"/>
  <c r="L62" i="24"/>
  <c r="P62" i="24" s="1"/>
  <c r="K64" i="24"/>
  <c r="L64" i="24"/>
  <c r="P64" i="24" s="1"/>
  <c r="L27" i="25"/>
  <c r="P27" i="25" s="1"/>
  <c r="T27" i="25" s="1"/>
  <c r="L79" i="25"/>
  <c r="O79" i="25" s="1"/>
  <c r="L35" i="25"/>
  <c r="P35" i="25" s="1"/>
  <c r="S35" i="25" s="1"/>
  <c r="X9" i="25"/>
  <c r="AB9" i="25" s="1"/>
  <c r="S9" i="25"/>
  <c r="L37" i="25"/>
  <c r="P37" i="25" s="1"/>
  <c r="S37" i="25" s="1"/>
  <c r="L52" i="25"/>
  <c r="P52" i="25" s="1"/>
  <c r="AB11" i="25"/>
  <c r="L39" i="25"/>
  <c r="P39" i="25" s="1"/>
  <c r="S39" i="25" s="1"/>
  <c r="L77" i="25"/>
  <c r="O77" i="25" s="1"/>
  <c r="L48" i="25"/>
  <c r="O48" i="25" s="1"/>
  <c r="L60" i="25"/>
  <c r="O60" i="25" s="1"/>
  <c r="L62" i="25"/>
  <c r="O62" i="25" s="1"/>
  <c r="L51" i="25"/>
  <c r="O51" i="25" s="1"/>
  <c r="L34" i="25"/>
  <c r="O35" i="25"/>
  <c r="K36" i="25"/>
  <c r="K38" i="25"/>
  <c r="H41" i="25"/>
  <c r="H45" i="25" s="1"/>
  <c r="K45" i="25" s="1"/>
  <c r="K21" i="25"/>
  <c r="K25" i="25"/>
  <c r="K48" i="25"/>
  <c r="L61" i="25"/>
  <c r="P61" i="25" s="1"/>
  <c r="L75" i="25"/>
  <c r="O75" i="25" s="1"/>
  <c r="L73" i="25"/>
  <c r="O73" i="25" s="1"/>
  <c r="K60" i="25"/>
  <c r="L72" i="25"/>
  <c r="P72" i="25" s="1"/>
  <c r="O9" i="25"/>
  <c r="L11" i="25"/>
  <c r="Q11" i="25" s="1"/>
  <c r="T25" i="25"/>
  <c r="S25" i="25"/>
  <c r="P13" i="25"/>
  <c r="P24" i="25"/>
  <c r="O24" i="25"/>
  <c r="O28" i="25"/>
  <c r="P28" i="25"/>
  <c r="G9" i="25"/>
  <c r="D11" i="25"/>
  <c r="T11" i="25"/>
  <c r="S11" i="25" s="1"/>
  <c r="T23" i="25"/>
  <c r="S23" i="25"/>
  <c r="S27" i="25"/>
  <c r="H11" i="25"/>
  <c r="K9" i="25"/>
  <c r="P22" i="25"/>
  <c r="O22" i="25"/>
  <c r="P26" i="25"/>
  <c r="O26" i="25"/>
  <c r="L30" i="25"/>
  <c r="H30" i="25"/>
  <c r="T36" i="25"/>
  <c r="T39" i="25"/>
  <c r="D55" i="25"/>
  <c r="G55" i="25" s="1"/>
  <c r="G53" i="25"/>
  <c r="K69" i="25"/>
  <c r="K70" i="25"/>
  <c r="K22" i="25"/>
  <c r="K24" i="25"/>
  <c r="K26" i="25"/>
  <c r="K28" i="25"/>
  <c r="O33" i="25"/>
  <c r="O38" i="25"/>
  <c r="P51" i="25"/>
  <c r="L63" i="25"/>
  <c r="K63" i="25"/>
  <c r="O21" i="25"/>
  <c r="O23" i="25"/>
  <c r="O25" i="25"/>
  <c r="O27" i="25"/>
  <c r="O36" i="25"/>
  <c r="H66" i="25"/>
  <c r="K66" i="25" s="1"/>
  <c r="K59" i="25"/>
  <c r="L59" i="25"/>
  <c r="L64" i="25"/>
  <c r="K64" i="25"/>
  <c r="L65" i="25"/>
  <c r="K65" i="25"/>
  <c r="L74" i="25"/>
  <c r="K74" i="25"/>
  <c r="L76" i="25"/>
  <c r="K76" i="25"/>
  <c r="L78" i="25"/>
  <c r="K78" i="25"/>
  <c r="L80" i="25"/>
  <c r="K80" i="25"/>
  <c r="P21" i="25"/>
  <c r="T33" i="25"/>
  <c r="T38" i="25"/>
  <c r="K73" i="25"/>
  <c r="K75" i="25"/>
  <c r="K77" i="25"/>
  <c r="K79" i="25"/>
  <c r="P69" i="24"/>
  <c r="O69" i="24" s="1"/>
  <c r="K69" i="24"/>
  <c r="P59" i="24"/>
  <c r="O59" i="24" s="1"/>
  <c r="K59" i="24"/>
  <c r="P52" i="24"/>
  <c r="O52" i="24"/>
  <c r="P51" i="24"/>
  <c r="T51" i="24" s="1"/>
  <c r="O51" i="24"/>
  <c r="K52" i="24"/>
  <c r="K38" i="24"/>
  <c r="K39" i="24"/>
  <c r="P25" i="24"/>
  <c r="O25" i="24"/>
  <c r="K21" i="24"/>
  <c r="K25" i="24"/>
  <c r="O27" i="24"/>
  <c r="L28" i="24"/>
  <c r="L21" i="24"/>
  <c r="K9" i="24"/>
  <c r="H11" i="24"/>
  <c r="G11" i="27" s="1"/>
  <c r="M11" i="27" s="1"/>
  <c r="N11" i="27" s="1"/>
  <c r="AA9" i="24"/>
  <c r="X11" i="24"/>
  <c r="W22" i="24"/>
  <c r="X22" i="24"/>
  <c r="L11" i="24"/>
  <c r="O9" i="24"/>
  <c r="K30" i="24"/>
  <c r="H44" i="24"/>
  <c r="G9" i="24"/>
  <c r="D11" i="24"/>
  <c r="F11" i="27" s="1"/>
  <c r="F11" i="28" s="1"/>
  <c r="U11" i="28" s="1"/>
  <c r="W9" i="24"/>
  <c r="T11" i="24"/>
  <c r="P11" i="24"/>
  <c r="P37" i="24"/>
  <c r="P23" i="24"/>
  <c r="L24" i="24"/>
  <c r="P35" i="24"/>
  <c r="K37" i="24"/>
  <c r="P39" i="24"/>
  <c r="H66" i="24"/>
  <c r="K60" i="24"/>
  <c r="L60" i="24"/>
  <c r="L71" i="24"/>
  <c r="K71" i="24"/>
  <c r="L73" i="24"/>
  <c r="K73" i="24"/>
  <c r="L75" i="24"/>
  <c r="K75" i="24"/>
  <c r="L77" i="24"/>
  <c r="K77" i="24"/>
  <c r="L79" i="24"/>
  <c r="K79" i="24"/>
  <c r="P36" i="24"/>
  <c r="D55" i="24"/>
  <c r="G55" i="24" s="1"/>
  <c r="S22" i="24"/>
  <c r="H41" i="24"/>
  <c r="L33" i="24"/>
  <c r="O22" i="24"/>
  <c r="L26" i="24"/>
  <c r="T27" i="24"/>
  <c r="P34" i="24"/>
  <c r="K36" i="24"/>
  <c r="P38" i="24"/>
  <c r="T52" i="24"/>
  <c r="S52" i="24"/>
  <c r="L70" i="24"/>
  <c r="K70" i="24"/>
  <c r="L72" i="24"/>
  <c r="K72" i="24"/>
  <c r="L74" i="24"/>
  <c r="K74" i="24"/>
  <c r="L76" i="24"/>
  <c r="K76" i="24"/>
  <c r="L78" i="24"/>
  <c r="K78" i="24"/>
  <c r="L80" i="24"/>
  <c r="K80" i="24"/>
  <c r="L61" i="24"/>
  <c r="K61" i="24"/>
  <c r="L63" i="24"/>
  <c r="K63" i="24"/>
  <c r="L65" i="24"/>
  <c r="K65" i="24"/>
  <c r="K39" i="23"/>
  <c r="O39" i="23"/>
  <c r="P39" i="23"/>
  <c r="T39" i="23" s="1"/>
  <c r="L23" i="23"/>
  <c r="O23" i="23" s="1"/>
  <c r="K28" i="23"/>
  <c r="K59" i="23"/>
  <c r="K73" i="23"/>
  <c r="O87" i="23"/>
  <c r="G87" i="23"/>
  <c r="G75" i="23"/>
  <c r="L88" i="23"/>
  <c r="G81" i="23"/>
  <c r="G79" i="23"/>
  <c r="G73" i="23"/>
  <c r="K86" i="23"/>
  <c r="K84" i="23"/>
  <c r="K85" i="23"/>
  <c r="G65" i="23"/>
  <c r="O67" i="23"/>
  <c r="G66" i="23"/>
  <c r="G59" i="23"/>
  <c r="L48" i="23"/>
  <c r="P48" i="23" s="1"/>
  <c r="T48" i="23" s="1"/>
  <c r="S48" i="23" s="1"/>
  <c r="G37" i="23"/>
  <c r="K37" i="23"/>
  <c r="G36" i="23"/>
  <c r="O37" i="23"/>
  <c r="P33" i="23"/>
  <c r="T33" i="23" s="1"/>
  <c r="X33" i="23" s="1"/>
  <c r="W33" i="23" s="1"/>
  <c r="K33" i="23"/>
  <c r="G33" i="23"/>
  <c r="O27" i="23"/>
  <c r="P27" i="23"/>
  <c r="T27" i="23" s="1"/>
  <c r="X27" i="23" s="1"/>
  <c r="AB27" i="23" s="1"/>
  <c r="K21" i="23"/>
  <c r="K27" i="23"/>
  <c r="P28" i="23"/>
  <c r="T28" i="23" s="1"/>
  <c r="X28" i="23" s="1"/>
  <c r="T22" i="23"/>
  <c r="S22" i="23"/>
  <c r="AA9" i="23"/>
  <c r="W28" i="23"/>
  <c r="O25" i="23"/>
  <c r="P25" i="23"/>
  <c r="T26" i="23"/>
  <c r="S26" i="23"/>
  <c r="H30" i="23"/>
  <c r="O22" i="23"/>
  <c r="P24" i="23"/>
  <c r="K25" i="23"/>
  <c r="K26" i="23"/>
  <c r="S28" i="23"/>
  <c r="H41" i="23"/>
  <c r="L34" i="23"/>
  <c r="K34" i="23" s="1"/>
  <c r="P36" i="23"/>
  <c r="O36" i="23" s="1"/>
  <c r="W39" i="23"/>
  <c r="X39" i="23"/>
  <c r="P21" i="23"/>
  <c r="K24" i="23"/>
  <c r="X37" i="23"/>
  <c r="W37" i="23" s="1"/>
  <c r="O26" i="23"/>
  <c r="T51" i="23"/>
  <c r="O38" i="23"/>
  <c r="P38" i="23"/>
  <c r="K36" i="23"/>
  <c r="S37" i="23"/>
  <c r="K38" i="23"/>
  <c r="K60" i="23"/>
  <c r="K61" i="23"/>
  <c r="L68" i="23"/>
  <c r="K68" i="23"/>
  <c r="K72" i="23"/>
  <c r="O79" i="23"/>
  <c r="K80" i="23"/>
  <c r="H69" i="23"/>
  <c r="I69" i="23" s="1"/>
  <c r="K64" i="23"/>
  <c r="K78" i="23"/>
  <c r="K63" i="23"/>
  <c r="K76" i="23"/>
  <c r="D55" i="23"/>
  <c r="K62" i="23"/>
  <c r="K74" i="23"/>
  <c r="K82" i="23"/>
  <c r="K79" i="23"/>
  <c r="AA9" i="25" l="1"/>
  <c r="W9" i="25"/>
  <c r="X11" i="25"/>
  <c r="S35" i="23"/>
  <c r="K35" i="23"/>
  <c r="D15" i="25"/>
  <c r="D26" i="31"/>
  <c r="F21" i="27"/>
  <c r="F21" i="26" s="1"/>
  <c r="F21" i="28" s="1"/>
  <c r="U21" i="28" s="1"/>
  <c r="H50" i="25"/>
  <c r="K50" i="25" s="1"/>
  <c r="M11" i="25"/>
  <c r="I11" i="25"/>
  <c r="H26" i="31"/>
  <c r="G21" i="27"/>
  <c r="G41" i="23"/>
  <c r="I41" i="23"/>
  <c r="I21" i="26"/>
  <c r="F20" i="26"/>
  <c r="P60" i="25"/>
  <c r="S15" i="30"/>
  <c r="Q15" i="30"/>
  <c r="F47" i="28"/>
  <c r="U47" i="28" s="1"/>
  <c r="H47" i="28"/>
  <c r="G47" i="28"/>
  <c r="P23" i="23"/>
  <c r="T23" i="23" s="1"/>
  <c r="O64" i="24"/>
  <c r="K88" i="23"/>
  <c r="P88" i="23"/>
  <c r="H21" i="27"/>
  <c r="L26" i="31"/>
  <c r="O26" i="31" s="1"/>
  <c r="O35" i="23"/>
  <c r="T35" i="25"/>
  <c r="O52" i="25"/>
  <c r="S51" i="24"/>
  <c r="O62" i="24"/>
  <c r="O48" i="24"/>
  <c r="O73" i="23"/>
  <c r="H89" i="23"/>
  <c r="O65" i="23"/>
  <c r="S33" i="23"/>
  <c r="I47" i="28"/>
  <c r="L30" i="23"/>
  <c r="O15" i="30"/>
  <c r="S51" i="23"/>
  <c r="K77" i="23"/>
  <c r="O59" i="23"/>
  <c r="P79" i="25"/>
  <c r="T79" i="25" s="1"/>
  <c r="P77" i="25"/>
  <c r="T77" i="25" s="1"/>
  <c r="K41" i="25"/>
  <c r="O39" i="25"/>
  <c r="T37" i="25"/>
  <c r="W37" i="25" s="1"/>
  <c r="L41" i="25"/>
  <c r="O41" i="25" s="1"/>
  <c r="H47" i="25"/>
  <c r="K47" i="25" s="1"/>
  <c r="P110" i="25"/>
  <c r="O37" i="25"/>
  <c r="P75" i="25"/>
  <c r="S75" i="25" s="1"/>
  <c r="P48" i="25"/>
  <c r="S48" i="25" s="1"/>
  <c r="O72" i="25"/>
  <c r="P62" i="25"/>
  <c r="S62" i="25" s="1"/>
  <c r="O61" i="25"/>
  <c r="H46" i="25"/>
  <c r="K46" i="25" s="1"/>
  <c r="P34" i="25"/>
  <c r="O34" i="25"/>
  <c r="H49" i="25"/>
  <c r="K49" i="25" s="1"/>
  <c r="P73" i="25"/>
  <c r="T73" i="25" s="1"/>
  <c r="O71" i="25"/>
  <c r="P78" i="25"/>
  <c r="O78" i="25"/>
  <c r="P74" i="25"/>
  <c r="O74" i="25"/>
  <c r="O64" i="25"/>
  <c r="P64" i="25"/>
  <c r="X35" i="25"/>
  <c r="W35" i="25"/>
  <c r="P63" i="25"/>
  <c r="O63" i="25"/>
  <c r="L45" i="25"/>
  <c r="O45" i="25" s="1"/>
  <c r="L47" i="25"/>
  <c r="O47" i="25" s="1"/>
  <c r="L46" i="25"/>
  <c r="O46" i="25" s="1"/>
  <c r="O30" i="25"/>
  <c r="L44" i="25"/>
  <c r="S22" i="25"/>
  <c r="T22" i="25"/>
  <c r="H13" i="25"/>
  <c r="K11" i="25"/>
  <c r="X23" i="25"/>
  <c r="W23" i="25"/>
  <c r="S24" i="25"/>
  <c r="T24" i="25"/>
  <c r="X38" i="25"/>
  <c r="W38" i="25"/>
  <c r="P59" i="25"/>
  <c r="L66" i="25"/>
  <c r="O66" i="25" s="1"/>
  <c r="O59" i="25"/>
  <c r="S52" i="25"/>
  <c r="T52" i="25"/>
  <c r="T61" i="25"/>
  <c r="S61" i="25"/>
  <c r="X39" i="25"/>
  <c r="W39" i="25"/>
  <c r="T13" i="25"/>
  <c r="W11" i="25"/>
  <c r="T28" i="25"/>
  <c r="S28" i="25"/>
  <c r="X33" i="25"/>
  <c r="W33" i="25"/>
  <c r="P80" i="25"/>
  <c r="O80" i="25"/>
  <c r="P76" i="25"/>
  <c r="O76" i="25"/>
  <c r="P65" i="25"/>
  <c r="O65" i="25"/>
  <c r="S51" i="25"/>
  <c r="T51" i="25"/>
  <c r="T72" i="25"/>
  <c r="S72" i="25"/>
  <c r="O69" i="25"/>
  <c r="X36" i="25"/>
  <c r="W36" i="25"/>
  <c r="S26" i="25"/>
  <c r="T26" i="25"/>
  <c r="X13" i="25"/>
  <c r="X110" i="25" s="1"/>
  <c r="AA11" i="25"/>
  <c r="X27" i="25"/>
  <c r="W27" i="25"/>
  <c r="P30" i="25"/>
  <c r="T21" i="25"/>
  <c r="S21" i="25"/>
  <c r="O70" i="25"/>
  <c r="H44" i="25"/>
  <c r="K30" i="25"/>
  <c r="D13" i="25"/>
  <c r="G11" i="25"/>
  <c r="X25" i="25"/>
  <c r="W25" i="25"/>
  <c r="L13" i="25"/>
  <c r="L110" i="25" s="1"/>
  <c r="O11" i="25"/>
  <c r="S60" i="25"/>
  <c r="T60" i="25"/>
  <c r="T69" i="24"/>
  <c r="S69" i="24" s="1"/>
  <c r="T59" i="24"/>
  <c r="S59" i="24" s="1"/>
  <c r="G66" i="24"/>
  <c r="P21" i="24"/>
  <c r="O21" i="24"/>
  <c r="P28" i="24"/>
  <c r="O28" i="24"/>
  <c r="S25" i="24"/>
  <c r="T25" i="24"/>
  <c r="X51" i="24"/>
  <c r="W51" i="24"/>
  <c r="O79" i="24"/>
  <c r="P79" i="24"/>
  <c r="O75" i="24"/>
  <c r="P75" i="24"/>
  <c r="O71" i="24"/>
  <c r="P71" i="24"/>
  <c r="P60" i="24"/>
  <c r="O60" i="24"/>
  <c r="P65" i="24"/>
  <c r="O65" i="24"/>
  <c r="P61" i="24"/>
  <c r="O61" i="24"/>
  <c r="P78" i="24"/>
  <c r="O78" i="24"/>
  <c r="P74" i="24"/>
  <c r="O74" i="24"/>
  <c r="P70" i="24"/>
  <c r="O70" i="24"/>
  <c r="T62" i="24"/>
  <c r="S62" i="24"/>
  <c r="T34" i="24"/>
  <c r="S34" i="24"/>
  <c r="T39" i="24"/>
  <c r="S39" i="24"/>
  <c r="P24" i="24"/>
  <c r="O24" i="24"/>
  <c r="D13" i="24"/>
  <c r="D15" i="24" s="1"/>
  <c r="G11" i="24"/>
  <c r="L13" i="24"/>
  <c r="L15" i="24" s="1"/>
  <c r="O11" i="24"/>
  <c r="X13" i="24"/>
  <c r="X15" i="24" s="1"/>
  <c r="AA15" i="24" s="1"/>
  <c r="AA11" i="24"/>
  <c r="X52" i="24"/>
  <c r="W52" i="24"/>
  <c r="X27" i="24"/>
  <c r="W27" i="24"/>
  <c r="L41" i="24"/>
  <c r="O33" i="24"/>
  <c r="P33" i="24"/>
  <c r="T48" i="24"/>
  <c r="S48" i="24"/>
  <c r="O77" i="24"/>
  <c r="P77" i="24"/>
  <c r="O73" i="24"/>
  <c r="P73" i="24"/>
  <c r="S23" i="24"/>
  <c r="T23" i="24"/>
  <c r="P13" i="24"/>
  <c r="P15" i="24" s="1"/>
  <c r="S11" i="24"/>
  <c r="AA22" i="24"/>
  <c r="AB22" i="24"/>
  <c r="P63" i="24"/>
  <c r="O63" i="24"/>
  <c r="P80" i="24"/>
  <c r="O80" i="24"/>
  <c r="P76" i="24"/>
  <c r="O76" i="24"/>
  <c r="P72" i="24"/>
  <c r="O72" i="24"/>
  <c r="T64" i="24"/>
  <c r="S64" i="24"/>
  <c r="T38" i="24"/>
  <c r="S38" i="24"/>
  <c r="P26" i="24"/>
  <c r="O26" i="24"/>
  <c r="H50" i="24"/>
  <c r="K50" i="24" s="1"/>
  <c r="H47" i="24"/>
  <c r="K47" i="24" s="1"/>
  <c r="H45" i="24"/>
  <c r="K45" i="24" s="1"/>
  <c r="H49" i="24"/>
  <c r="K49" i="24" s="1"/>
  <c r="K41" i="24"/>
  <c r="H46" i="24"/>
  <c r="K46" i="24" s="1"/>
  <c r="T36" i="24"/>
  <c r="S36" i="24"/>
  <c r="L66" i="24"/>
  <c r="T35" i="24"/>
  <c r="S35" i="24"/>
  <c r="T13" i="24"/>
  <c r="T15" i="24" s="1"/>
  <c r="W11" i="24"/>
  <c r="K44" i="24"/>
  <c r="H13" i="24"/>
  <c r="K11" i="24"/>
  <c r="T37" i="24"/>
  <c r="S37" i="24"/>
  <c r="L30" i="24"/>
  <c r="S39" i="23"/>
  <c r="O88" i="23"/>
  <c r="K87" i="23"/>
  <c r="K75" i="23"/>
  <c r="O75" i="23"/>
  <c r="K83" i="23"/>
  <c r="K81" i="23"/>
  <c r="O81" i="23"/>
  <c r="O77" i="23"/>
  <c r="O83" i="23"/>
  <c r="O84" i="23"/>
  <c r="O86" i="23"/>
  <c r="O85" i="23"/>
  <c r="O66" i="23"/>
  <c r="K66" i="23"/>
  <c r="G69" i="23"/>
  <c r="K48" i="23"/>
  <c r="L69" i="23"/>
  <c r="M69" i="23" s="1"/>
  <c r="O48" i="23"/>
  <c r="L41" i="23"/>
  <c r="L49" i="23" s="1"/>
  <c r="O33" i="23"/>
  <c r="W27" i="23"/>
  <c r="AA27" i="23"/>
  <c r="S27" i="23"/>
  <c r="T73" i="23"/>
  <c r="S73" i="23" s="1"/>
  <c r="T75" i="23"/>
  <c r="S75" i="23" s="1"/>
  <c r="T79" i="23"/>
  <c r="S79" i="23" s="1"/>
  <c r="O64" i="23"/>
  <c r="P68" i="23"/>
  <c r="O68" i="23"/>
  <c r="O82" i="23"/>
  <c r="O74" i="23"/>
  <c r="O63" i="23"/>
  <c r="O78" i="23"/>
  <c r="O80" i="23"/>
  <c r="O72" i="23"/>
  <c r="P34" i="23"/>
  <c r="O34" i="23" s="1"/>
  <c r="S24" i="23"/>
  <c r="T24" i="23"/>
  <c r="T25" i="23"/>
  <c r="S25" i="23"/>
  <c r="O61" i="23"/>
  <c r="T38" i="23"/>
  <c r="S38" i="23"/>
  <c r="AB35" i="23"/>
  <c r="AA35" i="23" s="1"/>
  <c r="AB37" i="23"/>
  <c r="AA37" i="23" s="1"/>
  <c r="P30" i="23"/>
  <c r="T21" i="23"/>
  <c r="S21" i="23"/>
  <c r="T36" i="23"/>
  <c r="S36" i="23" s="1"/>
  <c r="G45" i="23"/>
  <c r="G49" i="23"/>
  <c r="G46" i="23"/>
  <c r="G50" i="23"/>
  <c r="G47" i="23"/>
  <c r="W22" i="23"/>
  <c r="X22" i="23"/>
  <c r="O60" i="23"/>
  <c r="X51" i="23"/>
  <c r="W51" i="23" s="1"/>
  <c r="L44" i="23"/>
  <c r="O30" i="23"/>
  <c r="AB28" i="23"/>
  <c r="AA28" i="23"/>
  <c r="T83" i="23"/>
  <c r="S83" i="23" s="1"/>
  <c r="T77" i="23"/>
  <c r="S77" i="23" s="1"/>
  <c r="O62" i="23"/>
  <c r="X48" i="23"/>
  <c r="W48" i="23" s="1"/>
  <c r="AB33" i="23"/>
  <c r="AA33" i="23" s="1"/>
  <c r="AB39" i="23"/>
  <c r="AA39" i="23"/>
  <c r="H44" i="23"/>
  <c r="K30" i="23"/>
  <c r="W26" i="23"/>
  <c r="X26" i="23"/>
  <c r="T81" i="23"/>
  <c r="S81" i="23" s="1"/>
  <c r="O76" i="23"/>
  <c r="I14" i="22"/>
  <c r="I35" i="22" s="1"/>
  <c r="I36" i="22" s="1"/>
  <c r="G35" i="22"/>
  <c r="G36" i="22" s="1"/>
  <c r="X47" i="28" l="1"/>
  <c r="Q47" i="28"/>
  <c r="R47" i="28" s="1"/>
  <c r="V47" i="28"/>
  <c r="M47" i="28"/>
  <c r="N47" i="28" s="1"/>
  <c r="W47" i="28"/>
  <c r="O47" i="28"/>
  <c r="P47" i="28" s="1"/>
  <c r="G21" i="26"/>
  <c r="M21" i="26" s="1"/>
  <c r="N21" i="26" s="1"/>
  <c r="M21" i="27"/>
  <c r="N21" i="27" s="1"/>
  <c r="H21" i="26"/>
  <c r="O21" i="27"/>
  <c r="P21" i="27" s="1"/>
  <c r="Q21" i="27"/>
  <c r="R21" i="27" s="1"/>
  <c r="H21" i="28"/>
  <c r="I21" i="28"/>
  <c r="S23" i="23"/>
  <c r="G26" i="31"/>
  <c r="D29" i="31"/>
  <c r="F22" i="27"/>
  <c r="K41" i="23"/>
  <c r="M41" i="23"/>
  <c r="U23" i="28"/>
  <c r="F20" i="28"/>
  <c r="U20" i="28" s="1"/>
  <c r="F22" i="26"/>
  <c r="K26" i="31"/>
  <c r="K69" i="23"/>
  <c r="X37" i="25"/>
  <c r="AB37" i="25" s="1"/>
  <c r="T62" i="25"/>
  <c r="X62" i="25" s="1"/>
  <c r="S77" i="25"/>
  <c r="J47" i="28"/>
  <c r="S15" i="24"/>
  <c r="T59" i="23"/>
  <c r="S59" i="23" s="1"/>
  <c r="S79" i="25"/>
  <c r="P89" i="23"/>
  <c r="T48" i="25"/>
  <c r="W48" i="25" s="1"/>
  <c r="T75" i="25"/>
  <c r="W75" i="25" s="1"/>
  <c r="L50" i="25"/>
  <c r="O50" i="25" s="1"/>
  <c r="L49" i="25"/>
  <c r="O49" i="25" s="1"/>
  <c r="S13" i="25"/>
  <c r="T110" i="25"/>
  <c r="H110" i="25"/>
  <c r="S73" i="25"/>
  <c r="S34" i="25"/>
  <c r="P41" i="25"/>
  <c r="T34" i="25"/>
  <c r="T71" i="25"/>
  <c r="S71" i="25"/>
  <c r="O13" i="25"/>
  <c r="AA27" i="25"/>
  <c r="AB27" i="25"/>
  <c r="AA36" i="25"/>
  <c r="AB36" i="25"/>
  <c r="H53" i="25"/>
  <c r="K44" i="25"/>
  <c r="AA33" i="25"/>
  <c r="AB33" i="25"/>
  <c r="W13" i="25"/>
  <c r="AA39" i="25"/>
  <c r="AB39" i="25"/>
  <c r="T70" i="25"/>
  <c r="S70" i="25" s="1"/>
  <c r="T30" i="25"/>
  <c r="X21" i="25"/>
  <c r="W21" i="25"/>
  <c r="X15" i="25"/>
  <c r="AA37" i="25"/>
  <c r="S65" i="25"/>
  <c r="T65" i="25"/>
  <c r="T80" i="25"/>
  <c r="S80" i="25"/>
  <c r="T15" i="25"/>
  <c r="X52" i="25"/>
  <c r="W52" i="25"/>
  <c r="P66" i="25"/>
  <c r="S66" i="25" s="1"/>
  <c r="S59" i="25"/>
  <c r="T59" i="25"/>
  <c r="X73" i="25"/>
  <c r="W73" i="25"/>
  <c r="AA23" i="25"/>
  <c r="AB23" i="25"/>
  <c r="AA35" i="25"/>
  <c r="AB35" i="25"/>
  <c r="T74" i="25"/>
  <c r="S74" i="25"/>
  <c r="P44" i="25"/>
  <c r="S30" i="25"/>
  <c r="X51" i="25"/>
  <c r="W51" i="25"/>
  <c r="X28" i="25"/>
  <c r="W28" i="25"/>
  <c r="X24" i="25"/>
  <c r="W24" i="25"/>
  <c r="X22" i="25"/>
  <c r="W22" i="25"/>
  <c r="T64" i="25"/>
  <c r="S64" i="25"/>
  <c r="AA25" i="25"/>
  <c r="AB25" i="25"/>
  <c r="X77" i="25"/>
  <c r="W77" i="25"/>
  <c r="X79" i="25"/>
  <c r="W79" i="25"/>
  <c r="X60" i="25"/>
  <c r="W60" i="25"/>
  <c r="X26" i="25"/>
  <c r="W26" i="25"/>
  <c r="T69" i="25"/>
  <c r="S69" i="25" s="1"/>
  <c r="X72" i="25"/>
  <c r="W72" i="25"/>
  <c r="T76" i="25"/>
  <c r="S76" i="25"/>
  <c r="AA38" i="25"/>
  <c r="AB38" i="25"/>
  <c r="K13" i="25"/>
  <c r="T63" i="25"/>
  <c r="S63" i="25"/>
  <c r="T78" i="25"/>
  <c r="S78" i="25"/>
  <c r="W61" i="25"/>
  <c r="X61" i="25"/>
  <c r="D110" i="25"/>
  <c r="G13" i="25"/>
  <c r="AB13" i="25" s="1"/>
  <c r="O44" i="25"/>
  <c r="K66" i="24"/>
  <c r="H53" i="24"/>
  <c r="K53" i="24" s="1"/>
  <c r="S28" i="24"/>
  <c r="T28" i="24"/>
  <c r="X25" i="24"/>
  <c r="W25" i="24"/>
  <c r="S21" i="24"/>
  <c r="T21" i="24"/>
  <c r="W15" i="24"/>
  <c r="O15" i="24"/>
  <c r="H96" i="24"/>
  <c r="K13" i="24"/>
  <c r="X64" i="24"/>
  <c r="W64" i="24"/>
  <c r="S63" i="24"/>
  <c r="T63" i="24"/>
  <c r="H15" i="24"/>
  <c r="K15" i="24" s="1"/>
  <c r="W38" i="24"/>
  <c r="X38" i="24"/>
  <c r="T72" i="24"/>
  <c r="S72" i="24"/>
  <c r="T80" i="24"/>
  <c r="S80" i="24"/>
  <c r="P96" i="24"/>
  <c r="S13" i="24"/>
  <c r="T77" i="24"/>
  <c r="S77" i="24"/>
  <c r="L49" i="24"/>
  <c r="O49" i="24" s="1"/>
  <c r="L46" i="24"/>
  <c r="O46" i="24" s="1"/>
  <c r="L50" i="24"/>
  <c r="O50" i="24" s="1"/>
  <c r="L47" i="24"/>
  <c r="O47" i="24" s="1"/>
  <c r="O41" i="24"/>
  <c r="L45" i="24"/>
  <c r="O45" i="24" s="1"/>
  <c r="AB52" i="24"/>
  <c r="AA52" i="24"/>
  <c r="X96" i="24"/>
  <c r="AA13" i="24"/>
  <c r="T71" i="24"/>
  <c r="S71" i="24"/>
  <c r="T79" i="24"/>
  <c r="S79" i="24"/>
  <c r="X23" i="24"/>
  <c r="W23" i="24"/>
  <c r="X48" i="24"/>
  <c r="W48" i="24"/>
  <c r="W39" i="24"/>
  <c r="X39" i="24"/>
  <c r="X62" i="24"/>
  <c r="W62" i="24"/>
  <c r="T74" i="24"/>
  <c r="S74" i="24"/>
  <c r="S61" i="24"/>
  <c r="T61" i="24"/>
  <c r="W35" i="24"/>
  <c r="X35" i="24"/>
  <c r="W36" i="24"/>
  <c r="X36" i="24"/>
  <c r="S26" i="24"/>
  <c r="T26" i="24"/>
  <c r="T76" i="24"/>
  <c r="S76" i="24"/>
  <c r="T73" i="24"/>
  <c r="S73" i="24"/>
  <c r="T33" i="24"/>
  <c r="P41" i="24"/>
  <c r="S33" i="24"/>
  <c r="AA27" i="24"/>
  <c r="AB27" i="24"/>
  <c r="T75" i="24"/>
  <c r="S75" i="24"/>
  <c r="L44" i="24"/>
  <c r="O30" i="24"/>
  <c r="W37" i="24"/>
  <c r="X37" i="24"/>
  <c r="T96" i="24"/>
  <c r="W13" i="24"/>
  <c r="P66" i="24"/>
  <c r="O66" i="24" s="1"/>
  <c r="L96" i="24"/>
  <c r="O13" i="24"/>
  <c r="D96" i="24"/>
  <c r="G13" i="24"/>
  <c r="AB13" i="24" s="1"/>
  <c r="S24" i="24"/>
  <c r="T24" i="24"/>
  <c r="P30" i="24"/>
  <c r="W34" i="24"/>
  <c r="X34" i="24"/>
  <c r="T70" i="24"/>
  <c r="S70" i="24"/>
  <c r="T78" i="24"/>
  <c r="S78" i="24"/>
  <c r="S65" i="24"/>
  <c r="T65" i="24"/>
  <c r="T60" i="24"/>
  <c r="S60" i="24"/>
  <c r="AB51" i="24"/>
  <c r="AA51" i="24"/>
  <c r="K46" i="23"/>
  <c r="L89" i="23"/>
  <c r="M89" i="23" s="1"/>
  <c r="P69" i="23"/>
  <c r="Q69" i="23" s="1"/>
  <c r="L50" i="23"/>
  <c r="K50" i="23" s="1"/>
  <c r="L47" i="23"/>
  <c r="K47" i="23" s="1"/>
  <c r="K45" i="23"/>
  <c r="K49" i="23"/>
  <c r="T62" i="23"/>
  <c r="S62" i="23" s="1"/>
  <c r="X83" i="23"/>
  <c r="W83" i="23" s="1"/>
  <c r="AB22" i="23"/>
  <c r="AA22" i="23"/>
  <c r="X38" i="23"/>
  <c r="W38" i="23"/>
  <c r="T34" i="23"/>
  <c r="S34" i="23" s="1"/>
  <c r="P41" i="23"/>
  <c r="T72" i="23"/>
  <c r="S72" i="23" s="1"/>
  <c r="T63" i="23"/>
  <c r="S63" i="23" s="1"/>
  <c r="S68" i="23"/>
  <c r="T68" i="23"/>
  <c r="X79" i="23"/>
  <c r="W79" i="23" s="1"/>
  <c r="X73" i="23"/>
  <c r="W73" i="23" s="1"/>
  <c r="X81" i="23"/>
  <c r="W81" i="23" s="1"/>
  <c r="K44" i="23"/>
  <c r="H53" i="23"/>
  <c r="I53" i="23" s="1"/>
  <c r="AB51" i="23"/>
  <c r="AA51" i="23" s="1"/>
  <c r="X21" i="23"/>
  <c r="T30" i="23"/>
  <c r="W21" i="23"/>
  <c r="W25" i="23"/>
  <c r="X25" i="23"/>
  <c r="T78" i="23"/>
  <c r="S78" i="23" s="1"/>
  <c r="T82" i="23"/>
  <c r="S82" i="23" s="1"/>
  <c r="AB26" i="23"/>
  <c r="AA26" i="23"/>
  <c r="AB48" i="23"/>
  <c r="AA48" i="23" s="1"/>
  <c r="X77" i="23"/>
  <c r="W77" i="23" s="1"/>
  <c r="P44" i="23"/>
  <c r="S30" i="23"/>
  <c r="T61" i="23"/>
  <c r="S61" i="23" s="1"/>
  <c r="W24" i="23"/>
  <c r="X24" i="23"/>
  <c r="T64" i="23"/>
  <c r="S64" i="23" s="1"/>
  <c r="X75" i="23"/>
  <c r="W75" i="23" s="1"/>
  <c r="T76" i="23"/>
  <c r="S76" i="23" s="1"/>
  <c r="O44" i="23"/>
  <c r="T60" i="23"/>
  <c r="S60" i="23" s="1"/>
  <c r="X23" i="23"/>
  <c r="W23" i="23"/>
  <c r="X36" i="23"/>
  <c r="W36" i="23" s="1"/>
  <c r="T80" i="23"/>
  <c r="S80" i="23" s="1"/>
  <c r="T74" i="23"/>
  <c r="S74" i="23" s="1"/>
  <c r="G21" i="28" l="1"/>
  <c r="M21" i="28" s="1"/>
  <c r="N21" i="28" s="1"/>
  <c r="Q21" i="28"/>
  <c r="R21" i="28" s="1"/>
  <c r="O21" i="26"/>
  <c r="P21" i="26" s="1"/>
  <c r="Q21" i="26"/>
  <c r="R21" i="26" s="1"/>
  <c r="D31" i="31"/>
  <c r="O41" i="23"/>
  <c r="Q41" i="23"/>
  <c r="F24" i="26"/>
  <c r="U22" i="28"/>
  <c r="Q89" i="23"/>
  <c r="K89" i="23"/>
  <c r="T88" i="23"/>
  <c r="X88" i="23" s="1"/>
  <c r="S88" i="23"/>
  <c r="O69" i="23"/>
  <c r="X48" i="25"/>
  <c r="AB48" i="25" s="1"/>
  <c r="W62" i="25"/>
  <c r="X75" i="25"/>
  <c r="AB75" i="25" s="1"/>
  <c r="H55" i="24"/>
  <c r="K55" i="24" s="1"/>
  <c r="L47" i="28"/>
  <c r="K47" i="28"/>
  <c r="X59" i="23"/>
  <c r="W59" i="23" s="1"/>
  <c r="O89" i="23"/>
  <c r="L53" i="25"/>
  <c r="AA13" i="25"/>
  <c r="AB110" i="25"/>
  <c r="P46" i="25"/>
  <c r="S46" i="25" s="1"/>
  <c r="S41" i="25"/>
  <c r="P45" i="25"/>
  <c r="S45" i="25" s="1"/>
  <c r="P47" i="25"/>
  <c r="S47" i="25" s="1"/>
  <c r="P50" i="25"/>
  <c r="S50" i="25" s="1"/>
  <c r="P49" i="25"/>
  <c r="S49" i="25" s="1"/>
  <c r="X34" i="25"/>
  <c r="T41" i="25"/>
  <c r="W34" i="25"/>
  <c r="AB62" i="25"/>
  <c r="AA62" i="25"/>
  <c r="W71" i="25"/>
  <c r="X71" i="25"/>
  <c r="W15" i="25"/>
  <c r="W76" i="25"/>
  <c r="X76" i="25"/>
  <c r="X64" i="25"/>
  <c r="W64" i="25"/>
  <c r="AA51" i="25"/>
  <c r="AB51" i="25"/>
  <c r="AB22" i="25"/>
  <c r="AA22" i="25"/>
  <c r="S44" i="25"/>
  <c r="AB73" i="25"/>
  <c r="AA73" i="25"/>
  <c r="W78" i="25"/>
  <c r="X78" i="25"/>
  <c r="X69" i="25"/>
  <c r="W69" i="25" s="1"/>
  <c r="AB26" i="25"/>
  <c r="AA26" i="25"/>
  <c r="X59" i="25"/>
  <c r="W59" i="25"/>
  <c r="T66" i="25"/>
  <c r="W66" i="25" s="1"/>
  <c r="AA52" i="25"/>
  <c r="AB52" i="25"/>
  <c r="W65" i="25"/>
  <c r="X65" i="25"/>
  <c r="AB24" i="25"/>
  <c r="AA24" i="25"/>
  <c r="X70" i="25"/>
  <c r="W70" i="25" s="1"/>
  <c r="K53" i="25"/>
  <c r="H55" i="25"/>
  <c r="AA61" i="25"/>
  <c r="AB61" i="25"/>
  <c r="AA60" i="25"/>
  <c r="AB60" i="25"/>
  <c r="W63" i="25"/>
  <c r="X63" i="25"/>
  <c r="AA21" i="25"/>
  <c r="X30" i="25"/>
  <c r="AB21" i="25"/>
  <c r="AB77" i="25"/>
  <c r="AA77" i="25"/>
  <c r="W74" i="25"/>
  <c r="X74" i="25"/>
  <c r="AB15" i="25"/>
  <c r="AA15" i="25" s="1"/>
  <c r="AA72" i="25"/>
  <c r="AB72" i="25"/>
  <c r="AB79" i="25"/>
  <c r="AA79" i="25"/>
  <c r="AA28" i="25"/>
  <c r="AB28" i="25"/>
  <c r="W80" i="25"/>
  <c r="X80" i="25"/>
  <c r="W30" i="25"/>
  <c r="T44" i="25"/>
  <c r="AA25" i="24"/>
  <c r="AB25" i="24"/>
  <c r="W21" i="24"/>
  <c r="X21" i="24"/>
  <c r="W28" i="24"/>
  <c r="X28" i="24"/>
  <c r="G15" i="24"/>
  <c r="W24" i="24"/>
  <c r="X24" i="24"/>
  <c r="X65" i="24"/>
  <c r="W65" i="24"/>
  <c r="S30" i="24"/>
  <c r="P44" i="24"/>
  <c r="AB96" i="24"/>
  <c r="AB15" i="24"/>
  <c r="T41" i="24"/>
  <c r="W33" i="24"/>
  <c r="X33" i="24"/>
  <c r="W76" i="24"/>
  <c r="X76" i="24"/>
  <c r="W74" i="24"/>
  <c r="X74" i="24"/>
  <c r="X69" i="24"/>
  <c r="W69" i="24" s="1"/>
  <c r="W80" i="24"/>
  <c r="X80" i="24"/>
  <c r="X59" i="24"/>
  <c r="W59" i="24" s="1"/>
  <c r="T66" i="24"/>
  <c r="AB35" i="24"/>
  <c r="AA35" i="24"/>
  <c r="AB23" i="24"/>
  <c r="AA23" i="24"/>
  <c r="X71" i="24"/>
  <c r="W71" i="24"/>
  <c r="X77" i="24"/>
  <c r="W77" i="24"/>
  <c r="W70" i="24"/>
  <c r="X70" i="24"/>
  <c r="X61" i="24"/>
  <c r="W61" i="24"/>
  <c r="AB34" i="24"/>
  <c r="AA34" i="24"/>
  <c r="AB37" i="24"/>
  <c r="AA37" i="24"/>
  <c r="AA64" i="24"/>
  <c r="AB64" i="24"/>
  <c r="O44" i="24"/>
  <c r="L53" i="24"/>
  <c r="X26" i="24"/>
  <c r="W26" i="24"/>
  <c r="X73" i="24"/>
  <c r="W73" i="24"/>
  <c r="AA62" i="24"/>
  <c r="AB62" i="24"/>
  <c r="AA48" i="24"/>
  <c r="AB48" i="24"/>
  <c r="W72" i="24"/>
  <c r="X72" i="24"/>
  <c r="X60" i="24"/>
  <c r="W60" i="24"/>
  <c r="W78" i="24"/>
  <c r="X78" i="24"/>
  <c r="X75" i="24"/>
  <c r="W75" i="24"/>
  <c r="P45" i="24"/>
  <c r="S45" i="24" s="1"/>
  <c r="P49" i="24"/>
  <c r="S49" i="24" s="1"/>
  <c r="P46" i="24"/>
  <c r="S46" i="24" s="1"/>
  <c r="P50" i="24"/>
  <c r="S50" i="24" s="1"/>
  <c r="P47" i="24"/>
  <c r="S47" i="24" s="1"/>
  <c r="S41" i="24"/>
  <c r="AB36" i="24"/>
  <c r="AA36" i="24"/>
  <c r="AB39" i="24"/>
  <c r="AA39" i="24"/>
  <c r="T30" i="24"/>
  <c r="X79" i="24"/>
  <c r="W79" i="24"/>
  <c r="AB38" i="24"/>
  <c r="AA38" i="24"/>
  <c r="X63" i="24"/>
  <c r="W63" i="24"/>
  <c r="G53" i="23"/>
  <c r="H108" i="23"/>
  <c r="L53" i="23"/>
  <c r="X60" i="23"/>
  <c r="W60" i="23" s="1"/>
  <c r="X64" i="23"/>
  <c r="W64" i="23" s="1"/>
  <c r="AB81" i="23"/>
  <c r="AA81" i="23" s="1"/>
  <c r="X74" i="23"/>
  <c r="W74" i="23" s="1"/>
  <c r="AA23" i="23"/>
  <c r="AB23" i="23"/>
  <c r="S44" i="23"/>
  <c r="X82" i="23"/>
  <c r="W82" i="23" s="1"/>
  <c r="AB73" i="23"/>
  <c r="AA73" i="23" s="1"/>
  <c r="X68" i="23"/>
  <c r="W68" i="23"/>
  <c r="AB83" i="23"/>
  <c r="AA83" i="23" s="1"/>
  <c r="AB24" i="23"/>
  <c r="AA24" i="23"/>
  <c r="X61" i="23"/>
  <c r="W61" i="23" s="1"/>
  <c r="AB77" i="23"/>
  <c r="AA77" i="23" s="1"/>
  <c r="T44" i="23"/>
  <c r="W30" i="23"/>
  <c r="H55" i="23"/>
  <c r="I55" i="23" s="1"/>
  <c r="T69" i="23"/>
  <c r="X34" i="23"/>
  <c r="W34" i="23" s="1"/>
  <c r="T41" i="23"/>
  <c r="S41" i="23" s="1"/>
  <c r="AB38" i="23"/>
  <c r="AA38" i="23"/>
  <c r="X80" i="23"/>
  <c r="W80" i="23" s="1"/>
  <c r="X78" i="23"/>
  <c r="W78" i="23" s="1"/>
  <c r="AA25" i="23"/>
  <c r="AB25" i="23"/>
  <c r="X30" i="23"/>
  <c r="AB21" i="23"/>
  <c r="AA21" i="23"/>
  <c r="AB79" i="23"/>
  <c r="AA79" i="23" s="1"/>
  <c r="X63" i="23"/>
  <c r="W63" i="23" s="1"/>
  <c r="X72" i="23"/>
  <c r="W72" i="23" s="1"/>
  <c r="AB36" i="23"/>
  <c r="AA36" i="23" s="1"/>
  <c r="X76" i="23"/>
  <c r="W76" i="23" s="1"/>
  <c r="AB75" i="23"/>
  <c r="AA75" i="23" s="1"/>
  <c r="P50" i="23"/>
  <c r="P47" i="23"/>
  <c r="P45" i="23"/>
  <c r="P49" i="23"/>
  <c r="P46" i="23"/>
  <c r="X62" i="23"/>
  <c r="W62" i="23" s="1"/>
  <c r="T89" i="23" l="1"/>
  <c r="O21" i="28"/>
  <c r="P21" i="28" s="1"/>
  <c r="D33" i="31"/>
  <c r="G31" i="31"/>
  <c r="AB31" i="31" s="1"/>
  <c r="AB33" i="31" s="1"/>
  <c r="D170" i="31"/>
  <c r="L108" i="23"/>
  <c r="M53" i="23"/>
  <c r="W88" i="23"/>
  <c r="AA48" i="25"/>
  <c r="AA75" i="25"/>
  <c r="L55" i="25"/>
  <c r="AB59" i="23"/>
  <c r="AA59" i="23" s="1"/>
  <c r="S89" i="23"/>
  <c r="O53" i="25"/>
  <c r="W41" i="25"/>
  <c r="T49" i="25"/>
  <c r="W49" i="25" s="1"/>
  <c r="T45" i="25"/>
  <c r="W45" i="25" s="1"/>
  <c r="T46" i="25"/>
  <c r="W46" i="25" s="1"/>
  <c r="T50" i="25"/>
  <c r="W50" i="25" s="1"/>
  <c r="T47" i="25"/>
  <c r="W47" i="25" s="1"/>
  <c r="P53" i="25"/>
  <c r="X41" i="25"/>
  <c r="X50" i="25" s="1"/>
  <c r="AA50" i="25" s="1"/>
  <c r="AA34" i="25"/>
  <c r="AB34" i="25"/>
  <c r="AB41" i="25" s="1"/>
  <c r="AB46" i="25" s="1"/>
  <c r="AB30" i="25"/>
  <c r="AB71" i="25"/>
  <c r="AA71" i="25"/>
  <c r="AB45" i="25"/>
  <c r="AB74" i="25"/>
  <c r="AA74" i="25"/>
  <c r="W44" i="25"/>
  <c r="AA30" i="25"/>
  <c r="AB63" i="25"/>
  <c r="AA63" i="25"/>
  <c r="AB80" i="25"/>
  <c r="AA80" i="25"/>
  <c r="K55" i="25"/>
  <c r="X66" i="25"/>
  <c r="AA66" i="25" s="1"/>
  <c r="AA59" i="25"/>
  <c r="AB59" i="25"/>
  <c r="P55" i="25"/>
  <c r="AB69" i="25"/>
  <c r="AA69" i="25" s="1"/>
  <c r="AB70" i="25"/>
  <c r="AA70" i="25" s="1"/>
  <c r="AB65" i="25"/>
  <c r="AA65" i="25"/>
  <c r="AB78" i="25"/>
  <c r="AA78" i="25"/>
  <c r="AB76" i="25"/>
  <c r="AA76" i="25"/>
  <c r="AB64" i="25"/>
  <c r="AA64" i="25"/>
  <c r="S66" i="24"/>
  <c r="AA28" i="24"/>
  <c r="AB28" i="24"/>
  <c r="AB21" i="24"/>
  <c r="AA21" i="24"/>
  <c r="AB63" i="24"/>
  <c r="AA63" i="24"/>
  <c r="T44" i="24"/>
  <c r="W30" i="24"/>
  <c r="AB75" i="24"/>
  <c r="AA75" i="24"/>
  <c r="AB78" i="24"/>
  <c r="AA78" i="24"/>
  <c r="AB72" i="24"/>
  <c r="AA72" i="24"/>
  <c r="AB70" i="24"/>
  <c r="AA70" i="24"/>
  <c r="AA26" i="24"/>
  <c r="AB26" i="24"/>
  <c r="AB71" i="24"/>
  <c r="AA71" i="24"/>
  <c r="AB76" i="24"/>
  <c r="AA76" i="24"/>
  <c r="AB65" i="24"/>
  <c r="AA65" i="24"/>
  <c r="X66" i="24"/>
  <c r="AB59" i="24"/>
  <c r="AA59" i="24" s="1"/>
  <c r="T45" i="24"/>
  <c r="W45" i="24" s="1"/>
  <c r="T49" i="24"/>
  <c r="W49" i="24" s="1"/>
  <c r="T46" i="24"/>
  <c r="W46" i="24" s="1"/>
  <c r="T47" i="24"/>
  <c r="W47" i="24" s="1"/>
  <c r="T50" i="24"/>
  <c r="W50" i="24" s="1"/>
  <c r="W41" i="24"/>
  <c r="O53" i="24"/>
  <c r="L55" i="24"/>
  <c r="X30" i="24"/>
  <c r="AB80" i="24"/>
  <c r="AA80" i="24"/>
  <c r="AB69" i="24"/>
  <c r="AA69" i="24" s="1"/>
  <c r="S44" i="24"/>
  <c r="P53" i="24"/>
  <c r="AA24" i="24"/>
  <c r="AB24" i="24"/>
  <c r="AB79" i="24"/>
  <c r="AA79" i="24"/>
  <c r="AA60" i="24"/>
  <c r="AB60" i="24"/>
  <c r="AB73" i="24"/>
  <c r="AA73" i="24"/>
  <c r="AB61" i="24"/>
  <c r="AA61" i="24"/>
  <c r="AB77" i="24"/>
  <c r="AA77" i="24"/>
  <c r="AB74" i="24"/>
  <c r="AA74" i="24"/>
  <c r="X41" i="24"/>
  <c r="AB33" i="24"/>
  <c r="AB41" i="24" s="1"/>
  <c r="AA33" i="24"/>
  <c r="S69" i="23"/>
  <c r="K53" i="23"/>
  <c r="L55" i="23"/>
  <c r="O50" i="23"/>
  <c r="H13" i="23"/>
  <c r="G55" i="23"/>
  <c r="O49" i="23"/>
  <c r="O45" i="23"/>
  <c r="O47" i="23"/>
  <c r="O46" i="23"/>
  <c r="X89" i="23"/>
  <c r="AB72" i="23"/>
  <c r="AA72" i="23" s="1"/>
  <c r="AB80" i="23"/>
  <c r="AA80" i="23" s="1"/>
  <c r="AB63" i="23"/>
  <c r="AA63" i="23" s="1"/>
  <c r="AB76" i="23"/>
  <c r="AA76" i="23" s="1"/>
  <c r="AA30" i="23"/>
  <c r="AB78" i="23"/>
  <c r="AA78" i="23" s="1"/>
  <c r="W44" i="23"/>
  <c r="AB61" i="23"/>
  <c r="AA61" i="23" s="1"/>
  <c r="AB68" i="23"/>
  <c r="AA68" i="23"/>
  <c r="AB82" i="23"/>
  <c r="AA82" i="23" s="1"/>
  <c r="AB74" i="23"/>
  <c r="AA74" i="23" s="1"/>
  <c r="T49" i="23"/>
  <c r="S49" i="23" s="1"/>
  <c r="T46" i="23"/>
  <c r="S46" i="23" s="1"/>
  <c r="T50" i="23"/>
  <c r="T47" i="23"/>
  <c r="S47" i="23" s="1"/>
  <c r="T45" i="23"/>
  <c r="S45" i="23" s="1"/>
  <c r="AB64" i="23"/>
  <c r="AA64" i="23" s="1"/>
  <c r="P53" i="23"/>
  <c r="Q53" i="23" s="1"/>
  <c r="AB62" i="23"/>
  <c r="AA62" i="23" s="1"/>
  <c r="AB30" i="23"/>
  <c r="AB34" i="23"/>
  <c r="AB41" i="23" s="1"/>
  <c r="X41" i="23"/>
  <c r="W41" i="23" s="1"/>
  <c r="X69" i="23"/>
  <c r="AB88" i="23"/>
  <c r="AA88" i="23"/>
  <c r="AB60" i="23"/>
  <c r="AA60" i="23" s="1"/>
  <c r="X47" i="25" l="1"/>
  <c r="AA47" i="25" s="1"/>
  <c r="D181" i="31"/>
  <c r="D172" i="31"/>
  <c r="D174" i="31" s="1"/>
  <c r="H7" i="31" s="1"/>
  <c r="L13" i="23"/>
  <c r="L109" i="23" s="1"/>
  <c r="L110" i="23" s="1"/>
  <c r="M55" i="23"/>
  <c r="AA34" i="23"/>
  <c r="O55" i="25"/>
  <c r="O53" i="23"/>
  <c r="P108" i="23"/>
  <c r="W89" i="23"/>
  <c r="X49" i="25"/>
  <c r="AA49" i="25" s="1"/>
  <c r="AB50" i="25"/>
  <c r="S53" i="25"/>
  <c r="T53" i="25"/>
  <c r="AB47" i="25"/>
  <c r="X45" i="25"/>
  <c r="AA45" i="25" s="1"/>
  <c r="X46" i="25"/>
  <c r="AA46" i="25" s="1"/>
  <c r="AA41" i="25"/>
  <c r="AB49" i="25"/>
  <c r="S55" i="25"/>
  <c r="AB66" i="25"/>
  <c r="T55" i="25"/>
  <c r="W66" i="24"/>
  <c r="AB30" i="24"/>
  <c r="AB47" i="24" s="1"/>
  <c r="AB66" i="24"/>
  <c r="AA66" i="24" s="1"/>
  <c r="X50" i="24"/>
  <c r="AA50" i="24" s="1"/>
  <c r="X47" i="24"/>
  <c r="AA47" i="24" s="1"/>
  <c r="X45" i="24"/>
  <c r="AA45" i="24" s="1"/>
  <c r="AA41" i="24"/>
  <c r="X49" i="24"/>
  <c r="AA49" i="24" s="1"/>
  <c r="X46" i="24"/>
  <c r="AA46" i="24" s="1"/>
  <c r="O55" i="24"/>
  <c r="AA30" i="24"/>
  <c r="T53" i="24"/>
  <c r="W44" i="24"/>
  <c r="AB49" i="24"/>
  <c r="AB46" i="24"/>
  <c r="AB45" i="24"/>
  <c r="P55" i="24"/>
  <c r="S53" i="24"/>
  <c r="H109" i="23"/>
  <c r="H110" i="23" s="1"/>
  <c r="H98" i="23"/>
  <c r="W69" i="23"/>
  <c r="AB69" i="23"/>
  <c r="AA69" i="23" s="1"/>
  <c r="K55" i="23"/>
  <c r="K13" i="23"/>
  <c r="S50" i="23"/>
  <c r="X45" i="23"/>
  <c r="W45" i="23" s="1"/>
  <c r="X49" i="23"/>
  <c r="X46" i="23"/>
  <c r="W46" i="23" s="1"/>
  <c r="X50" i="23"/>
  <c r="X47" i="23"/>
  <c r="AA41" i="23"/>
  <c r="P55" i="23"/>
  <c r="Q55" i="23" s="1"/>
  <c r="AB45" i="23"/>
  <c r="AB49" i="23"/>
  <c r="AB46" i="23"/>
  <c r="AB50" i="23"/>
  <c r="AB47" i="23"/>
  <c r="T53" i="23"/>
  <c r="AB89" i="23"/>
  <c r="L98" i="23" l="1"/>
  <c r="M98" i="23" s="1"/>
  <c r="AA89" i="23"/>
  <c r="S53" i="23"/>
  <c r="T108" i="23"/>
  <c r="W53" i="25"/>
  <c r="W55" i="25"/>
  <c r="AB50" i="24"/>
  <c r="W53" i="24"/>
  <c r="T55" i="24"/>
  <c r="S55" i="24"/>
  <c r="H111" i="23"/>
  <c r="AA50" i="23"/>
  <c r="AA49" i="23"/>
  <c r="AA47" i="23"/>
  <c r="AA45" i="23"/>
  <c r="W47" i="23"/>
  <c r="P13" i="23"/>
  <c r="O55" i="23"/>
  <c r="AA46" i="23"/>
  <c r="W49" i="23"/>
  <c r="W50" i="23"/>
  <c r="T55" i="23"/>
  <c r="T13" i="23" s="1"/>
  <c r="L111" i="23" l="1"/>
  <c r="K98" i="23"/>
  <c r="O13" i="23"/>
  <c r="P109" i="23"/>
  <c r="P110" i="23" s="1"/>
  <c r="P98" i="23"/>
  <c r="Q98" i="23" s="1"/>
  <c r="T109" i="23"/>
  <c r="T110" i="23" s="1"/>
  <c r="T98" i="23"/>
  <c r="T10" i="23" s="1"/>
  <c r="W55" i="24"/>
  <c r="S13" i="23"/>
  <c r="S55" i="23"/>
  <c r="T111" i="23" l="1"/>
  <c r="W13" i="23"/>
  <c r="S98" i="23"/>
  <c r="O98" i="23"/>
  <c r="P111" i="23"/>
  <c r="T11" i="23"/>
  <c r="T100" i="23" s="1"/>
  <c r="W100" i="23" l="1"/>
  <c r="T15" i="23"/>
  <c r="T70" i="21" l="1"/>
  <c r="G70" i="21"/>
  <c r="L69" i="21"/>
  <c r="P69" i="21" s="1"/>
  <c r="T69" i="21" s="1"/>
  <c r="P9" i="21"/>
  <c r="T9" i="21" s="1"/>
  <c r="S9" i="21" s="1"/>
  <c r="L9" i="21"/>
  <c r="AC81" i="21"/>
  <c r="Y81" i="21"/>
  <c r="U81" i="21"/>
  <c r="Q81" i="21"/>
  <c r="M81" i="21"/>
  <c r="I81" i="21"/>
  <c r="AC80" i="21"/>
  <c r="Y80" i="21"/>
  <c r="U80" i="21"/>
  <c r="Q80" i="21"/>
  <c r="M80" i="21"/>
  <c r="I80" i="21"/>
  <c r="H80" i="21" s="1"/>
  <c r="G80" i="21"/>
  <c r="AC79" i="21"/>
  <c r="Y79" i="21"/>
  <c r="U79" i="21"/>
  <c r="Q79" i="21"/>
  <c r="M79" i="21"/>
  <c r="I79" i="21"/>
  <c r="H79" i="21" s="1"/>
  <c r="G79" i="21"/>
  <c r="AC78" i="21"/>
  <c r="Y78" i="21"/>
  <c r="U78" i="21"/>
  <c r="Q78" i="21"/>
  <c r="M78" i="21"/>
  <c r="I78" i="21"/>
  <c r="H78" i="21" s="1"/>
  <c r="G78" i="21"/>
  <c r="AC77" i="21"/>
  <c r="Y77" i="21"/>
  <c r="U77" i="21"/>
  <c r="Q77" i="21"/>
  <c r="M77" i="21"/>
  <c r="I77" i="21"/>
  <c r="H77" i="21" s="1"/>
  <c r="G77" i="21"/>
  <c r="AC76" i="21"/>
  <c r="Y76" i="21"/>
  <c r="U76" i="21"/>
  <c r="Q76" i="21"/>
  <c r="M76" i="21"/>
  <c r="I76" i="21"/>
  <c r="H76" i="21" s="1"/>
  <c r="G76" i="21"/>
  <c r="AC75" i="21"/>
  <c r="Y75" i="21"/>
  <c r="U75" i="21"/>
  <c r="Q75" i="21"/>
  <c r="M75" i="21"/>
  <c r="I75" i="21"/>
  <c r="H75" i="21" s="1"/>
  <c r="G75" i="21"/>
  <c r="AC74" i="21"/>
  <c r="Y74" i="21"/>
  <c r="U74" i="21"/>
  <c r="Q74" i="21"/>
  <c r="M74" i="21"/>
  <c r="I74" i="21"/>
  <c r="H74" i="21" s="1"/>
  <c r="G74" i="21"/>
  <c r="AC73" i="21"/>
  <c r="Y73" i="21"/>
  <c r="U73" i="21"/>
  <c r="Q73" i="21"/>
  <c r="M73" i="21"/>
  <c r="I73" i="21"/>
  <c r="H73" i="21" s="1"/>
  <c r="G73" i="21"/>
  <c r="AC72" i="21"/>
  <c r="Y72" i="21"/>
  <c r="U72" i="21"/>
  <c r="Q72" i="21"/>
  <c r="M72" i="21"/>
  <c r="I72" i="21"/>
  <c r="H72" i="21" s="1"/>
  <c r="G72" i="21"/>
  <c r="AC71" i="21"/>
  <c r="Y71" i="21"/>
  <c r="U71" i="21"/>
  <c r="Q71" i="21"/>
  <c r="M71" i="21"/>
  <c r="I71" i="21"/>
  <c r="H71" i="21" s="1"/>
  <c r="G71" i="21"/>
  <c r="AC70" i="21"/>
  <c r="Y70" i="21"/>
  <c r="AC69" i="21"/>
  <c r="Y69" i="21"/>
  <c r="D66" i="21"/>
  <c r="F44" i="26" s="1"/>
  <c r="AC65" i="21"/>
  <c r="Y65" i="21"/>
  <c r="U65" i="21"/>
  <c r="Q65" i="21"/>
  <c r="M65" i="21"/>
  <c r="I65" i="21"/>
  <c r="H65" i="21" s="1"/>
  <c r="G65" i="21"/>
  <c r="AC64" i="21"/>
  <c r="Y64" i="21"/>
  <c r="U64" i="21"/>
  <c r="Q64" i="21"/>
  <c r="M64" i="21"/>
  <c r="I64" i="21"/>
  <c r="H64" i="21" s="1"/>
  <c r="G64" i="21"/>
  <c r="AC63" i="21"/>
  <c r="Y63" i="21"/>
  <c r="U63" i="21"/>
  <c r="Q63" i="21"/>
  <c r="M63" i="21"/>
  <c r="I63" i="21"/>
  <c r="H63" i="21" s="1"/>
  <c r="G63" i="21"/>
  <c r="AC62" i="21"/>
  <c r="Y62" i="21"/>
  <c r="U62" i="21"/>
  <c r="Q62" i="21"/>
  <c r="M62" i="21"/>
  <c r="I62" i="21"/>
  <c r="H62" i="21" s="1"/>
  <c r="G62" i="21"/>
  <c r="AC61" i="21"/>
  <c r="Y61" i="21"/>
  <c r="U61" i="21"/>
  <c r="Q61" i="21"/>
  <c r="M61" i="21"/>
  <c r="I61" i="21"/>
  <c r="H61" i="21" s="1"/>
  <c r="G61" i="21"/>
  <c r="AC60" i="21"/>
  <c r="Y60" i="21"/>
  <c r="AC59" i="21"/>
  <c r="Y59" i="21"/>
  <c r="D53" i="21"/>
  <c r="G53" i="21" s="1"/>
  <c r="H52" i="21"/>
  <c r="K52" i="21" s="1"/>
  <c r="G52" i="21"/>
  <c r="L51" i="21"/>
  <c r="P51" i="21" s="1"/>
  <c r="H51" i="21"/>
  <c r="K51" i="21" s="1"/>
  <c r="G51" i="21"/>
  <c r="AC50" i="21"/>
  <c r="Y50" i="21"/>
  <c r="U50" i="21"/>
  <c r="Q50" i="21"/>
  <c r="M50" i="21"/>
  <c r="I50" i="21"/>
  <c r="G50" i="21"/>
  <c r="E50" i="21"/>
  <c r="AC49" i="21"/>
  <c r="Y49" i="21"/>
  <c r="U49" i="21"/>
  <c r="Q49" i="21"/>
  <c r="M49" i="21"/>
  <c r="I49" i="21"/>
  <c r="G49" i="21"/>
  <c r="E49" i="21"/>
  <c r="AC48" i="21"/>
  <c r="Y48" i="21"/>
  <c r="U48" i="21"/>
  <c r="Q48" i="21"/>
  <c r="M48" i="21"/>
  <c r="I48" i="21"/>
  <c r="H48" i="21" s="1"/>
  <c r="K48" i="21" s="1"/>
  <c r="G48" i="21"/>
  <c r="AC47" i="21"/>
  <c r="Y47" i="21"/>
  <c r="U47" i="21"/>
  <c r="Q47" i="21"/>
  <c r="M47" i="21"/>
  <c r="I47" i="21"/>
  <c r="G47" i="21"/>
  <c r="E47" i="21"/>
  <c r="AC46" i="21"/>
  <c r="Y46" i="21"/>
  <c r="U46" i="21"/>
  <c r="Q46" i="21"/>
  <c r="M46" i="21"/>
  <c r="I46" i="21"/>
  <c r="G46" i="21"/>
  <c r="E46" i="21"/>
  <c r="AC45" i="21"/>
  <c r="Y45" i="21"/>
  <c r="U45" i="21"/>
  <c r="Q45" i="21"/>
  <c r="M45" i="21"/>
  <c r="I45" i="21"/>
  <c r="G45" i="21"/>
  <c r="E45" i="21"/>
  <c r="U44" i="21"/>
  <c r="Q44" i="21"/>
  <c r="M44" i="21"/>
  <c r="I44" i="21"/>
  <c r="G44" i="21"/>
  <c r="E44" i="21"/>
  <c r="D41" i="21"/>
  <c r="G41" i="21" s="1"/>
  <c r="AC39" i="21"/>
  <c r="Y39" i="21"/>
  <c r="U39" i="21"/>
  <c r="Q39" i="21"/>
  <c r="M39" i="21"/>
  <c r="I39" i="21"/>
  <c r="H39" i="21"/>
  <c r="L39" i="21" s="1"/>
  <c r="P39" i="21" s="1"/>
  <c r="G39" i="21"/>
  <c r="AC38" i="21"/>
  <c r="Y38" i="21"/>
  <c r="U38" i="21"/>
  <c r="Q38" i="21"/>
  <c r="M38" i="21"/>
  <c r="L38" i="21"/>
  <c r="O38" i="21" s="1"/>
  <c r="I38" i="21"/>
  <c r="H38" i="21"/>
  <c r="K38" i="21" s="1"/>
  <c r="G38" i="21"/>
  <c r="AC37" i="21"/>
  <c r="Y37" i="21"/>
  <c r="U37" i="21"/>
  <c r="Q37" i="21"/>
  <c r="M37" i="21"/>
  <c r="I37" i="21"/>
  <c r="H37" i="21"/>
  <c r="K37" i="21" s="1"/>
  <c r="G37" i="21"/>
  <c r="AC36" i="21"/>
  <c r="Y36" i="21"/>
  <c r="U36" i="21"/>
  <c r="Q36" i="21"/>
  <c r="M36" i="21"/>
  <c r="I36" i="21"/>
  <c r="H36" i="21"/>
  <c r="K36" i="21" s="1"/>
  <c r="G36" i="21"/>
  <c r="AC35" i="21"/>
  <c r="Y35" i="21"/>
  <c r="U35" i="21"/>
  <c r="Q35" i="21"/>
  <c r="M35" i="21"/>
  <c r="L35" i="21"/>
  <c r="O35" i="21" s="1"/>
  <c r="I35" i="21"/>
  <c r="H35" i="21"/>
  <c r="K35" i="21" s="1"/>
  <c r="G35" i="21"/>
  <c r="AC34" i="21"/>
  <c r="Y34" i="21"/>
  <c r="U34" i="21"/>
  <c r="Q34" i="21"/>
  <c r="M34" i="21"/>
  <c r="I34" i="21"/>
  <c r="H34" i="21"/>
  <c r="H41" i="21" s="1"/>
  <c r="G34" i="21"/>
  <c r="AC33" i="21"/>
  <c r="Y33" i="21"/>
  <c r="U33" i="21"/>
  <c r="Q33" i="21"/>
  <c r="M33" i="21"/>
  <c r="L33" i="21"/>
  <c r="O33" i="21" s="1"/>
  <c r="I33" i="21"/>
  <c r="H33" i="21"/>
  <c r="K33" i="21" s="1"/>
  <c r="G33" i="21"/>
  <c r="D30" i="21"/>
  <c r="G30" i="21" s="1"/>
  <c r="AC28" i="21"/>
  <c r="Y28" i="21"/>
  <c r="U28" i="21"/>
  <c r="Q28" i="21"/>
  <c r="M28" i="21"/>
  <c r="I28" i="21"/>
  <c r="H28" i="21"/>
  <c r="G28" i="21"/>
  <c r="AC27" i="21"/>
  <c r="Y27" i="21"/>
  <c r="U27" i="21"/>
  <c r="Q27" i="21"/>
  <c r="M27" i="21"/>
  <c r="I27" i="21"/>
  <c r="H27" i="21"/>
  <c r="K27" i="21" s="1"/>
  <c r="G27" i="21"/>
  <c r="AC26" i="21"/>
  <c r="Y26" i="21"/>
  <c r="U26" i="21"/>
  <c r="Q26" i="21"/>
  <c r="M26" i="21"/>
  <c r="I26" i="21"/>
  <c r="H26" i="21"/>
  <c r="G26" i="21"/>
  <c r="AC25" i="21"/>
  <c r="Y25" i="21"/>
  <c r="U25" i="21"/>
  <c r="Q25" i="21"/>
  <c r="M25" i="21"/>
  <c r="L25" i="21"/>
  <c r="O25" i="21" s="1"/>
  <c r="I25" i="21"/>
  <c r="H25" i="21"/>
  <c r="K25" i="21" s="1"/>
  <c r="G25" i="21"/>
  <c r="AC24" i="21"/>
  <c r="Y24" i="21"/>
  <c r="U24" i="21"/>
  <c r="Q24" i="21"/>
  <c r="M24" i="21"/>
  <c r="I24" i="21"/>
  <c r="H24" i="21"/>
  <c r="G24" i="21"/>
  <c r="AC23" i="21"/>
  <c r="Y23" i="21"/>
  <c r="U23" i="21"/>
  <c r="Q23" i="21"/>
  <c r="M23" i="21"/>
  <c r="K23" i="21"/>
  <c r="I23" i="21"/>
  <c r="H23" i="21"/>
  <c r="L23" i="21" s="1"/>
  <c r="G23" i="21"/>
  <c r="AC22" i="21"/>
  <c r="Y22" i="21"/>
  <c r="U22" i="21"/>
  <c r="Q22" i="21"/>
  <c r="M22" i="21"/>
  <c r="I22" i="21"/>
  <c r="H22" i="21"/>
  <c r="G22" i="21"/>
  <c r="AC21" i="21"/>
  <c r="Y21" i="21"/>
  <c r="U21" i="21"/>
  <c r="Q21" i="21"/>
  <c r="M21" i="21"/>
  <c r="I21" i="21"/>
  <c r="H21" i="21"/>
  <c r="H30" i="21" s="1"/>
  <c r="G21" i="21"/>
  <c r="D11" i="21"/>
  <c r="AB10" i="21"/>
  <c r="X10" i="21"/>
  <c r="AA10" i="21" s="1"/>
  <c r="T10" i="21"/>
  <c r="W10" i="21" s="1"/>
  <c r="P10" i="21"/>
  <c r="G10" i="21"/>
  <c r="AB9" i="21"/>
  <c r="AB11" i="21" s="1"/>
  <c r="H6" i="21"/>
  <c r="L6" i="21" s="1"/>
  <c r="P6" i="21" s="1"/>
  <c r="T6" i="21" s="1"/>
  <c r="X6" i="21" s="1"/>
  <c r="AB6" i="21" s="1"/>
  <c r="AB3" i="21"/>
  <c r="X3" i="21"/>
  <c r="X9" i="21" s="1"/>
  <c r="T3" i="21"/>
  <c r="P3" i="21"/>
  <c r="L3" i="21"/>
  <c r="H3" i="21"/>
  <c r="D3" i="21"/>
  <c r="AC77" i="20"/>
  <c r="Y77" i="20"/>
  <c r="U77" i="20"/>
  <c r="Q77" i="20"/>
  <c r="M77" i="20"/>
  <c r="I77" i="20"/>
  <c r="AC76" i="20"/>
  <c r="Y76" i="20"/>
  <c r="U76" i="20"/>
  <c r="Q76" i="20"/>
  <c r="M76" i="20"/>
  <c r="I76" i="20"/>
  <c r="H76" i="20" s="1"/>
  <c r="G76" i="20"/>
  <c r="AC75" i="20"/>
  <c r="Y75" i="20"/>
  <c r="U75" i="20"/>
  <c r="Q75" i="20"/>
  <c r="M75" i="20"/>
  <c r="I75" i="20"/>
  <c r="H75" i="20" s="1"/>
  <c r="G75" i="20"/>
  <c r="AC74" i="20"/>
  <c r="Y74" i="20"/>
  <c r="U74" i="20"/>
  <c r="Q74" i="20"/>
  <c r="M74" i="20"/>
  <c r="I74" i="20"/>
  <c r="H74" i="20" s="1"/>
  <c r="G74" i="20"/>
  <c r="AC73" i="20"/>
  <c r="Y73" i="20"/>
  <c r="U73" i="20"/>
  <c r="Q73" i="20"/>
  <c r="M73" i="20"/>
  <c r="I73" i="20"/>
  <c r="H73" i="20" s="1"/>
  <c r="G73" i="20"/>
  <c r="AC72" i="20"/>
  <c r="Y72" i="20"/>
  <c r="U72" i="20"/>
  <c r="Q72" i="20"/>
  <c r="M72" i="20"/>
  <c r="I72" i="20"/>
  <c r="H72" i="20" s="1"/>
  <c r="G72" i="20"/>
  <c r="AC71" i="20"/>
  <c r="Y71" i="20"/>
  <c r="U71" i="20"/>
  <c r="Q71" i="20"/>
  <c r="M71" i="20"/>
  <c r="I71" i="20"/>
  <c r="H71" i="20" s="1"/>
  <c r="G71" i="20"/>
  <c r="AC70" i="20"/>
  <c r="Y70" i="20"/>
  <c r="U70" i="20"/>
  <c r="Q70" i="20"/>
  <c r="M70" i="20"/>
  <c r="I70" i="20"/>
  <c r="H70" i="20" s="1"/>
  <c r="G70" i="20"/>
  <c r="AC69" i="20"/>
  <c r="Y69" i="20"/>
  <c r="U69" i="20"/>
  <c r="Q69" i="20"/>
  <c r="M69" i="20"/>
  <c r="I69" i="20"/>
  <c r="H69" i="20" s="1"/>
  <c r="G69" i="20"/>
  <c r="AC68" i="20"/>
  <c r="Y68" i="20"/>
  <c r="U68" i="20"/>
  <c r="Q68" i="20"/>
  <c r="M68" i="20"/>
  <c r="I68" i="20"/>
  <c r="H68" i="20" s="1"/>
  <c r="G68" i="20"/>
  <c r="AC67" i="20"/>
  <c r="Y67" i="20"/>
  <c r="U67" i="20"/>
  <c r="Q67" i="20"/>
  <c r="M67" i="20"/>
  <c r="I67" i="20"/>
  <c r="H67" i="20" s="1"/>
  <c r="G67" i="20"/>
  <c r="AC66" i="20"/>
  <c r="Y66" i="20"/>
  <c r="U66" i="20"/>
  <c r="Q66" i="20"/>
  <c r="M66" i="20"/>
  <c r="I66" i="20"/>
  <c r="H66" i="20" s="1"/>
  <c r="G66" i="20"/>
  <c r="AC65" i="20"/>
  <c r="Y65" i="20"/>
  <c r="U65" i="20"/>
  <c r="Q65" i="20"/>
  <c r="M65" i="20"/>
  <c r="I65" i="20"/>
  <c r="H65" i="20" s="1"/>
  <c r="G65" i="20"/>
  <c r="D62" i="20"/>
  <c r="G60" i="20"/>
  <c r="G59" i="20"/>
  <c r="D53" i="20"/>
  <c r="G53" i="20" s="1"/>
  <c r="H52" i="20"/>
  <c r="K52" i="20" s="1"/>
  <c r="G52" i="20"/>
  <c r="H51" i="20"/>
  <c r="K51" i="20" s="1"/>
  <c r="G51" i="20"/>
  <c r="AC50" i="20"/>
  <c r="Y50" i="20"/>
  <c r="U50" i="20"/>
  <c r="Q50" i="20"/>
  <c r="M50" i="20"/>
  <c r="I50" i="20"/>
  <c r="G50" i="20"/>
  <c r="E50" i="20"/>
  <c r="AC49" i="20"/>
  <c r="Y49" i="20"/>
  <c r="U49" i="20"/>
  <c r="Q49" i="20"/>
  <c r="M49" i="20"/>
  <c r="I49" i="20"/>
  <c r="G49" i="20"/>
  <c r="E49" i="20"/>
  <c r="AC48" i="20"/>
  <c r="Y48" i="20"/>
  <c r="U48" i="20"/>
  <c r="Q48" i="20"/>
  <c r="M48" i="20"/>
  <c r="I48" i="20"/>
  <c r="H48" i="20" s="1"/>
  <c r="G48" i="20"/>
  <c r="AC47" i="20"/>
  <c r="Y47" i="20"/>
  <c r="U47" i="20"/>
  <c r="Q47" i="20"/>
  <c r="M47" i="20"/>
  <c r="I47" i="20"/>
  <c r="G47" i="20"/>
  <c r="E47" i="20"/>
  <c r="AC46" i="20"/>
  <c r="Y46" i="20"/>
  <c r="U46" i="20"/>
  <c r="Q46" i="20"/>
  <c r="M46" i="20"/>
  <c r="I46" i="20"/>
  <c r="G46" i="20"/>
  <c r="E46" i="20"/>
  <c r="AC45" i="20"/>
  <c r="Y45" i="20"/>
  <c r="U45" i="20"/>
  <c r="Q45" i="20"/>
  <c r="M45" i="20"/>
  <c r="I45" i="20"/>
  <c r="G45" i="20"/>
  <c r="E45" i="20"/>
  <c r="U44" i="20"/>
  <c r="Q44" i="20"/>
  <c r="M44" i="20"/>
  <c r="I44" i="20"/>
  <c r="G44" i="20"/>
  <c r="E44" i="20"/>
  <c r="D41" i="20"/>
  <c r="G41" i="20" s="1"/>
  <c r="AC39" i="20"/>
  <c r="Y39" i="20"/>
  <c r="U39" i="20"/>
  <c r="Q39" i="20"/>
  <c r="M39" i="20"/>
  <c r="I39" i="20"/>
  <c r="H39" i="20"/>
  <c r="G39" i="20"/>
  <c r="AC38" i="20"/>
  <c r="Y38" i="20"/>
  <c r="U38" i="20"/>
  <c r="Q38" i="20"/>
  <c r="M38" i="20"/>
  <c r="I38" i="20"/>
  <c r="H38" i="20"/>
  <c r="L38" i="20" s="1"/>
  <c r="O38" i="20" s="1"/>
  <c r="G38" i="20"/>
  <c r="AC37" i="20"/>
  <c r="Y37" i="20"/>
  <c r="U37" i="20"/>
  <c r="Q37" i="20"/>
  <c r="M37" i="20"/>
  <c r="I37" i="20"/>
  <c r="H37" i="20"/>
  <c r="G37" i="20"/>
  <c r="AC36" i="20"/>
  <c r="Y36" i="20"/>
  <c r="U36" i="20"/>
  <c r="Q36" i="20"/>
  <c r="M36" i="20"/>
  <c r="I36" i="20"/>
  <c r="H36" i="20"/>
  <c r="L36" i="20" s="1"/>
  <c r="O36" i="20" s="1"/>
  <c r="G36" i="20"/>
  <c r="AC35" i="20"/>
  <c r="Y35" i="20"/>
  <c r="U35" i="20"/>
  <c r="Q35" i="20"/>
  <c r="M35" i="20"/>
  <c r="I35" i="20"/>
  <c r="H35" i="20"/>
  <c r="L35" i="20" s="1"/>
  <c r="O35" i="20" s="1"/>
  <c r="G35" i="20"/>
  <c r="AC34" i="20"/>
  <c r="Y34" i="20"/>
  <c r="U34" i="20"/>
  <c r="Q34" i="20"/>
  <c r="M34" i="20"/>
  <c r="I34" i="20"/>
  <c r="H34" i="20"/>
  <c r="K34" i="20" s="1"/>
  <c r="G34" i="20"/>
  <c r="AC33" i="20"/>
  <c r="Y33" i="20"/>
  <c r="U33" i="20"/>
  <c r="Q33" i="20"/>
  <c r="M33" i="20"/>
  <c r="I33" i="20"/>
  <c r="H33" i="20"/>
  <c r="K33" i="20" s="1"/>
  <c r="G33" i="20"/>
  <c r="D30" i="20"/>
  <c r="G30" i="20" s="1"/>
  <c r="AC28" i="20"/>
  <c r="Y28" i="20"/>
  <c r="U28" i="20"/>
  <c r="Q28" i="20"/>
  <c r="M28" i="20"/>
  <c r="I28" i="20"/>
  <c r="H28" i="20"/>
  <c r="K28" i="20" s="1"/>
  <c r="G28" i="20"/>
  <c r="AC27" i="20"/>
  <c r="Y27" i="20"/>
  <c r="U27" i="20"/>
  <c r="Q27" i="20"/>
  <c r="M27" i="20"/>
  <c r="I27" i="20"/>
  <c r="H27" i="20"/>
  <c r="L27" i="20" s="1"/>
  <c r="G27" i="20"/>
  <c r="AC26" i="20"/>
  <c r="Y26" i="20"/>
  <c r="U26" i="20"/>
  <c r="Q26" i="20"/>
  <c r="M26" i="20"/>
  <c r="I26" i="20"/>
  <c r="H26" i="20"/>
  <c r="K26" i="20" s="1"/>
  <c r="G26" i="20"/>
  <c r="AC25" i="20"/>
  <c r="Y25" i="20"/>
  <c r="U25" i="20"/>
  <c r="Q25" i="20"/>
  <c r="M25" i="20"/>
  <c r="I25" i="20"/>
  <c r="H25" i="20"/>
  <c r="K25" i="20" s="1"/>
  <c r="G25" i="20"/>
  <c r="AC24" i="20"/>
  <c r="Y24" i="20"/>
  <c r="U24" i="20"/>
  <c r="Q24" i="20"/>
  <c r="M24" i="20"/>
  <c r="I24" i="20"/>
  <c r="H24" i="20"/>
  <c r="K24" i="20" s="1"/>
  <c r="G24" i="20"/>
  <c r="AC23" i="20"/>
  <c r="Y23" i="20"/>
  <c r="U23" i="20"/>
  <c r="Q23" i="20"/>
  <c r="M23" i="20"/>
  <c r="I23" i="20"/>
  <c r="H23" i="20"/>
  <c r="L23" i="20" s="1"/>
  <c r="G23" i="20"/>
  <c r="AC22" i="20"/>
  <c r="Y22" i="20"/>
  <c r="U22" i="20"/>
  <c r="Q22" i="20"/>
  <c r="M22" i="20"/>
  <c r="I22" i="20"/>
  <c r="H22" i="20"/>
  <c r="K22" i="20" s="1"/>
  <c r="G22" i="20"/>
  <c r="AC21" i="20"/>
  <c r="Y21" i="20"/>
  <c r="U21" i="20"/>
  <c r="Q21" i="20"/>
  <c r="M21" i="20"/>
  <c r="I21" i="20"/>
  <c r="H21" i="20"/>
  <c r="L21" i="20" s="1"/>
  <c r="O21" i="20" s="1"/>
  <c r="G21" i="20"/>
  <c r="G10" i="20"/>
  <c r="D11" i="20"/>
  <c r="H6" i="20"/>
  <c r="L6" i="20" s="1"/>
  <c r="P6" i="20" s="1"/>
  <c r="T6" i="20" s="1"/>
  <c r="X6" i="20" s="1"/>
  <c r="AB6" i="20" s="1"/>
  <c r="AB3" i="20"/>
  <c r="X3" i="20"/>
  <c r="T3" i="20"/>
  <c r="AC81" i="19"/>
  <c r="Y81" i="19"/>
  <c r="U81" i="19"/>
  <c r="Q81" i="19"/>
  <c r="M81" i="19"/>
  <c r="AC80" i="19"/>
  <c r="Y80" i="19"/>
  <c r="U80" i="19"/>
  <c r="Q80" i="19"/>
  <c r="M80" i="19"/>
  <c r="H80" i="19"/>
  <c r="G80" i="19"/>
  <c r="AC79" i="19"/>
  <c r="Y79" i="19"/>
  <c r="U79" i="19"/>
  <c r="Q79" i="19"/>
  <c r="M79" i="19"/>
  <c r="H79" i="19"/>
  <c r="G79" i="19"/>
  <c r="AC78" i="19"/>
  <c r="Y78" i="19"/>
  <c r="U78" i="19"/>
  <c r="Q78" i="19"/>
  <c r="M78" i="19"/>
  <c r="H78" i="19"/>
  <c r="G78" i="19"/>
  <c r="AC77" i="19"/>
  <c r="Y77" i="19"/>
  <c r="U77" i="19"/>
  <c r="Q77" i="19"/>
  <c r="M77" i="19"/>
  <c r="H77" i="19"/>
  <c r="G77" i="19"/>
  <c r="AC76" i="19"/>
  <c r="Y76" i="19"/>
  <c r="U76" i="19"/>
  <c r="Q76" i="19"/>
  <c r="M76" i="19"/>
  <c r="H76" i="19"/>
  <c r="G76" i="19"/>
  <c r="AC75" i="19"/>
  <c r="Y75" i="19"/>
  <c r="U75" i="19"/>
  <c r="Q75" i="19"/>
  <c r="M75" i="19"/>
  <c r="H75" i="19"/>
  <c r="G75" i="19"/>
  <c r="AC74" i="19"/>
  <c r="Y74" i="19"/>
  <c r="U74" i="19"/>
  <c r="Q74" i="19"/>
  <c r="M74" i="19"/>
  <c r="H74" i="19"/>
  <c r="G74" i="19"/>
  <c r="AC73" i="19"/>
  <c r="Y73" i="19"/>
  <c r="U73" i="19"/>
  <c r="Q73" i="19"/>
  <c r="M73" i="19"/>
  <c r="H73" i="19"/>
  <c r="G73" i="19"/>
  <c r="AC72" i="19"/>
  <c r="Y72" i="19"/>
  <c r="U72" i="19"/>
  <c r="Q72" i="19"/>
  <c r="M72" i="19"/>
  <c r="H72" i="19"/>
  <c r="G72" i="19"/>
  <c r="AC71" i="19"/>
  <c r="Y71" i="19"/>
  <c r="U71" i="19"/>
  <c r="Q71" i="19"/>
  <c r="G71" i="19"/>
  <c r="AC70" i="19"/>
  <c r="Y70" i="19"/>
  <c r="U70" i="19"/>
  <c r="Q70" i="19"/>
  <c r="G70" i="19"/>
  <c r="AC69" i="19"/>
  <c r="Y69" i="19"/>
  <c r="U69" i="19"/>
  <c r="Q69" i="19"/>
  <c r="G69" i="19"/>
  <c r="D66" i="19"/>
  <c r="G66" i="19" s="1"/>
  <c r="AC65" i="19"/>
  <c r="Y65" i="19"/>
  <c r="U65" i="19"/>
  <c r="Q65" i="19"/>
  <c r="M65" i="19"/>
  <c r="H65" i="19"/>
  <c r="G65" i="19"/>
  <c r="AC64" i="19"/>
  <c r="Y64" i="19"/>
  <c r="U64" i="19"/>
  <c r="Q64" i="19"/>
  <c r="M64" i="19"/>
  <c r="H64" i="19"/>
  <c r="G64" i="19"/>
  <c r="AC63" i="19"/>
  <c r="Y63" i="19"/>
  <c r="U63" i="19"/>
  <c r="Q63" i="19"/>
  <c r="M63" i="19"/>
  <c r="H63" i="19"/>
  <c r="K63" i="19" s="1"/>
  <c r="G63" i="19"/>
  <c r="AC62" i="19"/>
  <c r="Y62" i="19"/>
  <c r="U62" i="19"/>
  <c r="Q62" i="19"/>
  <c r="M62" i="19"/>
  <c r="H62" i="19"/>
  <c r="G62" i="19"/>
  <c r="AC61" i="19"/>
  <c r="Y61" i="19"/>
  <c r="U61" i="19"/>
  <c r="Q61" i="19"/>
  <c r="M61" i="19"/>
  <c r="H61" i="19"/>
  <c r="K61" i="19" s="1"/>
  <c r="G61" i="19"/>
  <c r="AC60" i="19"/>
  <c r="Y60" i="19"/>
  <c r="U60" i="19"/>
  <c r="Q60" i="19"/>
  <c r="M60" i="19"/>
  <c r="H60" i="19"/>
  <c r="G60" i="19"/>
  <c r="AC59" i="19"/>
  <c r="Y59" i="19"/>
  <c r="U59" i="19"/>
  <c r="Q59" i="19"/>
  <c r="M59" i="19"/>
  <c r="H59" i="19"/>
  <c r="G59" i="19"/>
  <c r="D53" i="19"/>
  <c r="AC50" i="19"/>
  <c r="Y50" i="19"/>
  <c r="U50" i="19"/>
  <c r="Q50" i="19"/>
  <c r="M50" i="19"/>
  <c r="I50" i="19"/>
  <c r="E50" i="19"/>
  <c r="AC49" i="19"/>
  <c r="Y49" i="19"/>
  <c r="U49" i="19"/>
  <c r="Q49" i="19"/>
  <c r="M49" i="19"/>
  <c r="I49" i="19"/>
  <c r="E49" i="19"/>
  <c r="AC48" i="19"/>
  <c r="Y48" i="19"/>
  <c r="U48" i="19"/>
  <c r="Q48" i="19"/>
  <c r="M48" i="19"/>
  <c r="G48" i="19"/>
  <c r="AC47" i="19"/>
  <c r="Y47" i="19"/>
  <c r="U47" i="19"/>
  <c r="Q47" i="19"/>
  <c r="M47" i="19"/>
  <c r="I47" i="19"/>
  <c r="E47" i="19"/>
  <c r="AC46" i="19"/>
  <c r="Y46" i="19"/>
  <c r="U46" i="19"/>
  <c r="Q46" i="19"/>
  <c r="M46" i="19"/>
  <c r="I46" i="19"/>
  <c r="E46" i="19"/>
  <c r="AC45" i="19"/>
  <c r="Y45" i="19"/>
  <c r="U45" i="19"/>
  <c r="Q45" i="19"/>
  <c r="M45" i="19"/>
  <c r="I45" i="19"/>
  <c r="G45" i="19"/>
  <c r="E45" i="19"/>
  <c r="U44" i="19"/>
  <c r="Q44" i="19"/>
  <c r="M44" i="19"/>
  <c r="I44" i="19"/>
  <c r="E44" i="19"/>
  <c r="D41" i="19"/>
  <c r="AC39" i="19"/>
  <c r="Y39" i="19"/>
  <c r="U39" i="19"/>
  <c r="Q39" i="19"/>
  <c r="M39" i="19"/>
  <c r="I39" i="19"/>
  <c r="H39" i="19"/>
  <c r="K39" i="19" s="1"/>
  <c r="G39" i="19"/>
  <c r="AC38" i="19"/>
  <c r="Y38" i="19"/>
  <c r="U38" i="19"/>
  <c r="Q38" i="19"/>
  <c r="M38" i="19"/>
  <c r="I38" i="19"/>
  <c r="H38" i="19"/>
  <c r="K38" i="19" s="1"/>
  <c r="G38" i="19"/>
  <c r="AC37" i="19"/>
  <c r="Y37" i="19"/>
  <c r="U37" i="19"/>
  <c r="Q37" i="19"/>
  <c r="M37" i="19"/>
  <c r="K37" i="19"/>
  <c r="I37" i="19"/>
  <c r="H37" i="19"/>
  <c r="L37" i="19" s="1"/>
  <c r="G37" i="19"/>
  <c r="AC36" i="19"/>
  <c r="Y36" i="19"/>
  <c r="U36" i="19"/>
  <c r="Q36" i="19"/>
  <c r="M36" i="19"/>
  <c r="I36" i="19"/>
  <c r="H36" i="19"/>
  <c r="K36" i="19" s="1"/>
  <c r="G36" i="19"/>
  <c r="AC35" i="19"/>
  <c r="Y35" i="19"/>
  <c r="U35" i="19"/>
  <c r="Q35" i="19"/>
  <c r="M35" i="19"/>
  <c r="I35" i="19"/>
  <c r="H35" i="19"/>
  <c r="K35" i="19" s="1"/>
  <c r="G35" i="19"/>
  <c r="AC34" i="19"/>
  <c r="Y34" i="19"/>
  <c r="U34" i="19"/>
  <c r="Q34" i="19"/>
  <c r="M34" i="19"/>
  <c r="I34" i="19"/>
  <c r="H34" i="19"/>
  <c r="L34" i="19" s="1"/>
  <c r="P34" i="19" s="1"/>
  <c r="T34" i="19" s="1"/>
  <c r="G34" i="19"/>
  <c r="AC33" i="19"/>
  <c r="Y33" i="19"/>
  <c r="U33" i="19"/>
  <c r="Q33" i="19"/>
  <c r="M33" i="19"/>
  <c r="I33" i="19"/>
  <c r="H33" i="19"/>
  <c r="K33" i="19" s="1"/>
  <c r="G33" i="19"/>
  <c r="D30" i="19"/>
  <c r="AC28" i="19"/>
  <c r="Y28" i="19"/>
  <c r="U28" i="19"/>
  <c r="Q28" i="19"/>
  <c r="M28" i="19"/>
  <c r="I28" i="19"/>
  <c r="H28" i="19"/>
  <c r="L28" i="19" s="1"/>
  <c r="O28" i="19" s="1"/>
  <c r="G28" i="19"/>
  <c r="AC27" i="19"/>
  <c r="Y27" i="19"/>
  <c r="U27" i="19"/>
  <c r="Q27" i="19"/>
  <c r="M27" i="19"/>
  <c r="I27" i="19"/>
  <c r="H27" i="19"/>
  <c r="K27" i="19" s="1"/>
  <c r="G27" i="19"/>
  <c r="AC26" i="19"/>
  <c r="Y26" i="19"/>
  <c r="U26" i="19"/>
  <c r="Q26" i="19"/>
  <c r="M26" i="19"/>
  <c r="I26" i="19"/>
  <c r="H26" i="19"/>
  <c r="L26" i="19" s="1"/>
  <c r="O26" i="19" s="1"/>
  <c r="G26" i="19"/>
  <c r="AC25" i="19"/>
  <c r="Y25" i="19"/>
  <c r="U25" i="19"/>
  <c r="Q25" i="19"/>
  <c r="M25" i="19"/>
  <c r="I25" i="19"/>
  <c r="H25" i="19"/>
  <c r="L25" i="19" s="1"/>
  <c r="O25" i="19" s="1"/>
  <c r="G25" i="19"/>
  <c r="AC24" i="19"/>
  <c r="Y24" i="19"/>
  <c r="U24" i="19"/>
  <c r="Q24" i="19"/>
  <c r="M24" i="19"/>
  <c r="I24" i="19"/>
  <c r="H24" i="19"/>
  <c r="L24" i="19" s="1"/>
  <c r="O24" i="19" s="1"/>
  <c r="G24" i="19"/>
  <c r="AC23" i="19"/>
  <c r="Y23" i="19"/>
  <c r="U23" i="19"/>
  <c r="Q23" i="19"/>
  <c r="M23" i="19"/>
  <c r="L23" i="19"/>
  <c r="O23" i="19" s="1"/>
  <c r="I23" i="19"/>
  <c r="H23" i="19"/>
  <c r="K23" i="19" s="1"/>
  <c r="G23" i="19"/>
  <c r="AC22" i="19"/>
  <c r="Y22" i="19"/>
  <c r="U22" i="19"/>
  <c r="P22" i="19"/>
  <c r="AC21" i="19"/>
  <c r="Y21" i="19"/>
  <c r="U21" i="19"/>
  <c r="AB10" i="19"/>
  <c r="X10" i="19"/>
  <c r="AA10" i="19" s="1"/>
  <c r="T10" i="19"/>
  <c r="W10" i="19" s="1"/>
  <c r="P10" i="19"/>
  <c r="S10" i="19" s="1"/>
  <c r="L10" i="19"/>
  <c r="O10" i="19" s="1"/>
  <c r="K10" i="19"/>
  <c r="G10" i="19"/>
  <c r="D9" i="19"/>
  <c r="H6" i="19"/>
  <c r="L6" i="19" s="1"/>
  <c r="P6" i="19" s="1"/>
  <c r="T6" i="19" s="1"/>
  <c r="X6" i="19" s="1"/>
  <c r="AB6" i="19" s="1"/>
  <c r="AB3" i="19"/>
  <c r="AB9" i="19" s="1"/>
  <c r="X3" i="19"/>
  <c r="X9" i="19" s="1"/>
  <c r="T3" i="19"/>
  <c r="T9" i="19" s="1"/>
  <c r="W9" i="19" s="1"/>
  <c r="P9" i="19"/>
  <c r="L9" i="19"/>
  <c r="H9" i="19"/>
  <c r="AC81" i="18"/>
  <c r="Y81" i="18"/>
  <c r="U81" i="18"/>
  <c r="Q81" i="18"/>
  <c r="M81" i="18"/>
  <c r="I81" i="18"/>
  <c r="AC80" i="18"/>
  <c r="Y80" i="18"/>
  <c r="U80" i="18"/>
  <c r="Q80" i="18"/>
  <c r="M80" i="18"/>
  <c r="I80" i="18"/>
  <c r="H80" i="18" s="1"/>
  <c r="G80" i="18"/>
  <c r="AC79" i="18"/>
  <c r="Y79" i="18"/>
  <c r="U79" i="18"/>
  <c r="Q79" i="18"/>
  <c r="M79" i="18"/>
  <c r="I79" i="18"/>
  <c r="H79" i="18" s="1"/>
  <c r="G79" i="18"/>
  <c r="AC78" i="18"/>
  <c r="Y78" i="18"/>
  <c r="U78" i="18"/>
  <c r="Q78" i="18"/>
  <c r="M78" i="18"/>
  <c r="I78" i="18"/>
  <c r="H78" i="18" s="1"/>
  <c r="G78" i="18"/>
  <c r="AC77" i="18"/>
  <c r="Y77" i="18"/>
  <c r="U77" i="18"/>
  <c r="Q77" i="18"/>
  <c r="M77" i="18"/>
  <c r="I77" i="18"/>
  <c r="H77" i="18" s="1"/>
  <c r="G77" i="18"/>
  <c r="AC76" i="18"/>
  <c r="Y76" i="18"/>
  <c r="U76" i="18"/>
  <c r="Q76" i="18"/>
  <c r="M76" i="18"/>
  <c r="I76" i="18"/>
  <c r="H76" i="18" s="1"/>
  <c r="G76" i="18"/>
  <c r="AC75" i="18"/>
  <c r="Y75" i="18"/>
  <c r="U75" i="18"/>
  <c r="Q75" i="18"/>
  <c r="M75" i="18"/>
  <c r="I75" i="18"/>
  <c r="H75" i="18" s="1"/>
  <c r="G75" i="18"/>
  <c r="AC74" i="18"/>
  <c r="Y74" i="18"/>
  <c r="U74" i="18"/>
  <c r="Q74" i="18"/>
  <c r="M74" i="18"/>
  <c r="I74" i="18"/>
  <c r="H74" i="18" s="1"/>
  <c r="G74" i="18"/>
  <c r="AC73" i="18"/>
  <c r="Y73" i="18"/>
  <c r="U73" i="18"/>
  <c r="Q73" i="18"/>
  <c r="M73" i="18"/>
  <c r="I73" i="18"/>
  <c r="H73" i="18" s="1"/>
  <c r="G73" i="18"/>
  <c r="AC72" i="18"/>
  <c r="Y72" i="18"/>
  <c r="U72" i="18"/>
  <c r="Q72" i="18"/>
  <c r="M72" i="18"/>
  <c r="I72" i="18"/>
  <c r="H72" i="18" s="1"/>
  <c r="G72" i="18"/>
  <c r="AC71" i="18"/>
  <c r="Y71" i="18"/>
  <c r="U71" i="18"/>
  <c r="Q71" i="18"/>
  <c r="M71" i="18"/>
  <c r="I71" i="18"/>
  <c r="H71" i="18" s="1"/>
  <c r="G71" i="18"/>
  <c r="AC70" i="18"/>
  <c r="Y70" i="18"/>
  <c r="U70" i="18"/>
  <c r="Q70" i="18"/>
  <c r="M70" i="18"/>
  <c r="I70" i="18"/>
  <c r="H70" i="18" s="1"/>
  <c r="G70" i="18"/>
  <c r="AC69" i="18"/>
  <c r="Y69" i="18"/>
  <c r="U69" i="18"/>
  <c r="T69" i="18" s="1"/>
  <c r="S69" i="18"/>
  <c r="O69" i="18"/>
  <c r="K69" i="18"/>
  <c r="G69" i="18"/>
  <c r="D66" i="18"/>
  <c r="G66" i="18" s="1"/>
  <c r="AC65" i="18"/>
  <c r="Y65" i="18"/>
  <c r="U65" i="18"/>
  <c r="Q65" i="18"/>
  <c r="M65" i="18"/>
  <c r="I65" i="18"/>
  <c r="H65" i="18" s="1"/>
  <c r="K65" i="18" s="1"/>
  <c r="G65" i="18"/>
  <c r="AC64" i="18"/>
  <c r="Y64" i="18"/>
  <c r="U64" i="18"/>
  <c r="Q64" i="18"/>
  <c r="M64" i="18"/>
  <c r="I64" i="18"/>
  <c r="H64" i="18" s="1"/>
  <c r="G64" i="18"/>
  <c r="AC63" i="18"/>
  <c r="Y63" i="18"/>
  <c r="U63" i="18"/>
  <c r="Q63" i="18"/>
  <c r="M63" i="18"/>
  <c r="I63" i="18"/>
  <c r="H63" i="18" s="1"/>
  <c r="K63" i="18" s="1"/>
  <c r="G63" i="18"/>
  <c r="AC62" i="18"/>
  <c r="Y62" i="18"/>
  <c r="U62" i="18"/>
  <c r="Q62" i="18"/>
  <c r="M62" i="18"/>
  <c r="I62" i="18"/>
  <c r="H62" i="18" s="1"/>
  <c r="G62" i="18"/>
  <c r="AC61" i="18"/>
  <c r="Y61" i="18"/>
  <c r="U61" i="18"/>
  <c r="Q61" i="18"/>
  <c r="M61" i="18"/>
  <c r="I61" i="18"/>
  <c r="H61" i="18" s="1"/>
  <c r="K61" i="18" s="1"/>
  <c r="G61" i="18"/>
  <c r="AC60" i="18"/>
  <c r="Y60" i="18"/>
  <c r="U60" i="18"/>
  <c r="Q60" i="18"/>
  <c r="M60" i="18"/>
  <c r="I60" i="18"/>
  <c r="H60" i="18" s="1"/>
  <c r="G60" i="18"/>
  <c r="AC59" i="18"/>
  <c r="Y59" i="18"/>
  <c r="U59" i="18"/>
  <c r="Q59" i="18"/>
  <c r="M59" i="18"/>
  <c r="I59" i="18"/>
  <c r="H59" i="18" s="1"/>
  <c r="G59" i="18"/>
  <c r="G53" i="18"/>
  <c r="D53" i="18"/>
  <c r="H52" i="18"/>
  <c r="L52" i="18" s="1"/>
  <c r="G52" i="18"/>
  <c r="H51" i="18"/>
  <c r="L51" i="18" s="1"/>
  <c r="G51" i="18"/>
  <c r="AC50" i="18"/>
  <c r="Y50" i="18"/>
  <c r="U50" i="18"/>
  <c r="Q50" i="18"/>
  <c r="M50" i="18"/>
  <c r="I50" i="18"/>
  <c r="G50" i="18"/>
  <c r="E50" i="18"/>
  <c r="AC49" i="18"/>
  <c r="Y49" i="18"/>
  <c r="U49" i="18"/>
  <c r="Q49" i="18"/>
  <c r="M49" i="18"/>
  <c r="I49" i="18"/>
  <c r="G49" i="18"/>
  <c r="E49" i="18"/>
  <c r="AC48" i="18"/>
  <c r="Y48" i="18"/>
  <c r="U48" i="18"/>
  <c r="Q48" i="18"/>
  <c r="M48" i="18"/>
  <c r="I48" i="18"/>
  <c r="H48" i="18" s="1"/>
  <c r="G48" i="18"/>
  <c r="AC47" i="18"/>
  <c r="Y47" i="18"/>
  <c r="U47" i="18"/>
  <c r="Q47" i="18"/>
  <c r="M47" i="18"/>
  <c r="I47" i="18"/>
  <c r="G47" i="18"/>
  <c r="E47" i="18"/>
  <c r="AC46" i="18"/>
  <c r="Y46" i="18"/>
  <c r="U46" i="18"/>
  <c r="Q46" i="18"/>
  <c r="M46" i="18"/>
  <c r="I46" i="18"/>
  <c r="G46" i="18"/>
  <c r="E46" i="18"/>
  <c r="AC45" i="18"/>
  <c r="Y45" i="18"/>
  <c r="U45" i="18"/>
  <c r="Q45" i="18"/>
  <c r="M45" i="18"/>
  <c r="I45" i="18"/>
  <c r="G45" i="18"/>
  <c r="E45" i="18"/>
  <c r="U44" i="18"/>
  <c r="Q44" i="18"/>
  <c r="M44" i="18"/>
  <c r="I44" i="18"/>
  <c r="G44" i="18"/>
  <c r="E44" i="18"/>
  <c r="D41" i="18"/>
  <c r="AC39" i="18"/>
  <c r="Y39" i="18"/>
  <c r="U39" i="18"/>
  <c r="Q39" i="18"/>
  <c r="M39" i="18"/>
  <c r="I39" i="18"/>
  <c r="H39" i="18"/>
  <c r="K39" i="18" s="1"/>
  <c r="G39" i="18"/>
  <c r="AC38" i="18"/>
  <c r="Y38" i="18"/>
  <c r="U38" i="18"/>
  <c r="Q38" i="18"/>
  <c r="M38" i="18"/>
  <c r="I38" i="18"/>
  <c r="H38" i="18"/>
  <c r="L38" i="18" s="1"/>
  <c r="P38" i="18" s="1"/>
  <c r="G38" i="18"/>
  <c r="AC37" i="18"/>
  <c r="Y37" i="18"/>
  <c r="U37" i="18"/>
  <c r="Q37" i="18"/>
  <c r="M37" i="18"/>
  <c r="I37" i="18"/>
  <c r="H37" i="18"/>
  <c r="K37" i="18" s="1"/>
  <c r="G37" i="18"/>
  <c r="AC36" i="18"/>
  <c r="Y36" i="18"/>
  <c r="U36" i="18"/>
  <c r="Q36" i="18"/>
  <c r="M36" i="18"/>
  <c r="I36" i="18"/>
  <c r="H36" i="18"/>
  <c r="K36" i="18" s="1"/>
  <c r="G36" i="18"/>
  <c r="AC35" i="18"/>
  <c r="Y35" i="18"/>
  <c r="U35" i="18"/>
  <c r="Q35" i="18"/>
  <c r="M35" i="18"/>
  <c r="L35" i="18"/>
  <c r="P35" i="18" s="1"/>
  <c r="T35" i="18" s="1"/>
  <c r="I35" i="18"/>
  <c r="H35" i="18"/>
  <c r="K35" i="18" s="1"/>
  <c r="G35" i="18"/>
  <c r="AC34" i="18"/>
  <c r="Y34" i="18"/>
  <c r="U34" i="18"/>
  <c r="Q34" i="18"/>
  <c r="M34" i="18"/>
  <c r="I34" i="18"/>
  <c r="H34" i="18"/>
  <c r="K34" i="18" s="1"/>
  <c r="G34" i="18"/>
  <c r="AC33" i="18"/>
  <c r="Y33" i="18"/>
  <c r="U33" i="18"/>
  <c r="Q33" i="18"/>
  <c r="M33" i="18"/>
  <c r="L33" i="18"/>
  <c r="O33" i="18" s="1"/>
  <c r="I33" i="18"/>
  <c r="H33" i="18"/>
  <c r="K33" i="18" s="1"/>
  <c r="G33" i="18"/>
  <c r="D30" i="18"/>
  <c r="G30" i="18" s="1"/>
  <c r="AC28" i="18"/>
  <c r="Y28" i="18"/>
  <c r="U28" i="18"/>
  <c r="Q28" i="18"/>
  <c r="M28" i="18"/>
  <c r="I28" i="18"/>
  <c r="H28" i="18"/>
  <c r="K28" i="18" s="1"/>
  <c r="G28" i="18"/>
  <c r="AC27" i="18"/>
  <c r="Y27" i="18"/>
  <c r="U27" i="18"/>
  <c r="Q27" i="18"/>
  <c r="M27" i="18"/>
  <c r="I27" i="18"/>
  <c r="H27" i="18"/>
  <c r="L27" i="18" s="1"/>
  <c r="O27" i="18" s="1"/>
  <c r="G27" i="18"/>
  <c r="AC26" i="18"/>
  <c r="Y26" i="18"/>
  <c r="U26" i="18"/>
  <c r="Q26" i="18"/>
  <c r="M26" i="18"/>
  <c r="L26" i="18"/>
  <c r="O26" i="18" s="1"/>
  <c r="K26" i="18"/>
  <c r="I26" i="18"/>
  <c r="H26" i="18"/>
  <c r="G26" i="18"/>
  <c r="AC25" i="18"/>
  <c r="Y25" i="18"/>
  <c r="U25" i="18"/>
  <c r="Q25" i="18"/>
  <c r="M25" i="18"/>
  <c r="I25" i="18"/>
  <c r="H25" i="18"/>
  <c r="L25" i="18" s="1"/>
  <c r="O25" i="18" s="1"/>
  <c r="G25" i="18"/>
  <c r="AC24" i="18"/>
  <c r="Y24" i="18"/>
  <c r="U24" i="18"/>
  <c r="Q24" i="18"/>
  <c r="M24" i="18"/>
  <c r="I24" i="18"/>
  <c r="H24" i="18"/>
  <c r="K24" i="18" s="1"/>
  <c r="G24" i="18"/>
  <c r="AC23" i="18"/>
  <c r="Y23" i="18"/>
  <c r="U23" i="18"/>
  <c r="Q23" i="18"/>
  <c r="M23" i="18"/>
  <c r="I23" i="18"/>
  <c r="H23" i="18"/>
  <c r="L23" i="18" s="1"/>
  <c r="P23" i="18" s="1"/>
  <c r="G23" i="18"/>
  <c r="AC22" i="18"/>
  <c r="Y22" i="18"/>
  <c r="U22" i="18"/>
  <c r="Q22" i="18"/>
  <c r="M22" i="18"/>
  <c r="I22" i="18"/>
  <c r="H22" i="18"/>
  <c r="L22" i="18" s="1"/>
  <c r="G22" i="18"/>
  <c r="AC21" i="18"/>
  <c r="Y21" i="18"/>
  <c r="U21" i="18"/>
  <c r="Q21" i="18"/>
  <c r="M21" i="18"/>
  <c r="I21" i="18"/>
  <c r="H21" i="18"/>
  <c r="L21" i="18" s="1"/>
  <c r="P21" i="18" s="1"/>
  <c r="G21" i="18"/>
  <c r="D11" i="18"/>
  <c r="D13" i="18" s="1"/>
  <c r="D99" i="18" s="1"/>
  <c r="AB10" i="18"/>
  <c r="X10" i="18"/>
  <c r="AA10" i="18" s="1"/>
  <c r="T10" i="18"/>
  <c r="W10" i="18" s="1"/>
  <c r="S10" i="18"/>
  <c r="P10" i="18"/>
  <c r="L10" i="18"/>
  <c r="O10" i="18" s="1"/>
  <c r="K10" i="18"/>
  <c r="G10" i="18"/>
  <c r="H6" i="18"/>
  <c r="L6" i="18" s="1"/>
  <c r="P6" i="18" s="1"/>
  <c r="T6" i="18" s="1"/>
  <c r="X6" i="18" s="1"/>
  <c r="AB6" i="18" s="1"/>
  <c r="AB3" i="18"/>
  <c r="AB9" i="18" s="1"/>
  <c r="AB11" i="18" s="1"/>
  <c r="X3" i="18"/>
  <c r="X9" i="18" s="1"/>
  <c r="T3" i="18"/>
  <c r="T9" i="18" s="1"/>
  <c r="P9" i="18"/>
  <c r="L9" i="18"/>
  <c r="L11" i="18" s="1"/>
  <c r="AC81" i="17"/>
  <c r="Y81" i="17"/>
  <c r="U81" i="17"/>
  <c r="Q81" i="17"/>
  <c r="M81" i="17"/>
  <c r="I81" i="17"/>
  <c r="AC80" i="17"/>
  <c r="Y80" i="17"/>
  <c r="U80" i="17"/>
  <c r="Q80" i="17"/>
  <c r="M80" i="17"/>
  <c r="I80" i="17"/>
  <c r="H80" i="17" s="1"/>
  <c r="G80" i="17"/>
  <c r="AC79" i="17"/>
  <c r="Y79" i="17"/>
  <c r="U79" i="17"/>
  <c r="Q79" i="17"/>
  <c r="M79" i="17"/>
  <c r="I79" i="17"/>
  <c r="H79" i="17" s="1"/>
  <c r="G79" i="17"/>
  <c r="AC78" i="17"/>
  <c r="Y78" i="17"/>
  <c r="U78" i="17"/>
  <c r="Q78" i="17"/>
  <c r="M78" i="17"/>
  <c r="I78" i="17"/>
  <c r="H78" i="17" s="1"/>
  <c r="G78" i="17"/>
  <c r="AC77" i="17"/>
  <c r="Y77" i="17"/>
  <c r="U77" i="17"/>
  <c r="Q77" i="17"/>
  <c r="M77" i="17"/>
  <c r="I77" i="17"/>
  <c r="H77" i="17" s="1"/>
  <c r="G77" i="17"/>
  <c r="AC76" i="17"/>
  <c r="Y76" i="17"/>
  <c r="U76" i="17"/>
  <c r="Q76" i="17"/>
  <c r="M76" i="17"/>
  <c r="I76" i="17"/>
  <c r="H76" i="17" s="1"/>
  <c r="G76" i="17"/>
  <c r="AC75" i="17"/>
  <c r="Y75" i="17"/>
  <c r="U75" i="17"/>
  <c r="Q75" i="17"/>
  <c r="M75" i="17"/>
  <c r="I75" i="17"/>
  <c r="H75" i="17" s="1"/>
  <c r="G75" i="17"/>
  <c r="AC74" i="17"/>
  <c r="Y74" i="17"/>
  <c r="U74" i="17"/>
  <c r="Q74" i="17"/>
  <c r="M74" i="17"/>
  <c r="I74" i="17"/>
  <c r="H74" i="17" s="1"/>
  <c r="G74" i="17"/>
  <c r="AC73" i="17"/>
  <c r="Y73" i="17"/>
  <c r="U73" i="17"/>
  <c r="Q73" i="17"/>
  <c r="M73" i="17"/>
  <c r="I73" i="17"/>
  <c r="H73" i="17" s="1"/>
  <c r="G73" i="17"/>
  <c r="AC72" i="17"/>
  <c r="Y72" i="17"/>
  <c r="U72" i="17"/>
  <c r="Q72" i="17"/>
  <c r="M72" i="17"/>
  <c r="I72" i="17"/>
  <c r="H72" i="17" s="1"/>
  <c r="G72" i="17"/>
  <c r="AC71" i="17"/>
  <c r="Y71" i="17"/>
  <c r="U71" i="17"/>
  <c r="Q71" i="17"/>
  <c r="M71" i="17"/>
  <c r="I71" i="17"/>
  <c r="H71" i="17" s="1"/>
  <c r="G71" i="17"/>
  <c r="AC70" i="17"/>
  <c r="Y70" i="17"/>
  <c r="U70" i="17"/>
  <c r="Q70" i="17"/>
  <c r="M70" i="17"/>
  <c r="I70" i="17"/>
  <c r="H70" i="17" s="1"/>
  <c r="G70" i="17"/>
  <c r="AC69" i="17"/>
  <c r="Y69" i="17"/>
  <c r="U69" i="17"/>
  <c r="D66" i="17"/>
  <c r="G66" i="17" s="1"/>
  <c r="AC65" i="17"/>
  <c r="Y65" i="17"/>
  <c r="U65" i="17"/>
  <c r="Q65" i="17"/>
  <c r="M65" i="17"/>
  <c r="I65" i="17"/>
  <c r="H65" i="17" s="1"/>
  <c r="G65" i="17"/>
  <c r="AC64" i="17"/>
  <c r="Y64" i="17"/>
  <c r="U64" i="17"/>
  <c r="Q64" i="17"/>
  <c r="M64" i="17"/>
  <c r="I64" i="17"/>
  <c r="H64" i="17" s="1"/>
  <c r="G64" i="17"/>
  <c r="AC63" i="17"/>
  <c r="Y63" i="17"/>
  <c r="U63" i="17"/>
  <c r="Q63" i="17"/>
  <c r="M63" i="17"/>
  <c r="I63" i="17"/>
  <c r="H63" i="17" s="1"/>
  <c r="G63" i="17"/>
  <c r="AC62" i="17"/>
  <c r="Y62" i="17"/>
  <c r="U62" i="17"/>
  <c r="Q62" i="17"/>
  <c r="M62" i="17"/>
  <c r="I62" i="17"/>
  <c r="H62" i="17" s="1"/>
  <c r="G62" i="17"/>
  <c r="AC61" i="17"/>
  <c r="Y61" i="17"/>
  <c r="U61" i="17"/>
  <c r="Q61" i="17"/>
  <c r="M61" i="17"/>
  <c r="I61" i="17"/>
  <c r="H61" i="17" s="1"/>
  <c r="G61" i="17"/>
  <c r="AC60" i="17"/>
  <c r="Y60" i="17"/>
  <c r="U60" i="17"/>
  <c r="Q60" i="17"/>
  <c r="M60" i="17"/>
  <c r="I60" i="17"/>
  <c r="H60" i="17" s="1"/>
  <c r="G60" i="17"/>
  <c r="AC59" i="17"/>
  <c r="Y59" i="17"/>
  <c r="U59" i="17"/>
  <c r="Q59" i="17"/>
  <c r="M59" i="17"/>
  <c r="I59" i="17"/>
  <c r="H59" i="17" s="1"/>
  <c r="G59" i="17"/>
  <c r="D53" i="17"/>
  <c r="G53" i="17" s="1"/>
  <c r="H52" i="17"/>
  <c r="L52" i="17" s="1"/>
  <c r="P52" i="17" s="1"/>
  <c r="G52" i="17"/>
  <c r="H51" i="17"/>
  <c r="K51" i="17" s="1"/>
  <c r="G51" i="17"/>
  <c r="AC50" i="17"/>
  <c r="Y50" i="17"/>
  <c r="U50" i="17"/>
  <c r="Q50" i="17"/>
  <c r="M50" i="17"/>
  <c r="I50" i="17"/>
  <c r="G50" i="17"/>
  <c r="E50" i="17"/>
  <c r="AC49" i="17"/>
  <c r="Y49" i="17"/>
  <c r="U49" i="17"/>
  <c r="Q49" i="17"/>
  <c r="M49" i="17"/>
  <c r="I49" i="17"/>
  <c r="G49" i="17"/>
  <c r="E49" i="17"/>
  <c r="AC48" i="17"/>
  <c r="Y48" i="17"/>
  <c r="U48" i="17"/>
  <c r="Q48" i="17"/>
  <c r="M48" i="17"/>
  <c r="I48" i="17"/>
  <c r="H48" i="17" s="1"/>
  <c r="G48" i="17"/>
  <c r="AC47" i="17"/>
  <c r="Y47" i="17"/>
  <c r="U47" i="17"/>
  <c r="Q47" i="17"/>
  <c r="M47" i="17"/>
  <c r="I47" i="17"/>
  <c r="G47" i="17"/>
  <c r="E47" i="17"/>
  <c r="AC46" i="17"/>
  <c r="Y46" i="17"/>
  <c r="U46" i="17"/>
  <c r="Q46" i="17"/>
  <c r="M46" i="17"/>
  <c r="I46" i="17"/>
  <c r="G46" i="17"/>
  <c r="E46" i="17"/>
  <c r="AC45" i="17"/>
  <c r="Y45" i="17"/>
  <c r="U45" i="17"/>
  <c r="Q45" i="17"/>
  <c r="M45" i="17"/>
  <c r="I45" i="17"/>
  <c r="G45" i="17"/>
  <c r="E45" i="17"/>
  <c r="U44" i="17"/>
  <c r="Q44" i="17"/>
  <c r="M44" i="17"/>
  <c r="I44" i="17"/>
  <c r="G44" i="17"/>
  <c r="E44" i="17"/>
  <c r="D41" i="17"/>
  <c r="G41" i="17" s="1"/>
  <c r="AC39" i="17"/>
  <c r="Y39" i="17"/>
  <c r="U39" i="17"/>
  <c r="Q39" i="17"/>
  <c r="M39" i="17"/>
  <c r="I39" i="17"/>
  <c r="H39" i="17"/>
  <c r="L39" i="17" s="1"/>
  <c r="G39" i="17"/>
  <c r="AC38" i="17"/>
  <c r="Y38" i="17"/>
  <c r="U38" i="17"/>
  <c r="Q38" i="17"/>
  <c r="M38" i="17"/>
  <c r="I38" i="17"/>
  <c r="H38" i="17"/>
  <c r="L38" i="17" s="1"/>
  <c r="G38" i="17"/>
  <c r="AC37" i="17"/>
  <c r="Y37" i="17"/>
  <c r="U37" i="17"/>
  <c r="Q37" i="17"/>
  <c r="M37" i="17"/>
  <c r="I37" i="17"/>
  <c r="H37" i="17"/>
  <c r="L37" i="17" s="1"/>
  <c r="G37" i="17"/>
  <c r="AC36" i="17"/>
  <c r="Y36" i="17"/>
  <c r="U36" i="17"/>
  <c r="Q36" i="17"/>
  <c r="M36" i="17"/>
  <c r="I36" i="17"/>
  <c r="H36" i="17"/>
  <c r="L36" i="17" s="1"/>
  <c r="G36" i="17"/>
  <c r="AC35" i="17"/>
  <c r="Y35" i="17"/>
  <c r="U35" i="17"/>
  <c r="Q35" i="17"/>
  <c r="M35" i="17"/>
  <c r="I35" i="17"/>
  <c r="H35" i="17"/>
  <c r="L35" i="17" s="1"/>
  <c r="O35" i="17" s="1"/>
  <c r="G35" i="17"/>
  <c r="AC34" i="17"/>
  <c r="Y34" i="17"/>
  <c r="U34" i="17"/>
  <c r="Q34" i="17"/>
  <c r="M34" i="17"/>
  <c r="I34" i="17"/>
  <c r="H34" i="17"/>
  <c r="G34" i="17"/>
  <c r="AC33" i="17"/>
  <c r="Y33" i="17"/>
  <c r="U33" i="17"/>
  <c r="Q33" i="17"/>
  <c r="M33" i="17"/>
  <c r="I33" i="17"/>
  <c r="H33" i="17"/>
  <c r="K33" i="17" s="1"/>
  <c r="G33" i="17"/>
  <c r="D30" i="17"/>
  <c r="G30" i="17" s="1"/>
  <c r="AC28" i="17"/>
  <c r="Y28" i="17"/>
  <c r="U28" i="17"/>
  <c r="Q28" i="17"/>
  <c r="M28" i="17"/>
  <c r="I28" i="17"/>
  <c r="H28" i="17"/>
  <c r="K28" i="17" s="1"/>
  <c r="G28" i="17"/>
  <c r="AC27" i="17"/>
  <c r="Y27" i="17"/>
  <c r="U27" i="17"/>
  <c r="Q27" i="17"/>
  <c r="M27" i="17"/>
  <c r="I27" i="17"/>
  <c r="H27" i="17"/>
  <c r="K27" i="17" s="1"/>
  <c r="G27" i="17"/>
  <c r="AC26" i="17"/>
  <c r="Y26" i="17"/>
  <c r="U26" i="17"/>
  <c r="Q26" i="17"/>
  <c r="M26" i="17"/>
  <c r="I26" i="17"/>
  <c r="H26" i="17"/>
  <c r="K26" i="17" s="1"/>
  <c r="G26" i="17"/>
  <c r="AC25" i="17"/>
  <c r="Y25" i="17"/>
  <c r="U25" i="17"/>
  <c r="Q25" i="17"/>
  <c r="M25" i="17"/>
  <c r="I25" i="17"/>
  <c r="H25" i="17"/>
  <c r="K25" i="17" s="1"/>
  <c r="G25" i="17"/>
  <c r="AC24" i="17"/>
  <c r="Y24" i="17"/>
  <c r="U24" i="17"/>
  <c r="Q24" i="17"/>
  <c r="M24" i="17"/>
  <c r="I24" i="17"/>
  <c r="H24" i="17"/>
  <c r="K24" i="17" s="1"/>
  <c r="G24" i="17"/>
  <c r="AC23" i="17"/>
  <c r="Y23" i="17"/>
  <c r="U23" i="17"/>
  <c r="Q23" i="17"/>
  <c r="M23" i="17"/>
  <c r="L23" i="17"/>
  <c r="P23" i="17" s="1"/>
  <c r="S23" i="17" s="1"/>
  <c r="I23" i="17"/>
  <c r="H23" i="17"/>
  <c r="K23" i="17" s="1"/>
  <c r="G23" i="17"/>
  <c r="AC22" i="17"/>
  <c r="Y22" i="17"/>
  <c r="U22" i="17"/>
  <c r="Q22" i="17"/>
  <c r="M22" i="17"/>
  <c r="I22" i="17"/>
  <c r="H22" i="17"/>
  <c r="K22" i="17" s="1"/>
  <c r="G22" i="17"/>
  <c r="AC21" i="17"/>
  <c r="Y21" i="17"/>
  <c r="U21" i="17"/>
  <c r="Q21" i="17"/>
  <c r="M21" i="17"/>
  <c r="I21" i="17"/>
  <c r="H21" i="17"/>
  <c r="K21" i="17" s="1"/>
  <c r="G21" i="17"/>
  <c r="AB10" i="17"/>
  <c r="X10" i="17"/>
  <c r="AA10" i="17" s="1"/>
  <c r="T10" i="17"/>
  <c r="W10" i="17" s="1"/>
  <c r="P10" i="17"/>
  <c r="S10" i="17" s="1"/>
  <c r="L10" i="17"/>
  <c r="O10" i="17" s="1"/>
  <c r="K10" i="17"/>
  <c r="G10" i="17"/>
  <c r="P9" i="17"/>
  <c r="S9" i="17" s="1"/>
  <c r="D11" i="17"/>
  <c r="F10" i="27" s="1"/>
  <c r="F10" i="28" s="1"/>
  <c r="U10" i="28" s="1"/>
  <c r="H6" i="17"/>
  <c r="L6" i="17" s="1"/>
  <c r="P6" i="17" s="1"/>
  <c r="T6" i="17" s="1"/>
  <c r="X6" i="17" s="1"/>
  <c r="AB6" i="17" s="1"/>
  <c r="AB3" i="17"/>
  <c r="AB9" i="17" s="1"/>
  <c r="AB11" i="17" s="1"/>
  <c r="X3" i="17"/>
  <c r="X9" i="17" s="1"/>
  <c r="T3" i="17"/>
  <c r="T9" i="17" s="1"/>
  <c r="W9" i="17" s="1"/>
  <c r="L9" i="17"/>
  <c r="L33" i="15"/>
  <c r="P33" i="15" s="1"/>
  <c r="T33" i="15" s="1"/>
  <c r="G33" i="15"/>
  <c r="AC81" i="15"/>
  <c r="Y81" i="15"/>
  <c r="U81" i="15"/>
  <c r="Q81" i="15"/>
  <c r="M81" i="15"/>
  <c r="I81" i="15"/>
  <c r="AC80" i="15"/>
  <c r="Y80" i="15"/>
  <c r="U80" i="15"/>
  <c r="Q80" i="15"/>
  <c r="M80" i="15"/>
  <c r="I80" i="15"/>
  <c r="H80" i="15" s="1"/>
  <c r="G80" i="15"/>
  <c r="AC79" i="15"/>
  <c r="Y79" i="15"/>
  <c r="U79" i="15"/>
  <c r="Q79" i="15"/>
  <c r="M79" i="15"/>
  <c r="I79" i="15"/>
  <c r="H79" i="15" s="1"/>
  <c r="G79" i="15"/>
  <c r="AC78" i="15"/>
  <c r="Y78" i="15"/>
  <c r="U78" i="15"/>
  <c r="Q78" i="15"/>
  <c r="M78" i="15"/>
  <c r="I78" i="15"/>
  <c r="H78" i="15" s="1"/>
  <c r="G78" i="15"/>
  <c r="AC77" i="15"/>
  <c r="Y77" i="15"/>
  <c r="U77" i="15"/>
  <c r="Q77" i="15"/>
  <c r="M77" i="15"/>
  <c r="I77" i="15"/>
  <c r="H77" i="15" s="1"/>
  <c r="G77" i="15"/>
  <c r="AC76" i="15"/>
  <c r="Y76" i="15"/>
  <c r="U76" i="15"/>
  <c r="Q76" i="15"/>
  <c r="M76" i="15"/>
  <c r="I76" i="15"/>
  <c r="H76" i="15" s="1"/>
  <c r="G76" i="15"/>
  <c r="AC75" i="15"/>
  <c r="Y75" i="15"/>
  <c r="U75" i="15"/>
  <c r="Q75" i="15"/>
  <c r="M75" i="15"/>
  <c r="I75" i="15"/>
  <c r="H75" i="15" s="1"/>
  <c r="G75" i="15"/>
  <c r="AC74" i="15"/>
  <c r="Y74" i="15"/>
  <c r="U74" i="15"/>
  <c r="Q74" i="15"/>
  <c r="M74" i="15"/>
  <c r="I74" i="15"/>
  <c r="H74" i="15" s="1"/>
  <c r="G74" i="15"/>
  <c r="AC73" i="15"/>
  <c r="Y73" i="15"/>
  <c r="U73" i="15"/>
  <c r="Q73" i="15"/>
  <c r="M73" i="15"/>
  <c r="I73" i="15"/>
  <c r="H73" i="15" s="1"/>
  <c r="G73" i="15"/>
  <c r="AC72" i="15"/>
  <c r="Y72" i="15"/>
  <c r="U72" i="15"/>
  <c r="Q72" i="15"/>
  <c r="M72" i="15"/>
  <c r="I72" i="15"/>
  <c r="H72" i="15" s="1"/>
  <c r="G72" i="15"/>
  <c r="AC71" i="15"/>
  <c r="Y71" i="15"/>
  <c r="U71" i="15"/>
  <c r="Q71" i="15"/>
  <c r="M71" i="15"/>
  <c r="I71" i="15"/>
  <c r="H71" i="15" s="1"/>
  <c r="G71" i="15"/>
  <c r="AC70" i="15"/>
  <c r="Y70" i="15"/>
  <c r="U70" i="15"/>
  <c r="Q70" i="15"/>
  <c r="M70" i="15"/>
  <c r="I70" i="15"/>
  <c r="H70" i="15" s="1"/>
  <c r="G70" i="15"/>
  <c r="AC69" i="15"/>
  <c r="Y69" i="15"/>
  <c r="U69" i="15"/>
  <c r="Q69" i="15"/>
  <c r="M69" i="15"/>
  <c r="I69" i="15"/>
  <c r="H69" i="15" s="1"/>
  <c r="G69" i="15"/>
  <c r="D66" i="15"/>
  <c r="G66" i="15" s="1"/>
  <c r="AC65" i="15"/>
  <c r="Y65" i="15"/>
  <c r="U65" i="15"/>
  <c r="Q65" i="15"/>
  <c r="M65" i="15"/>
  <c r="I65" i="15"/>
  <c r="H65" i="15" s="1"/>
  <c r="G65" i="15"/>
  <c r="AC64" i="15"/>
  <c r="Y64" i="15"/>
  <c r="U64" i="15"/>
  <c r="Q64" i="15"/>
  <c r="M64" i="15"/>
  <c r="I64" i="15"/>
  <c r="H64" i="15" s="1"/>
  <c r="G64" i="15"/>
  <c r="AC63" i="15"/>
  <c r="Y63" i="15"/>
  <c r="U63" i="15"/>
  <c r="Q63" i="15"/>
  <c r="M63" i="15"/>
  <c r="I63" i="15"/>
  <c r="H63" i="15" s="1"/>
  <c r="G63" i="15"/>
  <c r="AC62" i="15"/>
  <c r="Y62" i="15"/>
  <c r="U62" i="15"/>
  <c r="Q62" i="15"/>
  <c r="M62" i="15"/>
  <c r="I62" i="15"/>
  <c r="H62" i="15" s="1"/>
  <c r="G62" i="15"/>
  <c r="AC61" i="15"/>
  <c r="Y61" i="15"/>
  <c r="U61" i="15"/>
  <c r="Q61" i="15"/>
  <c r="M61" i="15"/>
  <c r="I61" i="15"/>
  <c r="H61" i="15" s="1"/>
  <c r="G61" i="15"/>
  <c r="AC60" i="15"/>
  <c r="Y60" i="15"/>
  <c r="U60" i="15"/>
  <c r="Q60" i="15"/>
  <c r="M60" i="15"/>
  <c r="I60" i="15"/>
  <c r="H60" i="15" s="1"/>
  <c r="G60" i="15"/>
  <c r="AC59" i="15"/>
  <c r="Y59" i="15"/>
  <c r="U59" i="15"/>
  <c r="Q59" i="15"/>
  <c r="M59" i="15"/>
  <c r="I59" i="15"/>
  <c r="H59" i="15" s="1"/>
  <c r="G59" i="15"/>
  <c r="D53" i="15"/>
  <c r="AC50" i="15"/>
  <c r="Y50" i="15"/>
  <c r="U50" i="15"/>
  <c r="Q50" i="15"/>
  <c r="M50" i="15"/>
  <c r="I50" i="15"/>
  <c r="E50" i="15"/>
  <c r="AC49" i="15"/>
  <c r="Y49" i="15"/>
  <c r="U49" i="15"/>
  <c r="Q49" i="15"/>
  <c r="M49" i="15"/>
  <c r="I49" i="15"/>
  <c r="E49" i="15"/>
  <c r="AC48" i="15"/>
  <c r="Y48" i="15"/>
  <c r="U48" i="15"/>
  <c r="Q48" i="15"/>
  <c r="M48" i="15"/>
  <c r="L48" i="15" s="1"/>
  <c r="G48" i="15"/>
  <c r="AC47" i="15"/>
  <c r="Y47" i="15"/>
  <c r="U47" i="15"/>
  <c r="Q47" i="15"/>
  <c r="M47" i="15"/>
  <c r="I47" i="15"/>
  <c r="E47" i="15"/>
  <c r="AC46" i="15"/>
  <c r="Y46" i="15"/>
  <c r="U46" i="15"/>
  <c r="Q46" i="15"/>
  <c r="M46" i="15"/>
  <c r="I46" i="15"/>
  <c r="G46" i="15"/>
  <c r="E46" i="15"/>
  <c r="AC45" i="15"/>
  <c r="Y45" i="15"/>
  <c r="U45" i="15"/>
  <c r="Q45" i="15"/>
  <c r="M45" i="15"/>
  <c r="I45" i="15"/>
  <c r="G45" i="15"/>
  <c r="E45" i="15"/>
  <c r="U44" i="15"/>
  <c r="Q44" i="15"/>
  <c r="M44" i="15"/>
  <c r="I44" i="15"/>
  <c r="E44" i="15"/>
  <c r="D41" i="15"/>
  <c r="AC39" i="15"/>
  <c r="Y39" i="15"/>
  <c r="U39" i="15"/>
  <c r="Q39" i="15"/>
  <c r="M39" i="15"/>
  <c r="I39" i="15"/>
  <c r="H39" i="15"/>
  <c r="K39" i="15" s="1"/>
  <c r="G39" i="15"/>
  <c r="AC38" i="15"/>
  <c r="Y38" i="15"/>
  <c r="U38" i="15"/>
  <c r="Q38" i="15"/>
  <c r="M38" i="15"/>
  <c r="I38" i="15"/>
  <c r="H38" i="15"/>
  <c r="K38" i="15" s="1"/>
  <c r="G38" i="15"/>
  <c r="AC37" i="15"/>
  <c r="Y37" i="15"/>
  <c r="U37" i="15"/>
  <c r="Q37" i="15"/>
  <c r="M37" i="15"/>
  <c r="I37" i="15"/>
  <c r="H37" i="15"/>
  <c r="K37" i="15" s="1"/>
  <c r="G37" i="15"/>
  <c r="AC36" i="15"/>
  <c r="Y36" i="15"/>
  <c r="U36" i="15"/>
  <c r="Q36" i="15"/>
  <c r="M36" i="15"/>
  <c r="K36" i="15"/>
  <c r="I36" i="15"/>
  <c r="H36" i="15"/>
  <c r="L36" i="15" s="1"/>
  <c r="P36" i="15" s="1"/>
  <c r="G36" i="15"/>
  <c r="AC35" i="15"/>
  <c r="Y35" i="15"/>
  <c r="U35" i="15"/>
  <c r="Q35" i="15"/>
  <c r="M35" i="15"/>
  <c r="I35" i="15"/>
  <c r="H35" i="15"/>
  <c r="K35" i="15" s="1"/>
  <c r="G35" i="15"/>
  <c r="AC34" i="15"/>
  <c r="Y34" i="15"/>
  <c r="U34" i="15"/>
  <c r="Q34" i="15"/>
  <c r="M34" i="15"/>
  <c r="I34" i="15"/>
  <c r="H34" i="15"/>
  <c r="K34" i="15" s="1"/>
  <c r="G34" i="15"/>
  <c r="AC33" i="15"/>
  <c r="Y33" i="15"/>
  <c r="D30" i="15"/>
  <c r="G30" i="15" s="1"/>
  <c r="AC28" i="15"/>
  <c r="Y28" i="15"/>
  <c r="U28" i="15"/>
  <c r="Q28" i="15"/>
  <c r="M28" i="15"/>
  <c r="I28" i="15"/>
  <c r="H28" i="15"/>
  <c r="L28" i="15" s="1"/>
  <c r="O28" i="15" s="1"/>
  <c r="G28" i="15"/>
  <c r="AC27" i="15"/>
  <c r="Y27" i="15"/>
  <c r="U27" i="15"/>
  <c r="Q27" i="15"/>
  <c r="M27" i="15"/>
  <c r="I27" i="15"/>
  <c r="H27" i="15"/>
  <c r="K27" i="15" s="1"/>
  <c r="G27" i="15"/>
  <c r="AC26" i="15"/>
  <c r="Y26" i="15"/>
  <c r="U26" i="15"/>
  <c r="Q26" i="15"/>
  <c r="M26" i="15"/>
  <c r="I26" i="15"/>
  <c r="H26" i="15"/>
  <c r="L26" i="15" s="1"/>
  <c r="G26" i="15"/>
  <c r="AC25" i="15"/>
  <c r="Y25" i="15"/>
  <c r="U25" i="15"/>
  <c r="Q25" i="15"/>
  <c r="M25" i="15"/>
  <c r="I25" i="15"/>
  <c r="H25" i="15"/>
  <c r="G25" i="15"/>
  <c r="AC24" i="15"/>
  <c r="Y24" i="15"/>
  <c r="U24" i="15"/>
  <c r="Q24" i="15"/>
  <c r="M24" i="15"/>
  <c r="I24" i="15"/>
  <c r="H24" i="15"/>
  <c r="K24" i="15" s="1"/>
  <c r="G24" i="15"/>
  <c r="AC23" i="15"/>
  <c r="Y23" i="15"/>
  <c r="U23" i="15"/>
  <c r="Q23" i="15"/>
  <c r="M23" i="15"/>
  <c r="I23" i="15"/>
  <c r="H23" i="15"/>
  <c r="G23" i="15"/>
  <c r="AC22" i="15"/>
  <c r="Y22" i="15"/>
  <c r="U22" i="15"/>
  <c r="Q22" i="15"/>
  <c r="M22" i="15"/>
  <c r="L22" i="15"/>
  <c r="O22" i="15" s="1"/>
  <c r="I22" i="15"/>
  <c r="H22" i="15"/>
  <c r="K22" i="15" s="1"/>
  <c r="G22" i="15"/>
  <c r="AC21" i="15"/>
  <c r="Y21" i="15"/>
  <c r="U21" i="15"/>
  <c r="Q21" i="15"/>
  <c r="M21" i="15"/>
  <c r="I21" i="15"/>
  <c r="H21" i="15"/>
  <c r="G21" i="15"/>
  <c r="AB10" i="15"/>
  <c r="X10" i="15"/>
  <c r="AA10" i="15" s="1"/>
  <c r="G10" i="15"/>
  <c r="AB9" i="15"/>
  <c r="AB11" i="15" s="1"/>
  <c r="H6" i="15"/>
  <c r="L6" i="15" s="1"/>
  <c r="P6" i="15" s="1"/>
  <c r="T6" i="15" s="1"/>
  <c r="X6" i="15" s="1"/>
  <c r="AB6" i="15" s="1"/>
  <c r="AB3" i="15"/>
  <c r="X3" i="15"/>
  <c r="X9" i="15" s="1"/>
  <c r="T3" i="15"/>
  <c r="K59" i="19" l="1"/>
  <c r="H66" i="19"/>
  <c r="K38" i="18"/>
  <c r="H30" i="19"/>
  <c r="I30" i="19" s="1"/>
  <c r="K25" i="19"/>
  <c r="L27" i="21"/>
  <c r="P35" i="21"/>
  <c r="S35" i="21" s="1"/>
  <c r="L36" i="21"/>
  <c r="O36" i="21" s="1"/>
  <c r="H41" i="15"/>
  <c r="I41" i="15"/>
  <c r="L22" i="17"/>
  <c r="P22" i="17" s="1"/>
  <c r="S22" i="17" s="1"/>
  <c r="AB11" i="19"/>
  <c r="AB13" i="19" s="1"/>
  <c r="L34" i="21"/>
  <c r="O34" i="21" s="1"/>
  <c r="L37" i="21"/>
  <c r="F44" i="27"/>
  <c r="F44" i="28" s="1"/>
  <c r="U44" i="28" s="1"/>
  <c r="D14" i="22"/>
  <c r="D15" i="22" s="1"/>
  <c r="E12" i="22" s="1"/>
  <c r="G69" i="21"/>
  <c r="H44" i="15"/>
  <c r="G44" i="15" s="1"/>
  <c r="K36" i="20"/>
  <c r="L34" i="20"/>
  <c r="O34" i="20" s="1"/>
  <c r="G9" i="19"/>
  <c r="F9" i="27"/>
  <c r="L35" i="15"/>
  <c r="O35" i="15" s="1"/>
  <c r="L39" i="15"/>
  <c r="O39" i="15" s="1"/>
  <c r="L34" i="15"/>
  <c r="O34" i="15" s="1"/>
  <c r="L38" i="15"/>
  <c r="O38" i="15" s="1"/>
  <c r="L34" i="18"/>
  <c r="L36" i="18"/>
  <c r="P36" i="18" s="1"/>
  <c r="S36" i="18" s="1"/>
  <c r="O38" i="18"/>
  <c r="L39" i="18"/>
  <c r="K21" i="18"/>
  <c r="K27" i="18"/>
  <c r="D55" i="18"/>
  <c r="G55" i="18" s="1"/>
  <c r="K25" i="18"/>
  <c r="L28" i="18"/>
  <c r="O28" i="18" s="1"/>
  <c r="K28" i="15"/>
  <c r="L24" i="15"/>
  <c r="O24" i="15" s="1"/>
  <c r="L51" i="20"/>
  <c r="O51" i="20" s="1"/>
  <c r="K23" i="20"/>
  <c r="L52" i="20"/>
  <c r="O52" i="20" s="1"/>
  <c r="L21" i="17"/>
  <c r="P21" i="17" s="1"/>
  <c r="S21" i="17" s="1"/>
  <c r="L26" i="17"/>
  <c r="P26" i="17" s="1"/>
  <c r="S26" i="17" s="1"/>
  <c r="K37" i="17"/>
  <c r="L28" i="17"/>
  <c r="P28" i="17" s="1"/>
  <c r="S28" i="17" s="1"/>
  <c r="K52" i="17"/>
  <c r="L51" i="17"/>
  <c r="P51" i="17" s="1"/>
  <c r="K35" i="17"/>
  <c r="D13" i="21"/>
  <c r="D15" i="21" s="1"/>
  <c r="O23" i="21"/>
  <c r="P23" i="21"/>
  <c r="K39" i="21"/>
  <c r="K21" i="21"/>
  <c r="L21" i="21"/>
  <c r="P21" i="21" s="1"/>
  <c r="L52" i="21"/>
  <c r="P52" i="21" s="1"/>
  <c r="T52" i="21" s="1"/>
  <c r="G47" i="19"/>
  <c r="G44" i="19"/>
  <c r="L70" i="20"/>
  <c r="P70" i="20" s="1"/>
  <c r="L79" i="19"/>
  <c r="O79" i="19" s="1"/>
  <c r="L80" i="18"/>
  <c r="O80" i="18" s="1"/>
  <c r="L63" i="21"/>
  <c r="O63" i="21" s="1"/>
  <c r="L71" i="15"/>
  <c r="O71" i="15" s="1"/>
  <c r="L79" i="15"/>
  <c r="O79" i="15" s="1"/>
  <c r="L63" i="17"/>
  <c r="O63" i="17" s="1"/>
  <c r="L71" i="21"/>
  <c r="O71" i="21" s="1"/>
  <c r="L79" i="21"/>
  <c r="O79" i="21" s="1"/>
  <c r="L77" i="15"/>
  <c r="O77" i="15" s="1"/>
  <c r="L73" i="21"/>
  <c r="O73" i="21" s="1"/>
  <c r="L73" i="19"/>
  <c r="P73" i="19" s="1"/>
  <c r="L61" i="21"/>
  <c r="O61" i="21" s="1"/>
  <c r="L71" i="17"/>
  <c r="O71" i="17" s="1"/>
  <c r="L75" i="17"/>
  <c r="P75" i="17" s="1"/>
  <c r="L72" i="20"/>
  <c r="O72" i="20" s="1"/>
  <c r="L76" i="20"/>
  <c r="P76" i="20" s="1"/>
  <c r="L76" i="18"/>
  <c r="P76" i="18" s="1"/>
  <c r="L74" i="18"/>
  <c r="P74" i="18" s="1"/>
  <c r="L66" i="20"/>
  <c r="P66" i="20" s="1"/>
  <c r="L59" i="15"/>
  <c r="P59" i="15" s="1"/>
  <c r="S59" i="15" s="1"/>
  <c r="L73" i="17"/>
  <c r="O73" i="17" s="1"/>
  <c r="S38" i="18"/>
  <c r="T38" i="18"/>
  <c r="X38" i="18" s="1"/>
  <c r="S39" i="21"/>
  <c r="T39" i="21"/>
  <c r="W39" i="21" s="1"/>
  <c r="P24" i="19"/>
  <c r="S24" i="19" s="1"/>
  <c r="P28" i="15"/>
  <c r="S28" i="15" s="1"/>
  <c r="P25" i="18"/>
  <c r="T25" i="18" s="1"/>
  <c r="W25" i="18" s="1"/>
  <c r="P27" i="18"/>
  <c r="S10" i="21"/>
  <c r="P33" i="21"/>
  <c r="T33" i="21" s="1"/>
  <c r="W33" i="21" s="1"/>
  <c r="T35" i="21"/>
  <c r="W35" i="21" s="1"/>
  <c r="O36" i="15"/>
  <c r="O39" i="21"/>
  <c r="K61" i="17"/>
  <c r="L61" i="17"/>
  <c r="O61" i="17" s="1"/>
  <c r="L60" i="17"/>
  <c r="P60" i="17" s="1"/>
  <c r="S60" i="17" s="1"/>
  <c r="L75" i="19"/>
  <c r="O75" i="19" s="1"/>
  <c r="L73" i="15"/>
  <c r="O73" i="15" s="1"/>
  <c r="L75" i="21"/>
  <c r="P75" i="21" s="1"/>
  <c r="L59" i="18"/>
  <c r="O59" i="18" s="1"/>
  <c r="L75" i="15"/>
  <c r="O75" i="15" s="1"/>
  <c r="L79" i="17"/>
  <c r="O79" i="17" s="1"/>
  <c r="L72" i="18"/>
  <c r="P72" i="18" s="1"/>
  <c r="P48" i="19"/>
  <c r="O48" i="19" s="1"/>
  <c r="L68" i="20"/>
  <c r="O68" i="20" s="1"/>
  <c r="L74" i="20"/>
  <c r="P74" i="20" s="1"/>
  <c r="L65" i="15"/>
  <c r="P65" i="15" s="1"/>
  <c r="S65" i="15" s="1"/>
  <c r="K65" i="15"/>
  <c r="K61" i="15"/>
  <c r="L61" i="15"/>
  <c r="O61" i="15" s="1"/>
  <c r="L63" i="15"/>
  <c r="O63" i="15" s="1"/>
  <c r="K63" i="15"/>
  <c r="L65" i="21"/>
  <c r="P65" i="21" s="1"/>
  <c r="T65" i="21" s="1"/>
  <c r="K65" i="21"/>
  <c r="L60" i="18"/>
  <c r="P60" i="18" s="1"/>
  <c r="S60" i="18" s="1"/>
  <c r="L63" i="19"/>
  <c r="P63" i="19" s="1"/>
  <c r="L48" i="21"/>
  <c r="K63" i="21"/>
  <c r="L65" i="17"/>
  <c r="P65" i="17" s="1"/>
  <c r="S65" i="17" s="1"/>
  <c r="L77" i="17"/>
  <c r="P77" i="17" s="1"/>
  <c r="L61" i="18"/>
  <c r="P61" i="18" s="1"/>
  <c r="L63" i="18"/>
  <c r="P63" i="18" s="1"/>
  <c r="S63" i="18" s="1"/>
  <c r="L65" i="18"/>
  <c r="P65" i="18" s="1"/>
  <c r="T65" i="18" s="1"/>
  <c r="L70" i="18"/>
  <c r="P70" i="18" s="1"/>
  <c r="L78" i="18"/>
  <c r="P78" i="18" s="1"/>
  <c r="L77" i="19"/>
  <c r="P77" i="19" s="1"/>
  <c r="L77" i="21"/>
  <c r="P77" i="21" s="1"/>
  <c r="G97" i="13"/>
  <c r="G99" i="13"/>
  <c r="K99" i="13"/>
  <c r="G98" i="13"/>
  <c r="K61" i="21"/>
  <c r="T11" i="21"/>
  <c r="W9" i="21"/>
  <c r="G9" i="21"/>
  <c r="H11" i="21"/>
  <c r="K9" i="21"/>
  <c r="X11" i="21"/>
  <c r="AA9" i="21"/>
  <c r="S21" i="21"/>
  <c r="T21" i="21"/>
  <c r="O9" i="21"/>
  <c r="P25" i="21"/>
  <c r="K28" i="21"/>
  <c r="L28" i="21"/>
  <c r="P11" i="21"/>
  <c r="K22" i="21"/>
  <c r="L22" i="21"/>
  <c r="K26" i="21"/>
  <c r="L26" i="21"/>
  <c r="T51" i="21"/>
  <c r="S51" i="21"/>
  <c r="O21" i="21"/>
  <c r="S23" i="21"/>
  <c r="T23" i="21"/>
  <c r="H45" i="21"/>
  <c r="K45" i="21" s="1"/>
  <c r="H49" i="21"/>
  <c r="K49" i="21" s="1"/>
  <c r="H46" i="21"/>
  <c r="K46" i="21" s="1"/>
  <c r="H50" i="21"/>
  <c r="K50" i="21" s="1"/>
  <c r="H47" i="21"/>
  <c r="K47" i="21" s="1"/>
  <c r="K41" i="21"/>
  <c r="K62" i="21"/>
  <c r="L62" i="21"/>
  <c r="K30" i="21"/>
  <c r="H44" i="21"/>
  <c r="K24" i="21"/>
  <c r="L24" i="21"/>
  <c r="S33" i="21"/>
  <c r="X33" i="21"/>
  <c r="K34" i="21"/>
  <c r="P34" i="21"/>
  <c r="P36" i="21"/>
  <c r="P38" i="21"/>
  <c r="D55" i="21"/>
  <c r="G55" i="21" s="1"/>
  <c r="K70" i="21"/>
  <c r="L78" i="21"/>
  <c r="K78" i="21"/>
  <c r="L76" i="21"/>
  <c r="K76" i="21"/>
  <c r="O51" i="21"/>
  <c r="G60" i="21"/>
  <c r="K64" i="21"/>
  <c r="L64" i="21"/>
  <c r="L74" i="21"/>
  <c r="K74" i="21"/>
  <c r="L72" i="21"/>
  <c r="K72" i="21"/>
  <c r="L80" i="21"/>
  <c r="K80" i="21"/>
  <c r="K69" i="21"/>
  <c r="K71" i="21"/>
  <c r="K73" i="21"/>
  <c r="K75" i="21"/>
  <c r="K77" i="21"/>
  <c r="K79" i="21"/>
  <c r="K60" i="20"/>
  <c r="P23" i="20"/>
  <c r="O23" i="20"/>
  <c r="O27" i="20"/>
  <c r="P27" i="20"/>
  <c r="S27" i="20" s="1"/>
  <c r="K21" i="20"/>
  <c r="L25" i="20"/>
  <c r="K27" i="20"/>
  <c r="L26" i="20"/>
  <c r="P26" i="20" s="1"/>
  <c r="T26" i="20" s="1"/>
  <c r="X26" i="20" s="1"/>
  <c r="L28" i="20"/>
  <c r="P28" i="20" s="1"/>
  <c r="T28" i="20" s="1"/>
  <c r="X28" i="20" s="1"/>
  <c r="K35" i="20"/>
  <c r="P36" i="20"/>
  <c r="T36" i="20" s="1"/>
  <c r="K38" i="20"/>
  <c r="H11" i="20"/>
  <c r="I11" i="20" s="1"/>
  <c r="P21" i="20"/>
  <c r="L22" i="20"/>
  <c r="H41" i="20"/>
  <c r="L33" i="20"/>
  <c r="P35" i="20"/>
  <c r="P38" i="20"/>
  <c r="L48" i="20"/>
  <c r="K48" i="20"/>
  <c r="D13" i="20"/>
  <c r="D15" i="20" s="1"/>
  <c r="K39" i="20"/>
  <c r="L39" i="20"/>
  <c r="G9" i="20"/>
  <c r="S26" i="20"/>
  <c r="H30" i="20"/>
  <c r="L24" i="20"/>
  <c r="O28" i="20"/>
  <c r="K37" i="20"/>
  <c r="L37" i="20"/>
  <c r="P51" i="20"/>
  <c r="P52" i="20"/>
  <c r="L65" i="20"/>
  <c r="K65" i="20"/>
  <c r="L73" i="20"/>
  <c r="K73" i="20"/>
  <c r="D55" i="20"/>
  <c r="G55" i="20" s="1"/>
  <c r="H62" i="20"/>
  <c r="L71" i="20"/>
  <c r="K71" i="20"/>
  <c r="L69" i="20"/>
  <c r="K69" i="20"/>
  <c r="L67" i="20"/>
  <c r="K67" i="20"/>
  <c r="L75" i="20"/>
  <c r="K75" i="20"/>
  <c r="K66" i="20"/>
  <c r="K68" i="20"/>
  <c r="K70" i="20"/>
  <c r="K72" i="20"/>
  <c r="K74" i="20"/>
  <c r="K76" i="20"/>
  <c r="L27" i="19"/>
  <c r="O27" i="19" s="1"/>
  <c r="G46" i="19"/>
  <c r="P23" i="19"/>
  <c r="T23" i="19" s="1"/>
  <c r="X23" i="19" s="1"/>
  <c r="K24" i="19"/>
  <c r="K26" i="19"/>
  <c r="K48" i="19"/>
  <c r="P37" i="19"/>
  <c r="O37" i="19"/>
  <c r="L33" i="19"/>
  <c r="P33" i="19" s="1"/>
  <c r="T33" i="19" s="1"/>
  <c r="X33" i="19" s="1"/>
  <c r="L35" i="19"/>
  <c r="O35" i="19" s="1"/>
  <c r="L39" i="19"/>
  <c r="L38" i="19"/>
  <c r="G22" i="19"/>
  <c r="G21" i="19"/>
  <c r="D55" i="19"/>
  <c r="G30" i="19"/>
  <c r="L11" i="19"/>
  <c r="L13" i="19" s="1"/>
  <c r="O9" i="19"/>
  <c r="T22" i="19"/>
  <c r="S22" i="19" s="1"/>
  <c r="X34" i="19"/>
  <c r="W34" i="19"/>
  <c r="S9" i="19"/>
  <c r="P11" i="19"/>
  <c r="P13" i="19" s="1"/>
  <c r="AB23" i="19"/>
  <c r="AA23" i="19"/>
  <c r="K9" i="19"/>
  <c r="H11" i="19"/>
  <c r="X11" i="19"/>
  <c r="AA9" i="19"/>
  <c r="P28" i="19"/>
  <c r="H41" i="19"/>
  <c r="K34" i="19"/>
  <c r="O34" i="19"/>
  <c r="K21" i="19"/>
  <c r="T24" i="19"/>
  <c r="P25" i="19"/>
  <c r="P26" i="19"/>
  <c r="K28" i="19"/>
  <c r="P35" i="19"/>
  <c r="L36" i="19"/>
  <c r="G41" i="19"/>
  <c r="T11" i="19"/>
  <c r="O22" i="19"/>
  <c r="W23" i="19"/>
  <c r="S33" i="19"/>
  <c r="S34" i="19"/>
  <c r="D11" i="19"/>
  <c r="D15" i="19" s="1"/>
  <c r="K22" i="19"/>
  <c r="S23" i="19"/>
  <c r="O38" i="19"/>
  <c r="P38" i="19"/>
  <c r="K62" i="19"/>
  <c r="L62" i="19"/>
  <c r="L76" i="19"/>
  <c r="K76" i="19"/>
  <c r="L74" i="19"/>
  <c r="K74" i="19"/>
  <c r="K60" i="19"/>
  <c r="L60" i="19"/>
  <c r="L65" i="19"/>
  <c r="K65" i="19"/>
  <c r="O71" i="19"/>
  <c r="P71" i="19"/>
  <c r="L72" i="19"/>
  <c r="K72" i="19"/>
  <c r="L80" i="19"/>
  <c r="K80" i="19"/>
  <c r="L59" i="19"/>
  <c r="L61" i="19"/>
  <c r="K64" i="19"/>
  <c r="L64" i="19"/>
  <c r="K70" i="19"/>
  <c r="L78" i="19"/>
  <c r="K78" i="19"/>
  <c r="K69" i="19"/>
  <c r="K71" i="19"/>
  <c r="K73" i="19"/>
  <c r="K75" i="19"/>
  <c r="K77" i="19"/>
  <c r="K79" i="19"/>
  <c r="AA9" i="18"/>
  <c r="X11" i="18"/>
  <c r="T21" i="18"/>
  <c r="S21" i="18"/>
  <c r="L13" i="18"/>
  <c r="O11" i="18"/>
  <c r="O22" i="18"/>
  <c r="P22" i="18"/>
  <c r="T23" i="18"/>
  <c r="S23" i="18"/>
  <c r="X35" i="18"/>
  <c r="W35" i="18"/>
  <c r="S9" i="18"/>
  <c r="P11" i="18"/>
  <c r="W9" i="18"/>
  <c r="T11" i="18"/>
  <c r="O9" i="18"/>
  <c r="D15" i="18"/>
  <c r="K22" i="18"/>
  <c r="K23" i="18"/>
  <c r="L24" i="18"/>
  <c r="L30" i="18" s="1"/>
  <c r="P28" i="18"/>
  <c r="H30" i="18"/>
  <c r="O35" i="18"/>
  <c r="O36" i="18"/>
  <c r="K48" i="18"/>
  <c r="L48" i="18"/>
  <c r="P52" i="18"/>
  <c r="O52" i="18"/>
  <c r="P26" i="18"/>
  <c r="L37" i="18"/>
  <c r="H41" i="18"/>
  <c r="O23" i="18"/>
  <c r="S35" i="18"/>
  <c r="O39" i="18"/>
  <c r="P39" i="18"/>
  <c r="P51" i="18"/>
  <c r="O51" i="18"/>
  <c r="G13" i="18"/>
  <c r="AB13" i="18" s="1"/>
  <c r="O21" i="18"/>
  <c r="P33" i="18"/>
  <c r="G41" i="18"/>
  <c r="K59" i="18"/>
  <c r="H66" i="18"/>
  <c r="K66" i="18" s="1"/>
  <c r="L75" i="18"/>
  <c r="K75" i="18"/>
  <c r="L62" i="18"/>
  <c r="K62" i="18"/>
  <c r="L64" i="18"/>
  <c r="K64" i="18"/>
  <c r="L73" i="18"/>
  <c r="K73" i="18"/>
  <c r="K51" i="18"/>
  <c r="K52" i="18"/>
  <c r="K60" i="18"/>
  <c r="X69" i="18"/>
  <c r="W69" i="18"/>
  <c r="L71" i="18"/>
  <c r="K71" i="18"/>
  <c r="L79" i="18"/>
  <c r="K79" i="18"/>
  <c r="L77" i="18"/>
  <c r="K77" i="18"/>
  <c r="K70" i="18"/>
  <c r="K72" i="18"/>
  <c r="K74" i="18"/>
  <c r="K76" i="18"/>
  <c r="K78" i="18"/>
  <c r="K80" i="18"/>
  <c r="G69" i="17"/>
  <c r="H66" i="17"/>
  <c r="K66" i="17" s="1"/>
  <c r="K63" i="17"/>
  <c r="K65" i="17"/>
  <c r="O52" i="17"/>
  <c r="O51" i="17"/>
  <c r="K39" i="17"/>
  <c r="O23" i="17"/>
  <c r="L24" i="17"/>
  <c r="P24" i="17" s="1"/>
  <c r="S24" i="17" s="1"/>
  <c r="O26" i="17"/>
  <c r="L27" i="17"/>
  <c r="L25" i="17"/>
  <c r="P25" i="17" s="1"/>
  <c r="S25" i="17" s="1"/>
  <c r="O9" i="17"/>
  <c r="L11" i="17"/>
  <c r="X11" i="17"/>
  <c r="AA9" i="17"/>
  <c r="D13" i="17"/>
  <c r="D15" i="17" s="1"/>
  <c r="T11" i="17"/>
  <c r="O21" i="17"/>
  <c r="T22" i="17"/>
  <c r="T26" i="17"/>
  <c r="H41" i="17"/>
  <c r="L33" i="17"/>
  <c r="P38" i="17"/>
  <c r="O38" i="17"/>
  <c r="O39" i="17"/>
  <c r="P39" i="17"/>
  <c r="D55" i="17"/>
  <c r="G55" i="17" s="1"/>
  <c r="T51" i="17"/>
  <c r="S51" i="17"/>
  <c r="T23" i="17"/>
  <c r="H30" i="17"/>
  <c r="P35" i="17"/>
  <c r="T52" i="17"/>
  <c r="S52" i="17"/>
  <c r="P11" i="17"/>
  <c r="T21" i="17"/>
  <c r="T28" i="17"/>
  <c r="L34" i="17"/>
  <c r="K34" i="17"/>
  <c r="P36" i="17"/>
  <c r="O36" i="17"/>
  <c r="O37" i="17"/>
  <c r="P37" i="17"/>
  <c r="K48" i="17"/>
  <c r="L48" i="17"/>
  <c r="K62" i="17"/>
  <c r="L62" i="17"/>
  <c r="L70" i="17"/>
  <c r="K70" i="17"/>
  <c r="L78" i="17"/>
  <c r="K78" i="17"/>
  <c r="K64" i="17"/>
  <c r="L64" i="17"/>
  <c r="L76" i="17"/>
  <c r="K76" i="17"/>
  <c r="K36" i="17"/>
  <c r="K38" i="17"/>
  <c r="K59" i="17"/>
  <c r="K60" i="17"/>
  <c r="L74" i="17"/>
  <c r="K74" i="17"/>
  <c r="L59" i="17"/>
  <c r="L72" i="17"/>
  <c r="K72" i="17"/>
  <c r="L80" i="17"/>
  <c r="K80" i="17"/>
  <c r="K69" i="17"/>
  <c r="K71" i="17"/>
  <c r="K73" i="17"/>
  <c r="K75" i="17"/>
  <c r="K77" i="17"/>
  <c r="K79" i="17"/>
  <c r="K59" i="15"/>
  <c r="W10" i="15"/>
  <c r="O10" i="15"/>
  <c r="K10" i="15"/>
  <c r="S36" i="15"/>
  <c r="T36" i="15"/>
  <c r="W36" i="15" s="1"/>
  <c r="P34" i="15"/>
  <c r="P38" i="15"/>
  <c r="L37" i="15"/>
  <c r="O37" i="15" s="1"/>
  <c r="O26" i="15"/>
  <c r="P26" i="15"/>
  <c r="T26" i="15" s="1"/>
  <c r="P24" i="15"/>
  <c r="T24" i="15" s="1"/>
  <c r="K26" i="15"/>
  <c r="D55" i="15"/>
  <c r="P22" i="15"/>
  <c r="S22" i="15" s="1"/>
  <c r="D11" i="15"/>
  <c r="D13" i="15" s="1"/>
  <c r="L23" i="15"/>
  <c r="K23" i="15"/>
  <c r="X11" i="15"/>
  <c r="AA9" i="15"/>
  <c r="K21" i="15"/>
  <c r="H30" i="15"/>
  <c r="L21" i="15"/>
  <c r="K25" i="15"/>
  <c r="L25" i="15"/>
  <c r="L60" i="15"/>
  <c r="K60" i="15"/>
  <c r="S24" i="15"/>
  <c r="K62" i="15"/>
  <c r="L62" i="15"/>
  <c r="L27" i="15"/>
  <c r="T28" i="15"/>
  <c r="K33" i="15"/>
  <c r="P35" i="15"/>
  <c r="P39" i="15"/>
  <c r="G41" i="15"/>
  <c r="K48" i="15"/>
  <c r="H66" i="15"/>
  <c r="L70" i="15"/>
  <c r="K70" i="15"/>
  <c r="L78" i="15"/>
  <c r="K78" i="15"/>
  <c r="K64" i="15"/>
  <c r="L64" i="15"/>
  <c r="L76" i="15"/>
  <c r="K76" i="15"/>
  <c r="L74" i="15"/>
  <c r="K74" i="15"/>
  <c r="O33" i="15"/>
  <c r="T65" i="15"/>
  <c r="L72" i="15"/>
  <c r="K72" i="15"/>
  <c r="L80" i="15"/>
  <c r="K80" i="15"/>
  <c r="K69" i="15"/>
  <c r="K71" i="15"/>
  <c r="K73" i="15"/>
  <c r="K75" i="15"/>
  <c r="K77" i="15"/>
  <c r="K79" i="15"/>
  <c r="L69" i="15"/>
  <c r="T12" i="13"/>
  <c r="P63" i="21" l="1"/>
  <c r="S63" i="21" s="1"/>
  <c r="P37" i="21"/>
  <c r="O37" i="21"/>
  <c r="P77" i="15"/>
  <c r="S77" i="15" s="1"/>
  <c r="T36" i="18"/>
  <c r="X36" i="18" s="1"/>
  <c r="P27" i="19"/>
  <c r="G44" i="27"/>
  <c r="M44" i="27" s="1"/>
  <c r="N44" i="27" s="1"/>
  <c r="E14" i="22"/>
  <c r="E15" i="22" s="1"/>
  <c r="F12" i="22" s="1"/>
  <c r="T27" i="20"/>
  <c r="X27" i="20" s="1"/>
  <c r="P34" i="20"/>
  <c r="O52" i="21"/>
  <c r="X39" i="21"/>
  <c r="AA39" i="21" s="1"/>
  <c r="X35" i="21"/>
  <c r="AB35" i="21" s="1"/>
  <c r="G13" i="21"/>
  <c r="AB13" i="21" s="1"/>
  <c r="AB96" i="21" s="1"/>
  <c r="O27" i="21"/>
  <c r="P27" i="21"/>
  <c r="O28" i="17"/>
  <c r="W38" i="18"/>
  <c r="L41" i="18"/>
  <c r="L46" i="18" s="1"/>
  <c r="O46" i="18" s="1"/>
  <c r="O63" i="19"/>
  <c r="I5" i="26"/>
  <c r="L41" i="21"/>
  <c r="F9" i="28"/>
  <c r="U9" i="28" s="1"/>
  <c r="U10" i="27"/>
  <c r="I62" i="20"/>
  <c r="O25" i="17"/>
  <c r="P79" i="19"/>
  <c r="T79" i="19" s="1"/>
  <c r="S52" i="21"/>
  <c r="O22" i="17"/>
  <c r="D96" i="21"/>
  <c r="G11" i="21"/>
  <c r="G5" i="26"/>
  <c r="M5" i="26" s="1"/>
  <c r="N5" i="26" s="1"/>
  <c r="I11" i="21"/>
  <c r="O65" i="15"/>
  <c r="P61" i="17"/>
  <c r="T61" i="17" s="1"/>
  <c r="O77" i="17"/>
  <c r="T63" i="18"/>
  <c r="W63" i="18" s="1"/>
  <c r="P71" i="17"/>
  <c r="T71" i="17" s="1"/>
  <c r="O76" i="18"/>
  <c r="P79" i="15"/>
  <c r="S79" i="15" s="1"/>
  <c r="P75" i="15"/>
  <c r="T75" i="15" s="1"/>
  <c r="S65" i="21"/>
  <c r="O75" i="17"/>
  <c r="P80" i="18"/>
  <c r="T80" i="18" s="1"/>
  <c r="P71" i="15"/>
  <c r="S71" i="15" s="1"/>
  <c r="P61" i="21"/>
  <c r="S61" i="21" s="1"/>
  <c r="T60" i="17"/>
  <c r="W60" i="17" s="1"/>
  <c r="P79" i="21"/>
  <c r="T79" i="21" s="1"/>
  <c r="S28" i="20"/>
  <c r="S36" i="20"/>
  <c r="K66" i="15"/>
  <c r="P59" i="18"/>
  <c r="T59" i="18" s="1"/>
  <c r="S25" i="18"/>
  <c r="X25" i="18"/>
  <c r="AB25" i="18" s="1"/>
  <c r="O34" i="18"/>
  <c r="P34" i="18"/>
  <c r="O70" i="20"/>
  <c r="P79" i="17"/>
  <c r="T79" i="17" s="1"/>
  <c r="P73" i="17"/>
  <c r="T73" i="17" s="1"/>
  <c r="P73" i="15"/>
  <c r="T73" i="15" s="1"/>
  <c r="O70" i="18"/>
  <c r="O72" i="18"/>
  <c r="O74" i="18"/>
  <c r="O76" i="20"/>
  <c r="O77" i="21"/>
  <c r="O77" i="19"/>
  <c r="O75" i="21"/>
  <c r="P63" i="15"/>
  <c r="T63" i="15" s="1"/>
  <c r="P63" i="17"/>
  <c r="S63" i="17" s="1"/>
  <c r="P68" i="20"/>
  <c r="S68" i="20" s="1"/>
  <c r="O63" i="18"/>
  <c r="P75" i="19"/>
  <c r="T75" i="19" s="1"/>
  <c r="P73" i="21"/>
  <c r="T73" i="21" s="1"/>
  <c r="O59" i="15"/>
  <c r="O65" i="21"/>
  <c r="T65" i="17"/>
  <c r="X65" i="17" s="1"/>
  <c r="O74" i="20"/>
  <c r="S65" i="18"/>
  <c r="P71" i="21"/>
  <c r="T71" i="21" s="1"/>
  <c r="O65" i="18"/>
  <c r="O73" i="19"/>
  <c r="P72" i="20"/>
  <c r="T72" i="20" s="1"/>
  <c r="T63" i="21"/>
  <c r="W63" i="21" s="1"/>
  <c r="O78" i="18"/>
  <c r="O61" i="18"/>
  <c r="T60" i="18"/>
  <c r="W60" i="18" s="1"/>
  <c r="T48" i="19"/>
  <c r="X48" i="19" s="1"/>
  <c r="W48" i="19" s="1"/>
  <c r="O66" i="20"/>
  <c r="P61" i="15"/>
  <c r="T61" i="15" s="1"/>
  <c r="O65" i="17"/>
  <c r="O60" i="17"/>
  <c r="O60" i="18"/>
  <c r="T59" i="15"/>
  <c r="X59" i="15" s="1"/>
  <c r="S26" i="15"/>
  <c r="O26" i="20"/>
  <c r="W26" i="20"/>
  <c r="T27" i="18"/>
  <c r="S27" i="18"/>
  <c r="L30" i="21"/>
  <c r="O30" i="21" s="1"/>
  <c r="W33" i="19"/>
  <c r="O48" i="21"/>
  <c r="P48" i="21"/>
  <c r="O98" i="13"/>
  <c r="K98" i="13"/>
  <c r="O99" i="13"/>
  <c r="O97" i="13"/>
  <c r="K97" i="13"/>
  <c r="G11" i="20"/>
  <c r="L44" i="21"/>
  <c r="L47" i="21"/>
  <c r="O47" i="21" s="1"/>
  <c r="L49" i="21"/>
  <c r="O49" i="21" s="1"/>
  <c r="O69" i="21"/>
  <c r="T61" i="21"/>
  <c r="T75" i="21"/>
  <c r="S75" i="21"/>
  <c r="S73" i="21"/>
  <c r="T77" i="21"/>
  <c r="S77" i="21"/>
  <c r="T36" i="21"/>
  <c r="S36" i="21"/>
  <c r="AB33" i="21"/>
  <c r="AA33" i="21"/>
  <c r="P24" i="21"/>
  <c r="O24" i="21"/>
  <c r="P22" i="21"/>
  <c r="O22" i="21"/>
  <c r="P28" i="21"/>
  <c r="O28" i="21"/>
  <c r="H13" i="21"/>
  <c r="O60" i="21"/>
  <c r="X65" i="21"/>
  <c r="W65" i="21"/>
  <c r="AB39" i="21"/>
  <c r="X52" i="21"/>
  <c r="W52" i="21"/>
  <c r="P80" i="21"/>
  <c r="O80" i="21"/>
  <c r="P72" i="21"/>
  <c r="O72" i="21"/>
  <c r="P64" i="21"/>
  <c r="O64" i="21"/>
  <c r="K60" i="21"/>
  <c r="P76" i="21"/>
  <c r="O76" i="21"/>
  <c r="T38" i="21"/>
  <c r="S38" i="21"/>
  <c r="T34" i="21"/>
  <c r="S34" i="21"/>
  <c r="K44" i="21"/>
  <c r="H53" i="21"/>
  <c r="X59" i="21"/>
  <c r="W59" i="21" s="1"/>
  <c r="X23" i="21"/>
  <c r="W23" i="21"/>
  <c r="P26" i="21"/>
  <c r="O26" i="21"/>
  <c r="S25" i="21"/>
  <c r="T25" i="21"/>
  <c r="X21" i="21"/>
  <c r="W21" i="21"/>
  <c r="X13" i="21"/>
  <c r="X15" i="21" s="1"/>
  <c r="AA15" i="21" s="1"/>
  <c r="AA11" i="21"/>
  <c r="P74" i="21"/>
  <c r="O74" i="21"/>
  <c r="P78" i="21"/>
  <c r="O78" i="21"/>
  <c r="O70" i="21"/>
  <c r="P41" i="21"/>
  <c r="P62" i="21"/>
  <c r="O62" i="21"/>
  <c r="X51" i="21"/>
  <c r="W51" i="21"/>
  <c r="S11" i="21"/>
  <c r="P13" i="21"/>
  <c r="AB15" i="21"/>
  <c r="T13" i="21"/>
  <c r="T15" i="21" s="1"/>
  <c r="W11" i="21"/>
  <c r="O60" i="20"/>
  <c r="G62" i="20"/>
  <c r="W28" i="20"/>
  <c r="S23" i="20"/>
  <c r="T23" i="20"/>
  <c r="P25" i="20"/>
  <c r="O25" i="20"/>
  <c r="T70" i="20"/>
  <c r="S70" i="20"/>
  <c r="X36" i="20"/>
  <c r="W36" i="20"/>
  <c r="T34" i="20"/>
  <c r="S34" i="20"/>
  <c r="AA26" i="20"/>
  <c r="AB26" i="20"/>
  <c r="T74" i="20"/>
  <c r="S74" i="20"/>
  <c r="T66" i="20"/>
  <c r="S66" i="20"/>
  <c r="O69" i="20"/>
  <c r="P69" i="20"/>
  <c r="O73" i="20"/>
  <c r="P73" i="20"/>
  <c r="O65" i="20"/>
  <c r="P65" i="20"/>
  <c r="T52" i="20"/>
  <c r="S52" i="20"/>
  <c r="P48" i="20"/>
  <c r="O48" i="20"/>
  <c r="L41" i="20"/>
  <c r="P33" i="20"/>
  <c r="O33" i="20"/>
  <c r="H13" i="20"/>
  <c r="O71" i="20"/>
  <c r="P71" i="20"/>
  <c r="T51" i="20"/>
  <c r="S51" i="20"/>
  <c r="K30" i="20"/>
  <c r="H44" i="20"/>
  <c r="P39" i="20"/>
  <c r="O39" i="20"/>
  <c r="S38" i="20"/>
  <c r="T38" i="20"/>
  <c r="H49" i="20"/>
  <c r="K49" i="20" s="1"/>
  <c r="H46" i="20"/>
  <c r="K46" i="20" s="1"/>
  <c r="H50" i="20"/>
  <c r="K50" i="20" s="1"/>
  <c r="H47" i="20"/>
  <c r="K47" i="20" s="1"/>
  <c r="H45" i="20"/>
  <c r="K45" i="20" s="1"/>
  <c r="K41" i="20"/>
  <c r="P22" i="20"/>
  <c r="O22" i="20"/>
  <c r="AA28" i="20"/>
  <c r="AB28" i="20"/>
  <c r="O75" i="20"/>
  <c r="P75" i="20"/>
  <c r="O67" i="20"/>
  <c r="P67" i="20"/>
  <c r="T76" i="20"/>
  <c r="S76" i="20"/>
  <c r="P37" i="20"/>
  <c r="O37" i="20"/>
  <c r="P24" i="20"/>
  <c r="O24" i="20"/>
  <c r="D92" i="20"/>
  <c r="G13" i="20"/>
  <c r="T35" i="20"/>
  <c r="S35" i="20"/>
  <c r="L30" i="20"/>
  <c r="S21" i="20"/>
  <c r="T21" i="20"/>
  <c r="P39" i="19"/>
  <c r="O39" i="19"/>
  <c r="S37" i="19"/>
  <c r="T37" i="19"/>
  <c r="O33" i="19"/>
  <c r="L41" i="19"/>
  <c r="L46" i="19" s="1"/>
  <c r="P46" i="19" s="1"/>
  <c r="T77" i="19"/>
  <c r="S77" i="19"/>
  <c r="L66" i="19"/>
  <c r="O59" i="19"/>
  <c r="P59" i="19"/>
  <c r="S63" i="19"/>
  <c r="T63" i="19"/>
  <c r="P74" i="19"/>
  <c r="O74" i="19"/>
  <c r="T38" i="19"/>
  <c r="S38" i="19"/>
  <c r="O21" i="19"/>
  <c r="L30" i="19"/>
  <c r="P21" i="19"/>
  <c r="AA11" i="19"/>
  <c r="X13" i="19"/>
  <c r="AB33" i="19"/>
  <c r="AA33" i="19"/>
  <c r="P78" i="19"/>
  <c r="O78" i="19"/>
  <c r="T71" i="19"/>
  <c r="S71" i="19"/>
  <c r="P64" i="19"/>
  <c r="O64" i="19"/>
  <c r="P60" i="19"/>
  <c r="O60" i="19"/>
  <c r="T73" i="19"/>
  <c r="S73" i="19"/>
  <c r="P62" i="19"/>
  <c r="O62" i="19"/>
  <c r="G11" i="19"/>
  <c r="T13" i="19"/>
  <c r="W11" i="19"/>
  <c r="O36" i="19"/>
  <c r="P36" i="19"/>
  <c r="T26" i="19"/>
  <c r="S26" i="19"/>
  <c r="H45" i="19"/>
  <c r="G49" i="19"/>
  <c r="K46" i="19"/>
  <c r="G50" i="19"/>
  <c r="K41" i="19"/>
  <c r="K11" i="19"/>
  <c r="AA34" i="19"/>
  <c r="AB34" i="19"/>
  <c r="P61" i="19"/>
  <c r="O61" i="19"/>
  <c r="O69" i="19"/>
  <c r="P80" i="19"/>
  <c r="O80" i="19"/>
  <c r="P72" i="19"/>
  <c r="O72" i="19"/>
  <c r="P65" i="19"/>
  <c r="O65" i="19"/>
  <c r="P76" i="19"/>
  <c r="O76" i="19"/>
  <c r="T27" i="19"/>
  <c r="S27" i="19"/>
  <c r="S35" i="19"/>
  <c r="T35" i="19"/>
  <c r="T25" i="19"/>
  <c r="S25" i="19"/>
  <c r="T28" i="19"/>
  <c r="S28" i="19"/>
  <c r="S11" i="19"/>
  <c r="X22" i="19"/>
  <c r="W22" i="19" s="1"/>
  <c r="P70" i="19"/>
  <c r="O70" i="19" s="1"/>
  <c r="W24" i="19"/>
  <c r="X24" i="19"/>
  <c r="L45" i="19"/>
  <c r="O45" i="19" s="1"/>
  <c r="O41" i="19"/>
  <c r="O11" i="19"/>
  <c r="AB99" i="18"/>
  <c r="O79" i="18"/>
  <c r="P79" i="18"/>
  <c r="T61" i="18"/>
  <c r="S61" i="18"/>
  <c r="O75" i="18"/>
  <c r="P75" i="18"/>
  <c r="T51" i="18"/>
  <c r="S51" i="18"/>
  <c r="T28" i="18"/>
  <c r="S28" i="18"/>
  <c r="P13" i="18"/>
  <c r="S11" i="18"/>
  <c r="W21" i="18"/>
  <c r="X21" i="18"/>
  <c r="T76" i="18"/>
  <c r="S76" i="18"/>
  <c r="T78" i="18"/>
  <c r="S78" i="18"/>
  <c r="AB69" i="18"/>
  <c r="AA69" i="18"/>
  <c r="X63" i="18"/>
  <c r="T72" i="18"/>
  <c r="S72" i="18"/>
  <c r="P62" i="18"/>
  <c r="O62" i="18"/>
  <c r="T74" i="18"/>
  <c r="S74" i="18"/>
  <c r="L44" i="18"/>
  <c r="O30" i="18"/>
  <c r="T39" i="18"/>
  <c r="S39" i="18"/>
  <c r="H50" i="18"/>
  <c r="K50" i="18" s="1"/>
  <c r="H47" i="18"/>
  <c r="K47" i="18" s="1"/>
  <c r="H49" i="18"/>
  <c r="K49" i="18" s="1"/>
  <c r="H46" i="18"/>
  <c r="K46" i="18" s="1"/>
  <c r="H45" i="18"/>
  <c r="K45" i="18" s="1"/>
  <c r="K41" i="18"/>
  <c r="T52" i="18"/>
  <c r="S52" i="18"/>
  <c r="W23" i="18"/>
  <c r="X23" i="18"/>
  <c r="T70" i="18"/>
  <c r="S70" i="18"/>
  <c r="L66" i="18"/>
  <c r="O66" i="18" s="1"/>
  <c r="S33" i="18"/>
  <c r="T33" i="18"/>
  <c r="P37" i="18"/>
  <c r="O37" i="18"/>
  <c r="P48" i="18"/>
  <c r="O48" i="18"/>
  <c r="O24" i="18"/>
  <c r="P24" i="18"/>
  <c r="T13" i="18"/>
  <c r="W11" i="18"/>
  <c r="AA25" i="18"/>
  <c r="T22" i="18"/>
  <c r="S22" i="18"/>
  <c r="L99" i="18"/>
  <c r="O13" i="18"/>
  <c r="X13" i="18"/>
  <c r="AA11" i="18"/>
  <c r="O77" i="18"/>
  <c r="P77" i="18"/>
  <c r="O71" i="18"/>
  <c r="P71" i="18"/>
  <c r="X65" i="18"/>
  <c r="W65" i="18"/>
  <c r="O73" i="18"/>
  <c r="P73" i="18"/>
  <c r="P64" i="18"/>
  <c r="O64" i="18"/>
  <c r="L49" i="18"/>
  <c r="O49" i="18" s="1"/>
  <c r="L45" i="18"/>
  <c r="O45" i="18" s="1"/>
  <c r="O41" i="18"/>
  <c r="AB38" i="18"/>
  <c r="AA38" i="18"/>
  <c r="T26" i="18"/>
  <c r="S26" i="18"/>
  <c r="H44" i="18"/>
  <c r="K30" i="18"/>
  <c r="AA35" i="18"/>
  <c r="AB35" i="18"/>
  <c r="L30" i="17"/>
  <c r="L44" i="17" s="1"/>
  <c r="O24" i="17"/>
  <c r="T25" i="17"/>
  <c r="X25" i="17" s="1"/>
  <c r="P27" i="17"/>
  <c r="O27" i="17"/>
  <c r="T24" i="17"/>
  <c r="W24" i="17" s="1"/>
  <c r="P76" i="17"/>
  <c r="O76" i="17"/>
  <c r="P80" i="17"/>
  <c r="O80" i="17"/>
  <c r="P74" i="17"/>
  <c r="O74" i="17"/>
  <c r="P48" i="17"/>
  <c r="O48" i="17"/>
  <c r="O30" i="17"/>
  <c r="P13" i="17"/>
  <c r="S11" i="17"/>
  <c r="K30" i="17"/>
  <c r="H44" i="17"/>
  <c r="T39" i="17"/>
  <c r="S39" i="17"/>
  <c r="L41" i="17"/>
  <c r="O33" i="17"/>
  <c r="P33" i="17"/>
  <c r="D96" i="17"/>
  <c r="P64" i="17"/>
  <c r="O64" i="17"/>
  <c r="P78" i="17"/>
  <c r="O78" i="17"/>
  <c r="P70" i="17"/>
  <c r="O70" i="17"/>
  <c r="P62" i="17"/>
  <c r="O62" i="17"/>
  <c r="T36" i="17"/>
  <c r="S36" i="17"/>
  <c r="X28" i="17"/>
  <c r="W28" i="17"/>
  <c r="H50" i="17"/>
  <c r="K50" i="17" s="1"/>
  <c r="H47" i="17"/>
  <c r="K47" i="17" s="1"/>
  <c r="K41" i="17"/>
  <c r="H45" i="17"/>
  <c r="K45" i="17" s="1"/>
  <c r="H49" i="17"/>
  <c r="K49" i="17" s="1"/>
  <c r="H46" i="17"/>
  <c r="K46" i="17" s="1"/>
  <c r="X22" i="17"/>
  <c r="W22" i="17"/>
  <c r="AA11" i="17"/>
  <c r="X13" i="17"/>
  <c r="T77" i="17"/>
  <c r="S77" i="17"/>
  <c r="T37" i="17"/>
  <c r="S37" i="17"/>
  <c r="W52" i="17"/>
  <c r="X52" i="17"/>
  <c r="X51" i="17"/>
  <c r="W51" i="17"/>
  <c r="O69" i="17"/>
  <c r="T75" i="17"/>
  <c r="S75" i="17"/>
  <c r="P34" i="17"/>
  <c r="O34" i="17"/>
  <c r="X21" i="17"/>
  <c r="W21" i="17"/>
  <c r="T35" i="17"/>
  <c r="S35" i="17"/>
  <c r="X23" i="17"/>
  <c r="W23" i="17"/>
  <c r="T38" i="17"/>
  <c r="S38" i="17"/>
  <c r="X26" i="17"/>
  <c r="W26" i="17"/>
  <c r="T13" i="17"/>
  <c r="W11" i="17"/>
  <c r="L13" i="17"/>
  <c r="O11" i="17"/>
  <c r="L66" i="17"/>
  <c r="O66" i="17" s="1"/>
  <c r="O59" i="17"/>
  <c r="P59" i="17"/>
  <c r="P72" i="17"/>
  <c r="O72" i="17"/>
  <c r="O9" i="15"/>
  <c r="L66" i="15"/>
  <c r="L11" i="15"/>
  <c r="S34" i="15"/>
  <c r="T34" i="15"/>
  <c r="P37" i="15"/>
  <c r="P41" i="15" s="1"/>
  <c r="L41" i="15"/>
  <c r="X36" i="15"/>
  <c r="AB36" i="15" s="1"/>
  <c r="S38" i="15"/>
  <c r="T38" i="15"/>
  <c r="T22" i="15"/>
  <c r="X22" i="15" s="1"/>
  <c r="P72" i="15"/>
  <c r="O72" i="15"/>
  <c r="P74" i="15"/>
  <c r="O74" i="15"/>
  <c r="P78" i="15"/>
  <c r="O78" i="15"/>
  <c r="T39" i="15"/>
  <c r="S39" i="15"/>
  <c r="X28" i="15"/>
  <c r="W28" i="15"/>
  <c r="P21" i="15"/>
  <c r="O21" i="15"/>
  <c r="L30" i="15"/>
  <c r="P64" i="15"/>
  <c r="O64" i="15"/>
  <c r="P27" i="15"/>
  <c r="O27" i="15"/>
  <c r="K30" i="15"/>
  <c r="X65" i="15"/>
  <c r="W65" i="15"/>
  <c r="P76" i="15"/>
  <c r="O76" i="15"/>
  <c r="P48" i="15"/>
  <c r="O48" i="15" s="1"/>
  <c r="T37" i="15"/>
  <c r="S33" i="15"/>
  <c r="P62" i="15"/>
  <c r="O62" i="15"/>
  <c r="P25" i="15"/>
  <c r="O25" i="15"/>
  <c r="X26" i="15"/>
  <c r="W26" i="15"/>
  <c r="H49" i="15"/>
  <c r="G49" i="15" s="1"/>
  <c r="G50" i="15"/>
  <c r="W24" i="15"/>
  <c r="X24" i="15"/>
  <c r="P60" i="15"/>
  <c r="O60" i="15"/>
  <c r="P70" i="15"/>
  <c r="O70" i="15"/>
  <c r="T35" i="15"/>
  <c r="S35" i="15"/>
  <c r="X13" i="15"/>
  <c r="X15" i="15" s="1"/>
  <c r="AA15" i="15" s="1"/>
  <c r="AA11" i="15"/>
  <c r="P23" i="15"/>
  <c r="O23" i="15"/>
  <c r="P80" i="15"/>
  <c r="O80" i="15"/>
  <c r="T71" i="15"/>
  <c r="O69" i="15"/>
  <c r="P69" i="15"/>
  <c r="H47" i="15"/>
  <c r="G47" i="15" s="1"/>
  <c r="O46" i="19" l="1"/>
  <c r="S61" i="15"/>
  <c r="X60" i="17"/>
  <c r="S63" i="15"/>
  <c r="S79" i="19"/>
  <c r="O66" i="19"/>
  <c r="K66" i="19"/>
  <c r="T79" i="15"/>
  <c r="W79" i="15" s="1"/>
  <c r="S73" i="15"/>
  <c r="T77" i="15"/>
  <c r="X77" i="15" s="1"/>
  <c r="W36" i="18"/>
  <c r="L46" i="21"/>
  <c r="O46" i="21" s="1"/>
  <c r="L45" i="21"/>
  <c r="O45" i="21" s="1"/>
  <c r="O41" i="21"/>
  <c r="AA35" i="21"/>
  <c r="S75" i="15"/>
  <c r="W59" i="15"/>
  <c r="AA36" i="15"/>
  <c r="Q41" i="15"/>
  <c r="W25" i="17"/>
  <c r="L50" i="18"/>
  <c r="O50" i="18" s="1"/>
  <c r="P41" i="18"/>
  <c r="W27" i="20"/>
  <c r="T27" i="21"/>
  <c r="S27" i="21"/>
  <c r="L44" i="15"/>
  <c r="M41" i="15"/>
  <c r="S61" i="17"/>
  <c r="L47" i="18"/>
  <c r="O47" i="18" s="1"/>
  <c r="S72" i="20"/>
  <c r="S37" i="21"/>
  <c r="T37" i="21"/>
  <c r="T41" i="21" s="1"/>
  <c r="G13" i="26"/>
  <c r="M13" i="26" s="1"/>
  <c r="N13" i="26" s="1"/>
  <c r="X60" i="18"/>
  <c r="S79" i="21"/>
  <c r="S59" i="18"/>
  <c r="S71" i="17"/>
  <c r="S73" i="17"/>
  <c r="S80" i="18"/>
  <c r="X63" i="21"/>
  <c r="AA63" i="21" s="1"/>
  <c r="T68" i="20"/>
  <c r="X68" i="20" s="1"/>
  <c r="K30" i="19"/>
  <c r="M30" i="19"/>
  <c r="L44" i="19"/>
  <c r="K44" i="19" s="1"/>
  <c r="S37" i="15"/>
  <c r="W22" i="15"/>
  <c r="O66" i="15"/>
  <c r="S34" i="18"/>
  <c r="T34" i="18"/>
  <c r="X24" i="17"/>
  <c r="W65" i="17"/>
  <c r="L50" i="21"/>
  <c r="O50" i="21" s="1"/>
  <c r="W15" i="21"/>
  <c r="S48" i="19"/>
  <c r="S79" i="17"/>
  <c r="S75" i="19"/>
  <c r="T63" i="17"/>
  <c r="X63" i="17" s="1"/>
  <c r="S71" i="21"/>
  <c r="G59" i="21"/>
  <c r="H66" i="21"/>
  <c r="G44" i="42" s="1"/>
  <c r="O41" i="15"/>
  <c r="P44" i="15"/>
  <c r="P30" i="20"/>
  <c r="W27" i="18"/>
  <c r="X27" i="18"/>
  <c r="S48" i="21"/>
  <c r="T48" i="21"/>
  <c r="X71" i="21"/>
  <c r="W71" i="21"/>
  <c r="S69" i="21"/>
  <c r="T62" i="21"/>
  <c r="S62" i="21"/>
  <c r="AB21" i="21"/>
  <c r="AA21" i="21"/>
  <c r="T26" i="21"/>
  <c r="S26" i="21"/>
  <c r="AB59" i="21"/>
  <c r="T64" i="21"/>
  <c r="S64" i="21"/>
  <c r="T80" i="21"/>
  <c r="S80" i="21"/>
  <c r="AB65" i="21"/>
  <c r="AA65" i="21"/>
  <c r="AB63" i="21"/>
  <c r="S22" i="21"/>
  <c r="T22" i="21"/>
  <c r="P30" i="21"/>
  <c r="P47" i="21" s="1"/>
  <c r="S47" i="21" s="1"/>
  <c r="X75" i="21"/>
  <c r="W75" i="21"/>
  <c r="P96" i="21"/>
  <c r="S13" i="21"/>
  <c r="P45" i="21"/>
  <c r="S45" i="21" s="1"/>
  <c r="P46" i="21"/>
  <c r="S46" i="21" s="1"/>
  <c r="S41" i="21"/>
  <c r="S70" i="21"/>
  <c r="T74" i="21"/>
  <c r="S74" i="21"/>
  <c r="X79" i="21"/>
  <c r="W79" i="21"/>
  <c r="X25" i="21"/>
  <c r="W25" i="21"/>
  <c r="X34" i="21"/>
  <c r="W34" i="21"/>
  <c r="T76" i="21"/>
  <c r="S76" i="21"/>
  <c r="S24" i="21"/>
  <c r="T24" i="21"/>
  <c r="X77" i="21"/>
  <c r="W77" i="21"/>
  <c r="X73" i="21"/>
  <c r="W73" i="21"/>
  <c r="X61" i="21"/>
  <c r="W61" i="21"/>
  <c r="T96" i="21"/>
  <c r="W13" i="21"/>
  <c r="AB51" i="21"/>
  <c r="AA51" i="21"/>
  <c r="AA23" i="21"/>
  <c r="AB23" i="21"/>
  <c r="H55" i="21"/>
  <c r="K53" i="21"/>
  <c r="T72" i="21"/>
  <c r="S72" i="21"/>
  <c r="AB52" i="21"/>
  <c r="AA52" i="21"/>
  <c r="S60" i="21"/>
  <c r="H96" i="21"/>
  <c r="K13" i="21"/>
  <c r="T28" i="21"/>
  <c r="S28" i="21"/>
  <c r="X36" i="21"/>
  <c r="W36" i="21"/>
  <c r="O44" i="21"/>
  <c r="T78" i="21"/>
  <c r="S78" i="21"/>
  <c r="X96" i="21"/>
  <c r="AA13" i="21"/>
  <c r="X38" i="21"/>
  <c r="W38" i="21"/>
  <c r="S60" i="20"/>
  <c r="S25" i="20"/>
  <c r="T25" i="20"/>
  <c r="X23" i="20"/>
  <c r="W23" i="20"/>
  <c r="P44" i="20"/>
  <c r="S30" i="20"/>
  <c r="W35" i="20"/>
  <c r="X35" i="20"/>
  <c r="S24" i="20"/>
  <c r="T24" i="20"/>
  <c r="W76" i="20"/>
  <c r="X76" i="20"/>
  <c r="P41" i="20"/>
  <c r="S33" i="20"/>
  <c r="T33" i="20"/>
  <c r="P62" i="20"/>
  <c r="I44" i="27" s="1"/>
  <c r="T59" i="20"/>
  <c r="T75" i="20"/>
  <c r="S75" i="20"/>
  <c r="X38" i="20"/>
  <c r="W38" i="20"/>
  <c r="T39" i="20"/>
  <c r="S39" i="20"/>
  <c r="W51" i="20"/>
  <c r="X51" i="20"/>
  <c r="T71" i="20"/>
  <c r="S71" i="20"/>
  <c r="L45" i="20"/>
  <c r="O45" i="20" s="1"/>
  <c r="O41" i="20"/>
  <c r="L49" i="20"/>
  <c r="O49" i="20" s="1"/>
  <c r="L46" i="20"/>
  <c r="O46" i="20" s="1"/>
  <c r="L50" i="20"/>
  <c r="O50" i="20" s="1"/>
  <c r="L47" i="20"/>
  <c r="O47" i="20" s="1"/>
  <c r="W52" i="20"/>
  <c r="X52" i="20"/>
  <c r="T73" i="20"/>
  <c r="S73" i="20"/>
  <c r="W74" i="20"/>
  <c r="X74" i="20"/>
  <c r="L44" i="20"/>
  <c r="O30" i="20"/>
  <c r="T37" i="20"/>
  <c r="S37" i="20"/>
  <c r="T22" i="20"/>
  <c r="T30" i="20" s="1"/>
  <c r="S22" i="20"/>
  <c r="K44" i="20"/>
  <c r="H53" i="20"/>
  <c r="H92" i="20"/>
  <c r="K13" i="20"/>
  <c r="T65" i="20"/>
  <c r="S65" i="20"/>
  <c r="T69" i="20"/>
  <c r="S69" i="20"/>
  <c r="AA36" i="20"/>
  <c r="AB36" i="20"/>
  <c r="T67" i="20"/>
  <c r="S67" i="20"/>
  <c r="AA27" i="20"/>
  <c r="AB27" i="20"/>
  <c r="T48" i="20"/>
  <c r="S48" i="20"/>
  <c r="W66" i="20"/>
  <c r="X66" i="20"/>
  <c r="X21" i="20"/>
  <c r="W21" i="20"/>
  <c r="W72" i="20"/>
  <c r="X72" i="20"/>
  <c r="X34" i="20"/>
  <c r="W34" i="20"/>
  <c r="W70" i="20"/>
  <c r="X70" i="20"/>
  <c r="L47" i="19"/>
  <c r="K47" i="19" s="1"/>
  <c r="S39" i="19"/>
  <c r="T39" i="19"/>
  <c r="W37" i="19"/>
  <c r="X37" i="19"/>
  <c r="L49" i="19"/>
  <c r="K49" i="19" s="1"/>
  <c r="L50" i="19"/>
  <c r="K50" i="19" s="1"/>
  <c r="AB48" i="19"/>
  <c r="AA48" i="19" s="1"/>
  <c r="W27" i="19"/>
  <c r="X27" i="19"/>
  <c r="K45" i="19"/>
  <c r="H53" i="19"/>
  <c r="T64" i="19"/>
  <c r="S64" i="19"/>
  <c r="X96" i="19"/>
  <c r="AA13" i="19"/>
  <c r="X38" i="19"/>
  <c r="W38" i="19"/>
  <c r="T74" i="19"/>
  <c r="S74" i="19"/>
  <c r="T70" i="19"/>
  <c r="S70" i="19" s="1"/>
  <c r="P96" i="19"/>
  <c r="S13" i="19"/>
  <c r="W28" i="19"/>
  <c r="X28" i="19"/>
  <c r="T76" i="19"/>
  <c r="S76" i="19"/>
  <c r="T72" i="19"/>
  <c r="S72" i="19"/>
  <c r="S62" i="19"/>
  <c r="T62" i="19"/>
  <c r="S60" i="19"/>
  <c r="T60" i="19"/>
  <c r="X71" i="19"/>
  <c r="W71" i="19"/>
  <c r="X77" i="19"/>
  <c r="W77" i="19"/>
  <c r="L96" i="19"/>
  <c r="O13" i="19"/>
  <c r="T96" i="19"/>
  <c r="W13" i="19"/>
  <c r="D96" i="19"/>
  <c r="S59" i="19"/>
  <c r="P66" i="19"/>
  <c r="S66" i="19" s="1"/>
  <c r="T59" i="19"/>
  <c r="X75" i="19"/>
  <c r="W75" i="19"/>
  <c r="T80" i="19"/>
  <c r="S80" i="19"/>
  <c r="X73" i="19"/>
  <c r="W73" i="19"/>
  <c r="X79" i="19"/>
  <c r="W79" i="19"/>
  <c r="AB24" i="19"/>
  <c r="AA24" i="19"/>
  <c r="AB22" i="19"/>
  <c r="AA22" i="19" s="1"/>
  <c r="X25" i="19"/>
  <c r="W25" i="19"/>
  <c r="S65" i="19"/>
  <c r="T65" i="19"/>
  <c r="W26" i="19"/>
  <c r="X26" i="19"/>
  <c r="T78" i="19"/>
  <c r="S78" i="19"/>
  <c r="P30" i="19"/>
  <c r="T21" i="19"/>
  <c r="S21" i="19" s="1"/>
  <c r="X35" i="19"/>
  <c r="W35" i="19"/>
  <c r="T69" i="19"/>
  <c r="S69" i="19" s="1"/>
  <c r="S61" i="19"/>
  <c r="T61" i="19"/>
  <c r="T36" i="19"/>
  <c r="S36" i="19"/>
  <c r="X63" i="19"/>
  <c r="W63" i="19"/>
  <c r="P41" i="19"/>
  <c r="T99" i="18"/>
  <c r="W13" i="18"/>
  <c r="X26" i="18"/>
  <c r="W26" i="18"/>
  <c r="S64" i="18"/>
  <c r="T64" i="18"/>
  <c r="P66" i="18"/>
  <c r="S66" i="18" s="1"/>
  <c r="W39" i="18"/>
  <c r="X39" i="18"/>
  <c r="W72" i="18"/>
  <c r="X72" i="18"/>
  <c r="AA63" i="18"/>
  <c r="AB63" i="18"/>
  <c r="T73" i="18"/>
  <c r="S73" i="18"/>
  <c r="W59" i="18"/>
  <c r="X59" i="18"/>
  <c r="X99" i="18"/>
  <c r="AA13" i="18"/>
  <c r="T24" i="18"/>
  <c r="T30" i="18" s="1"/>
  <c r="S24" i="18"/>
  <c r="X33" i="18"/>
  <c r="W33" i="18"/>
  <c r="W78" i="18"/>
  <c r="X78" i="18"/>
  <c r="AA36" i="18"/>
  <c r="AB36" i="18"/>
  <c r="X51" i="18"/>
  <c r="W51" i="18"/>
  <c r="H53" i="18"/>
  <c r="K44" i="18"/>
  <c r="AB60" i="18"/>
  <c r="AA60" i="18"/>
  <c r="T77" i="18"/>
  <c r="S77" i="18"/>
  <c r="W22" i="18"/>
  <c r="X22" i="18"/>
  <c r="T48" i="18"/>
  <c r="S48" i="18"/>
  <c r="W70" i="18"/>
  <c r="X70" i="18"/>
  <c r="L53" i="18"/>
  <c r="O44" i="18"/>
  <c r="S62" i="18"/>
  <c r="T62" i="18"/>
  <c r="W80" i="18"/>
  <c r="X80" i="18"/>
  <c r="P99" i="18"/>
  <c r="S13" i="18"/>
  <c r="T75" i="18"/>
  <c r="S75" i="18"/>
  <c r="P30" i="18"/>
  <c r="P47" i="18" s="1"/>
  <c r="S47" i="18" s="1"/>
  <c r="AA65" i="18"/>
  <c r="AB65" i="18"/>
  <c r="P45" i="18"/>
  <c r="S45" i="18" s="1"/>
  <c r="P50" i="18"/>
  <c r="S50" i="18" s="1"/>
  <c r="P46" i="18"/>
  <c r="S46" i="18" s="1"/>
  <c r="S41" i="18"/>
  <c r="W76" i="18"/>
  <c r="X76" i="18"/>
  <c r="AB21" i="18"/>
  <c r="AA21" i="18"/>
  <c r="X28" i="18"/>
  <c r="W28" i="18"/>
  <c r="X61" i="18"/>
  <c r="W61" i="18"/>
  <c r="T71" i="18"/>
  <c r="S71" i="18"/>
  <c r="T37" i="18"/>
  <c r="S37" i="18"/>
  <c r="AB23" i="18"/>
  <c r="AA23" i="18"/>
  <c r="W52" i="18"/>
  <c r="X52" i="18"/>
  <c r="W74" i="18"/>
  <c r="X74" i="18"/>
  <c r="T79" i="18"/>
  <c r="S79" i="18"/>
  <c r="S27" i="17"/>
  <c r="T27" i="17"/>
  <c r="P30" i="17"/>
  <c r="X77" i="17"/>
  <c r="W77" i="17"/>
  <c r="AA21" i="17"/>
  <c r="AB21" i="17"/>
  <c r="X35" i="17"/>
  <c r="W35" i="17"/>
  <c r="T69" i="17"/>
  <c r="S69" i="17"/>
  <c r="AB51" i="17"/>
  <c r="AA51" i="17"/>
  <c r="X37" i="17"/>
  <c r="W37" i="17"/>
  <c r="AA25" i="17"/>
  <c r="AB25" i="17"/>
  <c r="T62" i="17"/>
  <c r="S62" i="17"/>
  <c r="X73" i="17"/>
  <c r="W73" i="17"/>
  <c r="X71" i="17"/>
  <c r="W71" i="17"/>
  <c r="T72" i="17"/>
  <c r="S72" i="17"/>
  <c r="T34" i="17"/>
  <c r="S34" i="17"/>
  <c r="AB52" i="17"/>
  <c r="AA52" i="17"/>
  <c r="AA60" i="17"/>
  <c r="AB60" i="17"/>
  <c r="X61" i="17"/>
  <c r="W61" i="17"/>
  <c r="T33" i="17"/>
  <c r="S33" i="17"/>
  <c r="P41" i="17"/>
  <c r="X39" i="17"/>
  <c r="W39" i="17"/>
  <c r="P96" i="17"/>
  <c r="S13" i="17"/>
  <c r="O44" i="17"/>
  <c r="T48" i="17"/>
  <c r="S48" i="17"/>
  <c r="T74" i="17"/>
  <c r="S74" i="17"/>
  <c r="T96" i="17"/>
  <c r="W13" i="17"/>
  <c r="AA28" i="17"/>
  <c r="AB28" i="17"/>
  <c r="W36" i="17"/>
  <c r="X36" i="17"/>
  <c r="T70" i="17"/>
  <c r="S70" i="17"/>
  <c r="T64" i="17"/>
  <c r="S64" i="17"/>
  <c r="X79" i="17"/>
  <c r="W79" i="17"/>
  <c r="H53" i="17"/>
  <c r="K44" i="17"/>
  <c r="L96" i="17"/>
  <c r="O13" i="17"/>
  <c r="AA23" i="17"/>
  <c r="AB23" i="17"/>
  <c r="L49" i="17"/>
  <c r="O49" i="17" s="1"/>
  <c r="L46" i="17"/>
  <c r="O46" i="17" s="1"/>
  <c r="L50" i="17"/>
  <c r="O50" i="17" s="1"/>
  <c r="L47" i="17"/>
  <c r="O47" i="17" s="1"/>
  <c r="L45" i="17"/>
  <c r="O45" i="17" s="1"/>
  <c r="O41" i="17"/>
  <c r="T80" i="17"/>
  <c r="S80" i="17"/>
  <c r="AB65" i="17"/>
  <c r="AA65" i="17"/>
  <c r="P66" i="17"/>
  <c r="S66" i="17" s="1"/>
  <c r="T59" i="17"/>
  <c r="S59" i="17"/>
  <c r="AA26" i="17"/>
  <c r="AB26" i="17"/>
  <c r="X75" i="17"/>
  <c r="W75" i="17"/>
  <c r="X96" i="17"/>
  <c r="AA13" i="17"/>
  <c r="W38" i="17"/>
  <c r="X38" i="17"/>
  <c r="AA24" i="17"/>
  <c r="AB24" i="17"/>
  <c r="AA22" i="17"/>
  <c r="AB22" i="17"/>
  <c r="T78" i="17"/>
  <c r="S78" i="17"/>
  <c r="T76" i="17"/>
  <c r="S76" i="17"/>
  <c r="L96" i="15"/>
  <c r="P11" i="15"/>
  <c r="K41" i="15"/>
  <c r="K45" i="15"/>
  <c r="K46" i="15"/>
  <c r="W34" i="15"/>
  <c r="X34" i="15"/>
  <c r="W38" i="15"/>
  <c r="X38" i="15"/>
  <c r="AB22" i="15"/>
  <c r="AA22" i="15"/>
  <c r="X63" i="15"/>
  <c r="W63" i="15"/>
  <c r="AB65" i="15"/>
  <c r="AA65" i="15"/>
  <c r="X96" i="15"/>
  <c r="AA13" i="15"/>
  <c r="X35" i="15"/>
  <c r="W35" i="15"/>
  <c r="AB26" i="15"/>
  <c r="AA26" i="15"/>
  <c r="T62" i="15"/>
  <c r="S62" i="15"/>
  <c r="D96" i="15"/>
  <c r="O30" i="15"/>
  <c r="L50" i="15"/>
  <c r="L47" i="15"/>
  <c r="K47" i="15" s="1"/>
  <c r="L49" i="15"/>
  <c r="AB28" i="15"/>
  <c r="AA28" i="15"/>
  <c r="T74" i="15"/>
  <c r="S74" i="15"/>
  <c r="T69" i="15"/>
  <c r="S69" i="15"/>
  <c r="X71" i="15"/>
  <c r="W71" i="15"/>
  <c r="T80" i="15"/>
  <c r="S80" i="15"/>
  <c r="AB59" i="15"/>
  <c r="AA59" i="15"/>
  <c r="X37" i="15"/>
  <c r="W37" i="15"/>
  <c r="T76" i="15"/>
  <c r="S76" i="15"/>
  <c r="D15" i="15"/>
  <c r="H53" i="15"/>
  <c r="K44" i="15"/>
  <c r="T64" i="15"/>
  <c r="S64" i="15"/>
  <c r="T70" i="15"/>
  <c r="S70" i="15"/>
  <c r="X79" i="15"/>
  <c r="S60" i="15"/>
  <c r="T60" i="15"/>
  <c r="P66" i="15"/>
  <c r="T25" i="15"/>
  <c r="S25" i="15"/>
  <c r="T27" i="15"/>
  <c r="S27" i="15"/>
  <c r="P30" i="15"/>
  <c r="P49" i="15" s="1"/>
  <c r="T21" i="15"/>
  <c r="S21" i="15"/>
  <c r="X39" i="15"/>
  <c r="W39" i="15"/>
  <c r="T78" i="15"/>
  <c r="S78" i="15"/>
  <c r="T23" i="15"/>
  <c r="S23" i="15"/>
  <c r="AB24" i="15"/>
  <c r="AA24" i="15"/>
  <c r="T48" i="15"/>
  <c r="S48" i="15" s="1"/>
  <c r="W77" i="15"/>
  <c r="X73" i="15"/>
  <c r="W73" i="15"/>
  <c r="X61" i="15"/>
  <c r="W61" i="15"/>
  <c r="X75" i="15"/>
  <c r="W75" i="15"/>
  <c r="T41" i="15"/>
  <c r="S41" i="15" s="1"/>
  <c r="X33" i="15"/>
  <c r="W33" i="15" s="1"/>
  <c r="T72" i="15"/>
  <c r="S72" i="15"/>
  <c r="L53" i="21" l="1"/>
  <c r="M44" i="42"/>
  <c r="N44" i="42" s="1"/>
  <c r="X27" i="21"/>
  <c r="W27" i="21"/>
  <c r="Q11" i="15"/>
  <c r="W63" i="17"/>
  <c r="T41" i="18"/>
  <c r="T47" i="18" s="1"/>
  <c r="W47" i="18" s="1"/>
  <c r="W37" i="21"/>
  <c r="X37" i="21"/>
  <c r="T41" i="19"/>
  <c r="P50" i="21"/>
  <c r="S50" i="21" s="1"/>
  <c r="W68" i="20"/>
  <c r="G53" i="19"/>
  <c r="I53" i="19"/>
  <c r="I66" i="21"/>
  <c r="G53" i="15"/>
  <c r="I53" i="15"/>
  <c r="O30" i="19"/>
  <c r="Q30" i="19"/>
  <c r="K59" i="20"/>
  <c r="O59" i="20"/>
  <c r="L62" i="20"/>
  <c r="O62" i="20" s="1"/>
  <c r="S66" i="15"/>
  <c r="W34" i="18"/>
  <c r="X34" i="18"/>
  <c r="P49" i="21"/>
  <c r="S49" i="21" s="1"/>
  <c r="G44" i="26"/>
  <c r="M44" i="26" s="1"/>
  <c r="N44" i="26" s="1"/>
  <c r="G66" i="21"/>
  <c r="AB27" i="18"/>
  <c r="AA27" i="18"/>
  <c r="K59" i="21"/>
  <c r="L66" i="21"/>
  <c r="H44" i="26" s="1"/>
  <c r="X48" i="21"/>
  <c r="W48" i="21"/>
  <c r="S59" i="20"/>
  <c r="X59" i="20"/>
  <c r="W60" i="20"/>
  <c r="W26" i="21"/>
  <c r="X26" i="21"/>
  <c r="L55" i="21"/>
  <c r="O53" i="21"/>
  <c r="K55" i="21"/>
  <c r="AB61" i="21"/>
  <c r="AA61" i="21"/>
  <c r="AB77" i="21"/>
  <c r="AA77" i="21"/>
  <c r="AB34" i="21"/>
  <c r="AA34" i="21"/>
  <c r="AB79" i="21"/>
  <c r="AA79" i="21"/>
  <c r="X70" i="21"/>
  <c r="W70" i="21" s="1"/>
  <c r="P44" i="21"/>
  <c r="S30" i="21"/>
  <c r="W80" i="21"/>
  <c r="X80" i="21"/>
  <c r="AA59" i="21"/>
  <c r="W62" i="21"/>
  <c r="X62" i="21"/>
  <c r="T46" i="21"/>
  <c r="W46" i="21" s="1"/>
  <c r="W41" i="21"/>
  <c r="T45" i="21"/>
  <c r="W45" i="21" s="1"/>
  <c r="AB36" i="21"/>
  <c r="AA36" i="21"/>
  <c r="X28" i="21"/>
  <c r="W28" i="21"/>
  <c r="X60" i="21"/>
  <c r="T66" i="21"/>
  <c r="W24" i="21"/>
  <c r="X24" i="21"/>
  <c r="W76" i="21"/>
  <c r="X76" i="21"/>
  <c r="AB75" i="21"/>
  <c r="AA75" i="21"/>
  <c r="W22" i="21"/>
  <c r="X22" i="21"/>
  <c r="T30" i="21"/>
  <c r="T49" i="21" s="1"/>
  <c r="W49" i="21" s="1"/>
  <c r="AB38" i="21"/>
  <c r="AA38" i="21"/>
  <c r="W72" i="21"/>
  <c r="X72" i="21"/>
  <c r="AB25" i="21"/>
  <c r="AA25" i="21"/>
  <c r="W74" i="21"/>
  <c r="X74" i="21"/>
  <c r="X64" i="21"/>
  <c r="W64" i="21"/>
  <c r="AB71" i="21"/>
  <c r="AA71" i="21"/>
  <c r="W78" i="21"/>
  <c r="X78" i="21"/>
  <c r="AB73" i="21"/>
  <c r="AA73" i="21"/>
  <c r="X69" i="21"/>
  <c r="W69" i="21" s="1"/>
  <c r="X25" i="20"/>
  <c r="W25" i="20"/>
  <c r="AB23" i="20"/>
  <c r="AA23" i="20"/>
  <c r="AB66" i="20"/>
  <c r="AA66" i="20"/>
  <c r="X67" i="20"/>
  <c r="W67" i="20"/>
  <c r="W37" i="20"/>
  <c r="X37" i="20"/>
  <c r="X73" i="20"/>
  <c r="W73" i="20"/>
  <c r="AB38" i="20"/>
  <c r="AA38" i="20"/>
  <c r="X24" i="20"/>
  <c r="W24" i="20"/>
  <c r="AB70" i="20"/>
  <c r="AA70" i="20"/>
  <c r="T44" i="20"/>
  <c r="W30" i="20"/>
  <c r="W48" i="20"/>
  <c r="X48" i="20"/>
  <c r="AB68" i="20"/>
  <c r="AA68" i="20"/>
  <c r="AB52" i="20"/>
  <c r="AA52" i="20"/>
  <c r="T41" i="20"/>
  <c r="W33" i="20"/>
  <c r="X33" i="20"/>
  <c r="AA34" i="20"/>
  <c r="AB34" i="20"/>
  <c r="AB72" i="20"/>
  <c r="AA72" i="20"/>
  <c r="AB21" i="20"/>
  <c r="AA21" i="20"/>
  <c r="X65" i="20"/>
  <c r="W65" i="20"/>
  <c r="W22" i="20"/>
  <c r="X22" i="20"/>
  <c r="L53" i="20"/>
  <c r="O44" i="20"/>
  <c r="X71" i="20"/>
  <c r="W71" i="20"/>
  <c r="W39" i="20"/>
  <c r="X39" i="20"/>
  <c r="X75" i="20"/>
  <c r="W75" i="20"/>
  <c r="W59" i="20"/>
  <c r="T62" i="20"/>
  <c r="AB76" i="20"/>
  <c r="AA76" i="20"/>
  <c r="AA35" i="20"/>
  <c r="AB35" i="20"/>
  <c r="X69" i="20"/>
  <c r="W69" i="20"/>
  <c r="H55" i="20"/>
  <c r="K53" i="20"/>
  <c r="AB74" i="20"/>
  <c r="AA74" i="20"/>
  <c r="AB51" i="20"/>
  <c r="AA51" i="20"/>
  <c r="P45" i="20"/>
  <c r="S45" i="20" s="1"/>
  <c r="P49" i="20"/>
  <c r="S49" i="20" s="1"/>
  <c r="P50" i="20"/>
  <c r="S50" i="20" s="1"/>
  <c r="P47" i="20"/>
  <c r="S47" i="20" s="1"/>
  <c r="P46" i="20"/>
  <c r="S46" i="20" s="1"/>
  <c r="S41" i="20"/>
  <c r="S44" i="20"/>
  <c r="AA37" i="19"/>
  <c r="AB37" i="19"/>
  <c r="W39" i="19"/>
  <c r="X39" i="19"/>
  <c r="T46" i="19"/>
  <c r="W46" i="19" s="1"/>
  <c r="T45" i="19"/>
  <c r="W45" i="19" s="1"/>
  <c r="W41" i="19"/>
  <c r="X59" i="19"/>
  <c r="T66" i="19"/>
  <c r="W66" i="19" s="1"/>
  <c r="W59" i="19"/>
  <c r="W78" i="19"/>
  <c r="X78" i="19"/>
  <c r="AB25" i="19"/>
  <c r="AA25" i="19"/>
  <c r="AB73" i="19"/>
  <c r="AA73" i="19"/>
  <c r="W60" i="19"/>
  <c r="X60" i="19"/>
  <c r="AB28" i="19"/>
  <c r="AA28" i="19"/>
  <c r="H55" i="19"/>
  <c r="P50" i="19"/>
  <c r="P47" i="19"/>
  <c r="P45" i="19"/>
  <c r="S45" i="19" s="1"/>
  <c r="P49" i="19"/>
  <c r="S46" i="19"/>
  <c r="S41" i="19"/>
  <c r="L53" i="19"/>
  <c r="T30" i="19"/>
  <c r="T47" i="19" s="1"/>
  <c r="X21" i="19"/>
  <c r="W21" i="19" s="1"/>
  <c r="X65" i="19"/>
  <c r="W65" i="19"/>
  <c r="AB75" i="19"/>
  <c r="AA75" i="19"/>
  <c r="AB96" i="19"/>
  <c r="W72" i="19"/>
  <c r="X72" i="19"/>
  <c r="X70" i="19"/>
  <c r="W70" i="19" s="1"/>
  <c r="W74" i="19"/>
  <c r="X74" i="19"/>
  <c r="AA35" i="19"/>
  <c r="AB35" i="19"/>
  <c r="X62" i="19"/>
  <c r="W62" i="19"/>
  <c r="AB27" i="19"/>
  <c r="AA27" i="19"/>
  <c r="P44" i="19"/>
  <c r="O44" i="19" s="1"/>
  <c r="AB79" i="19"/>
  <c r="AA79" i="19"/>
  <c r="AB77" i="19"/>
  <c r="AA77" i="19"/>
  <c r="AA63" i="19"/>
  <c r="AB63" i="19"/>
  <c r="X61" i="19"/>
  <c r="W61" i="19"/>
  <c r="X69" i="19"/>
  <c r="W69" i="19" s="1"/>
  <c r="AB26" i="19"/>
  <c r="AA26" i="19"/>
  <c r="W80" i="19"/>
  <c r="X80" i="19"/>
  <c r="AB71" i="19"/>
  <c r="AA71" i="19" s="1"/>
  <c r="W76" i="19"/>
  <c r="X76" i="19"/>
  <c r="AA38" i="19"/>
  <c r="AB38" i="19"/>
  <c r="X64" i="19"/>
  <c r="W64" i="19"/>
  <c r="X36" i="19"/>
  <c r="W36" i="19"/>
  <c r="W48" i="18"/>
  <c r="X48" i="18"/>
  <c r="H55" i="18"/>
  <c r="K53" i="18"/>
  <c r="AB52" i="18"/>
  <c r="AA52" i="18"/>
  <c r="AA61" i="18"/>
  <c r="AB61" i="18"/>
  <c r="P49" i="18"/>
  <c r="S49" i="18" s="1"/>
  <c r="AB22" i="18"/>
  <c r="AA22" i="18"/>
  <c r="T50" i="18"/>
  <c r="W50" i="18" s="1"/>
  <c r="T45" i="18"/>
  <c r="W45" i="18" s="1"/>
  <c r="X64" i="18"/>
  <c r="W64" i="18"/>
  <c r="X71" i="18"/>
  <c r="W71" i="18"/>
  <c r="AB80" i="18"/>
  <c r="AA80" i="18"/>
  <c r="AB74" i="18"/>
  <c r="AA74" i="18"/>
  <c r="AA28" i="18"/>
  <c r="AB28" i="18"/>
  <c r="AB76" i="18"/>
  <c r="AA76" i="18"/>
  <c r="X75" i="18"/>
  <c r="W75" i="18"/>
  <c r="L55" i="18"/>
  <c r="O53" i="18"/>
  <c r="X24" i="18"/>
  <c r="W24" i="18"/>
  <c r="AA59" i="18"/>
  <c r="AB59" i="18"/>
  <c r="X73" i="18"/>
  <c r="W73" i="18"/>
  <c r="X62" i="18"/>
  <c r="W62" i="18"/>
  <c r="X77" i="18"/>
  <c r="W77" i="18"/>
  <c r="AA33" i="18"/>
  <c r="AB33" i="18"/>
  <c r="AB72" i="18"/>
  <c r="AA72" i="18"/>
  <c r="AB26" i="18"/>
  <c r="AA26" i="18"/>
  <c r="AB78" i="18"/>
  <c r="AA78" i="18"/>
  <c r="T66" i="18"/>
  <c r="W66" i="18" s="1"/>
  <c r="P44" i="18"/>
  <c r="S30" i="18"/>
  <c r="AB70" i="18"/>
  <c r="AA70" i="18"/>
  <c r="X79" i="18"/>
  <c r="W79" i="18"/>
  <c r="X37" i="18"/>
  <c r="X41" i="18" s="1"/>
  <c r="W37" i="18"/>
  <c r="AB51" i="18"/>
  <c r="AA51" i="18"/>
  <c r="AA39" i="18"/>
  <c r="AB39" i="18"/>
  <c r="T44" i="18"/>
  <c r="W30" i="18"/>
  <c r="P44" i="17"/>
  <c r="S44" i="17" s="1"/>
  <c r="S30" i="17"/>
  <c r="X27" i="17"/>
  <c r="W27" i="17"/>
  <c r="T30" i="17"/>
  <c r="T66" i="17"/>
  <c r="W66" i="17" s="1"/>
  <c r="X59" i="17"/>
  <c r="W59" i="17"/>
  <c r="AB38" i="17"/>
  <c r="AA38" i="17"/>
  <c r="AB36" i="17"/>
  <c r="AA36" i="17"/>
  <c r="P45" i="17"/>
  <c r="P49" i="17"/>
  <c r="S49" i="17" s="1"/>
  <c r="P46" i="17"/>
  <c r="S46" i="17" s="1"/>
  <c r="S41" i="17"/>
  <c r="P50" i="17"/>
  <c r="S50" i="17" s="1"/>
  <c r="P47" i="17"/>
  <c r="S47" i="17" s="1"/>
  <c r="AB61" i="17"/>
  <c r="AA61" i="17"/>
  <c r="W72" i="17"/>
  <c r="X72" i="17"/>
  <c r="X69" i="17"/>
  <c r="W69" i="17"/>
  <c r="AA63" i="17"/>
  <c r="AB63" i="17"/>
  <c r="W80" i="17"/>
  <c r="X80" i="17"/>
  <c r="W76" i="17"/>
  <c r="X76" i="17"/>
  <c r="W78" i="17"/>
  <c r="X78" i="17"/>
  <c r="AB75" i="17"/>
  <c r="AA75" i="17"/>
  <c r="H55" i="17"/>
  <c r="K53" i="17"/>
  <c r="X64" i="17"/>
  <c r="W64" i="17"/>
  <c r="X48" i="17"/>
  <c r="W48" i="17"/>
  <c r="W34" i="17"/>
  <c r="X34" i="17"/>
  <c r="AB73" i="17"/>
  <c r="AA73" i="17"/>
  <c r="T41" i="17"/>
  <c r="X33" i="17"/>
  <c r="W33" i="17"/>
  <c r="AB35" i="17"/>
  <c r="AA35" i="17"/>
  <c r="AB79" i="17"/>
  <c r="AA79" i="17"/>
  <c r="W70" i="17"/>
  <c r="X70" i="17"/>
  <c r="W74" i="17"/>
  <c r="X74" i="17"/>
  <c r="L53" i="17"/>
  <c r="AB39" i="17"/>
  <c r="AA39" i="17"/>
  <c r="AB71" i="17"/>
  <c r="AA71" i="17"/>
  <c r="W62" i="17"/>
  <c r="X62" i="17"/>
  <c r="AB37" i="17"/>
  <c r="AA37" i="17"/>
  <c r="AB77" i="17"/>
  <c r="AA77" i="17"/>
  <c r="O13" i="15"/>
  <c r="L15" i="15"/>
  <c r="O11" i="15"/>
  <c r="AA38" i="15"/>
  <c r="AB38" i="15"/>
  <c r="AB34" i="15"/>
  <c r="AA34" i="15"/>
  <c r="O49" i="15"/>
  <c r="O45" i="15"/>
  <c r="K49" i="15"/>
  <c r="O46" i="15"/>
  <c r="K50" i="15"/>
  <c r="P50" i="15"/>
  <c r="O50" i="15" s="1"/>
  <c r="W78" i="15"/>
  <c r="X78" i="15"/>
  <c r="W25" i="15"/>
  <c r="X25" i="15"/>
  <c r="W76" i="15"/>
  <c r="X76" i="15"/>
  <c r="AB79" i="15"/>
  <c r="AA79" i="15"/>
  <c r="W72" i="15"/>
  <c r="X72" i="15"/>
  <c r="AB73" i="15"/>
  <c r="AA73" i="15"/>
  <c r="X48" i="15"/>
  <c r="W48" i="15" s="1"/>
  <c r="W23" i="15"/>
  <c r="X23" i="15"/>
  <c r="AB39" i="15"/>
  <c r="AA39" i="15"/>
  <c r="AB37" i="15"/>
  <c r="AA37" i="15"/>
  <c r="X69" i="15"/>
  <c r="W69" i="15"/>
  <c r="W62" i="15"/>
  <c r="X62" i="15"/>
  <c r="AB75" i="15"/>
  <c r="AA75" i="15"/>
  <c r="X27" i="15"/>
  <c r="W27" i="15"/>
  <c r="W70" i="15"/>
  <c r="X70" i="15"/>
  <c r="X64" i="15"/>
  <c r="W64" i="15"/>
  <c r="P47" i="15"/>
  <c r="O47" i="15" s="1"/>
  <c r="AB71" i="15"/>
  <c r="AA71" i="15"/>
  <c r="L53" i="15"/>
  <c r="O44" i="15"/>
  <c r="AB61" i="15"/>
  <c r="AA61" i="15"/>
  <c r="T30" i="15"/>
  <c r="T49" i="15" s="1"/>
  <c r="W21" i="15"/>
  <c r="X21" i="15"/>
  <c r="W74" i="15"/>
  <c r="X74" i="15"/>
  <c r="AA63" i="15"/>
  <c r="AB63" i="15"/>
  <c r="X41" i="15"/>
  <c r="W41" i="15" s="1"/>
  <c r="AB33" i="15"/>
  <c r="AA33" i="15" s="1"/>
  <c r="T45" i="15"/>
  <c r="T46" i="15"/>
  <c r="S30" i="15"/>
  <c r="W80" i="15"/>
  <c r="X80" i="15"/>
  <c r="AB77" i="15"/>
  <c r="AA77" i="15"/>
  <c r="H55" i="15"/>
  <c r="W60" i="15"/>
  <c r="X60" i="15"/>
  <c r="T66" i="15"/>
  <c r="W66" i="15" s="1"/>
  <c r="AB35" i="15"/>
  <c r="AA35" i="15"/>
  <c r="M66" i="21" l="1"/>
  <c r="H44" i="42"/>
  <c r="AB37" i="21"/>
  <c r="AA37" i="21"/>
  <c r="X30" i="20"/>
  <c r="AA30" i="20" s="1"/>
  <c r="X41" i="21"/>
  <c r="AB27" i="21"/>
  <c r="AA27" i="21"/>
  <c r="T46" i="18"/>
  <c r="W46" i="18" s="1"/>
  <c r="T49" i="18"/>
  <c r="W49" i="18" s="1"/>
  <c r="W41" i="18"/>
  <c r="X41" i="19"/>
  <c r="G55" i="15"/>
  <c r="I55" i="15"/>
  <c r="K53" i="15"/>
  <c r="M53" i="15"/>
  <c r="K53" i="19"/>
  <c r="M53" i="19"/>
  <c r="G55" i="19"/>
  <c r="I55" i="19"/>
  <c r="Q62" i="20"/>
  <c r="M62" i="20"/>
  <c r="H44" i="27"/>
  <c r="K62" i="20"/>
  <c r="T50" i="15"/>
  <c r="AB34" i="18"/>
  <c r="AA34" i="18"/>
  <c r="O44" i="26"/>
  <c r="P44" i="26" s="1"/>
  <c r="G44" i="28"/>
  <c r="K66" i="21"/>
  <c r="AB48" i="21"/>
  <c r="AA48" i="21"/>
  <c r="S59" i="21"/>
  <c r="P66" i="21"/>
  <c r="I44" i="42" s="1"/>
  <c r="O59" i="21"/>
  <c r="AA60" i="20"/>
  <c r="AA64" i="21"/>
  <c r="AB64" i="21"/>
  <c r="AA60" i="21"/>
  <c r="AB60" i="21"/>
  <c r="X66" i="21"/>
  <c r="W66" i="21" s="1"/>
  <c r="AB72" i="21"/>
  <c r="AA72" i="21"/>
  <c r="W60" i="21"/>
  <c r="W30" i="21"/>
  <c r="T44" i="21"/>
  <c r="AA22" i="21"/>
  <c r="AB22" i="21"/>
  <c r="X30" i="21"/>
  <c r="AB76" i="21"/>
  <c r="AA76" i="21"/>
  <c r="AA28" i="21"/>
  <c r="AB28" i="21"/>
  <c r="T50" i="21"/>
  <c r="W50" i="21" s="1"/>
  <c r="AB80" i="21"/>
  <c r="AA80" i="21"/>
  <c r="AB70" i="21"/>
  <c r="AA70" i="21" s="1"/>
  <c r="X45" i="21"/>
  <c r="AA45" i="21" s="1"/>
  <c r="X49" i="21"/>
  <c r="AA49" i="21" s="1"/>
  <c r="X46" i="21"/>
  <c r="AA46" i="21" s="1"/>
  <c r="X50" i="21"/>
  <c r="AA50" i="21" s="1"/>
  <c r="X47" i="21"/>
  <c r="AA47" i="21" s="1"/>
  <c r="AA41" i="21"/>
  <c r="O55" i="21"/>
  <c r="AB78" i="21"/>
  <c r="AA78" i="21"/>
  <c r="AA62" i="21"/>
  <c r="AB62" i="21"/>
  <c r="AA26" i="21"/>
  <c r="AB26" i="21"/>
  <c r="AB69" i="21"/>
  <c r="AA69" i="21" s="1"/>
  <c r="AB74" i="21"/>
  <c r="AA74" i="21"/>
  <c r="AA24" i="21"/>
  <c r="AB24" i="21"/>
  <c r="AB41" i="21"/>
  <c r="T47" i="21"/>
  <c r="W47" i="21" s="1"/>
  <c r="P53" i="21"/>
  <c r="S44" i="21"/>
  <c r="S62" i="20"/>
  <c r="AB25" i="20"/>
  <c r="AA25" i="20"/>
  <c r="P53" i="20"/>
  <c r="P55" i="20" s="1"/>
  <c r="AB69" i="20"/>
  <c r="AA69" i="20"/>
  <c r="AA22" i="20"/>
  <c r="AB22" i="20"/>
  <c r="AB65" i="20"/>
  <c r="AA65" i="20"/>
  <c r="X41" i="20"/>
  <c r="AB33" i="20"/>
  <c r="AA33" i="20"/>
  <c r="AB48" i="20"/>
  <c r="AA48" i="20"/>
  <c r="AA37" i="20"/>
  <c r="AB37" i="20"/>
  <c r="AB75" i="20"/>
  <c r="AA75" i="20"/>
  <c r="AB71" i="20"/>
  <c r="AA71" i="20"/>
  <c r="AA24" i="20"/>
  <c r="AB24" i="20"/>
  <c r="AB30" i="20" s="1"/>
  <c r="AB67" i="20"/>
  <c r="AA67" i="20"/>
  <c r="K55" i="20"/>
  <c r="AA39" i="20"/>
  <c r="AB39" i="20"/>
  <c r="T50" i="20"/>
  <c r="W50" i="20" s="1"/>
  <c r="T47" i="20"/>
  <c r="W47" i="20" s="1"/>
  <c r="W41" i="20"/>
  <c r="T49" i="20"/>
  <c r="W49" i="20" s="1"/>
  <c r="T46" i="20"/>
  <c r="W46" i="20" s="1"/>
  <c r="T45" i="20"/>
  <c r="W45" i="20" s="1"/>
  <c r="X62" i="20"/>
  <c r="AB59" i="20"/>
  <c r="AA59" i="20" s="1"/>
  <c r="L55" i="20"/>
  <c r="O53" i="20"/>
  <c r="W44" i="20"/>
  <c r="AB73" i="20"/>
  <c r="AA73" i="20"/>
  <c r="AA39" i="19"/>
  <c r="AB39" i="19"/>
  <c r="S30" i="19"/>
  <c r="O49" i="19"/>
  <c r="S47" i="19"/>
  <c r="O47" i="19"/>
  <c r="T50" i="19"/>
  <c r="S50" i="19" s="1"/>
  <c r="O50" i="19"/>
  <c r="AA64" i="19"/>
  <c r="AB64" i="19"/>
  <c r="P53" i="19"/>
  <c r="X45" i="19"/>
  <c r="AA45" i="19" s="1"/>
  <c r="X46" i="19"/>
  <c r="AA46" i="19" s="1"/>
  <c r="AA41" i="19"/>
  <c r="AB80" i="19"/>
  <c r="AA80" i="19"/>
  <c r="AA36" i="19"/>
  <c r="AB36" i="19"/>
  <c r="AB41" i="19" s="1"/>
  <c r="AB76" i="19"/>
  <c r="AA76" i="19"/>
  <c r="AB69" i="19"/>
  <c r="AA69" i="19" s="1"/>
  <c r="AA62" i="19"/>
  <c r="AB62" i="19"/>
  <c r="AB74" i="19"/>
  <c r="AA74" i="19"/>
  <c r="AB72" i="19"/>
  <c r="AA72" i="19"/>
  <c r="X30" i="19"/>
  <c r="X50" i="19" s="1"/>
  <c r="AB21" i="19"/>
  <c r="AB30" i="19" s="1"/>
  <c r="L55" i="19"/>
  <c r="AA60" i="19"/>
  <c r="AB60" i="19"/>
  <c r="AA61" i="19"/>
  <c r="AB61" i="19"/>
  <c r="AB70" i="19"/>
  <c r="AA70" i="19" s="1"/>
  <c r="T44" i="19"/>
  <c r="S44" i="19" s="1"/>
  <c r="AB78" i="19"/>
  <c r="AA78" i="19"/>
  <c r="X66" i="19"/>
  <c r="AA66" i="19" s="1"/>
  <c r="AB59" i="19"/>
  <c r="AA59" i="19"/>
  <c r="AB65" i="19"/>
  <c r="AA65" i="19"/>
  <c r="T49" i="19"/>
  <c r="S49" i="19" s="1"/>
  <c r="K55" i="18"/>
  <c r="AB62" i="18"/>
  <c r="AA62" i="18"/>
  <c r="AB24" i="18"/>
  <c r="AB30" i="18" s="1"/>
  <c r="AA24" i="18"/>
  <c r="X30" i="18"/>
  <c r="X50" i="18" s="1"/>
  <c r="AA50" i="18" s="1"/>
  <c r="X66" i="18"/>
  <c r="AA66" i="18" s="1"/>
  <c r="AB64" i="18"/>
  <c r="AA64" i="18"/>
  <c r="AB79" i="18"/>
  <c r="AA79" i="18"/>
  <c r="AB77" i="18"/>
  <c r="AA77" i="18"/>
  <c r="O55" i="18"/>
  <c r="P53" i="18"/>
  <c r="S44" i="18"/>
  <c r="X49" i="18"/>
  <c r="AA49" i="18" s="1"/>
  <c r="X46" i="18"/>
  <c r="AA46" i="18" s="1"/>
  <c r="X45" i="18"/>
  <c r="AA45" i="18" s="1"/>
  <c r="AA41" i="18"/>
  <c r="AB73" i="18"/>
  <c r="AA73" i="18"/>
  <c r="AB71" i="18"/>
  <c r="AA71" i="18"/>
  <c r="AA37" i="18"/>
  <c r="AB37" i="18"/>
  <c r="AB41" i="18" s="1"/>
  <c r="AB75" i="18"/>
  <c r="AA75" i="18"/>
  <c r="AA48" i="18"/>
  <c r="AB48" i="18"/>
  <c r="T53" i="18"/>
  <c r="W44" i="18"/>
  <c r="T44" i="17"/>
  <c r="W44" i="17" s="1"/>
  <c r="W30" i="17"/>
  <c r="AB27" i="17"/>
  <c r="AB30" i="17" s="1"/>
  <c r="X30" i="17"/>
  <c r="AA27" i="17"/>
  <c r="T45" i="17"/>
  <c r="T49" i="17"/>
  <c r="W49" i="17" s="1"/>
  <c r="T46" i="17"/>
  <c r="W46" i="17" s="1"/>
  <c r="T50" i="17"/>
  <c r="W50" i="17" s="1"/>
  <c r="T47" i="17"/>
  <c r="W47" i="17" s="1"/>
  <c r="W41" i="17"/>
  <c r="AA48" i="17"/>
  <c r="AB48" i="17"/>
  <c r="AB78" i="17"/>
  <c r="AA78" i="17"/>
  <c r="AB80" i="17"/>
  <c r="AA80" i="17"/>
  <c r="AB72" i="17"/>
  <c r="AA72" i="17"/>
  <c r="O53" i="17"/>
  <c r="L55" i="17"/>
  <c r="AB34" i="17"/>
  <c r="AA34" i="17"/>
  <c r="K55" i="17"/>
  <c r="S45" i="17"/>
  <c r="P53" i="17"/>
  <c r="X41" i="17"/>
  <c r="AB33" i="17"/>
  <c r="AA33" i="17"/>
  <c r="AB70" i="17"/>
  <c r="AA70" i="17"/>
  <c r="AB74" i="17"/>
  <c r="AA74" i="17"/>
  <c r="AA64" i="17"/>
  <c r="AB64" i="17"/>
  <c r="AB76" i="17"/>
  <c r="AA76" i="17"/>
  <c r="AA62" i="17"/>
  <c r="AB62" i="17"/>
  <c r="AB69" i="17"/>
  <c r="AA69" i="17" s="1"/>
  <c r="X66" i="17"/>
  <c r="AA66" i="17" s="1"/>
  <c r="AB59" i="17"/>
  <c r="AA59" i="17"/>
  <c r="P15" i="15"/>
  <c r="P96" i="15"/>
  <c r="S50" i="15"/>
  <c r="S46" i="15"/>
  <c r="S49" i="15"/>
  <c r="S45" i="15"/>
  <c r="T47" i="15"/>
  <c r="S47" i="15" s="1"/>
  <c r="P53" i="15"/>
  <c r="L55" i="15"/>
  <c r="AB69" i="15"/>
  <c r="AA69" i="15"/>
  <c r="AB48" i="15"/>
  <c r="AA48" i="15" s="1"/>
  <c r="AB41" i="15"/>
  <c r="AA41" i="15" s="1"/>
  <c r="AA23" i="15"/>
  <c r="AB23" i="15"/>
  <c r="AB80" i="15"/>
  <c r="AA80" i="15"/>
  <c r="X45" i="15"/>
  <c r="X46" i="15"/>
  <c r="AB21" i="15"/>
  <c r="AA21" i="15"/>
  <c r="X30" i="15"/>
  <c r="X47" i="15" s="1"/>
  <c r="AA62" i="15"/>
  <c r="AB62" i="15"/>
  <c r="AB25" i="15"/>
  <c r="AA25" i="15"/>
  <c r="AA27" i="15"/>
  <c r="AB27" i="15"/>
  <c r="AB72" i="15"/>
  <c r="AA72" i="15"/>
  <c r="AA64" i="15"/>
  <c r="AB64" i="15"/>
  <c r="T44" i="15"/>
  <c r="S44" i="15" s="1"/>
  <c r="W30" i="15"/>
  <c r="AB76" i="15"/>
  <c r="AA76" i="15"/>
  <c r="AB78" i="15"/>
  <c r="AA78" i="15"/>
  <c r="AB74" i="15"/>
  <c r="AA74" i="15"/>
  <c r="AB70" i="15"/>
  <c r="AA70" i="15"/>
  <c r="AB60" i="15"/>
  <c r="AA60" i="15"/>
  <c r="X66" i="15"/>
  <c r="AA66" i="15" s="1"/>
  <c r="AB66" i="17" l="1"/>
  <c r="Q44" i="42"/>
  <c r="R44" i="42" s="1"/>
  <c r="O44" i="42"/>
  <c r="P44" i="42" s="1"/>
  <c r="V44" i="28"/>
  <c r="M44" i="28"/>
  <c r="N44" i="28" s="1"/>
  <c r="O44" i="27"/>
  <c r="P44" i="27" s="1"/>
  <c r="Q44" i="27"/>
  <c r="R44" i="27" s="1"/>
  <c r="O15" i="15"/>
  <c r="Q15" i="15"/>
  <c r="AB41" i="17"/>
  <c r="K55" i="19"/>
  <c r="M55" i="19"/>
  <c r="K55" i="15"/>
  <c r="M55" i="15"/>
  <c r="O53" i="19"/>
  <c r="Q53" i="19"/>
  <c r="O53" i="15"/>
  <c r="Q53" i="15"/>
  <c r="I44" i="26"/>
  <c r="Q44" i="26" s="1"/>
  <c r="R44" i="26" s="1"/>
  <c r="Q66" i="21"/>
  <c r="AA21" i="19"/>
  <c r="O66" i="21"/>
  <c r="H44" i="28"/>
  <c r="X47" i="18"/>
  <c r="AA47" i="18" s="1"/>
  <c r="S53" i="20"/>
  <c r="AB66" i="18"/>
  <c r="S66" i="21"/>
  <c r="AB45" i="21"/>
  <c r="AB46" i="21"/>
  <c r="AA30" i="21"/>
  <c r="AB66" i="21"/>
  <c r="AA66" i="21" s="1"/>
  <c r="AB30" i="21"/>
  <c r="AB49" i="21" s="1"/>
  <c r="P55" i="21"/>
  <c r="S53" i="21"/>
  <c r="T53" i="21"/>
  <c r="W44" i="21"/>
  <c r="W62" i="20"/>
  <c r="O55" i="20"/>
  <c r="T53" i="20"/>
  <c r="X49" i="20"/>
  <c r="AA49" i="20" s="1"/>
  <c r="X46" i="20"/>
  <c r="AA46" i="20" s="1"/>
  <c r="X50" i="20"/>
  <c r="AA50" i="20" s="1"/>
  <c r="X47" i="20"/>
  <c r="AA47" i="20" s="1"/>
  <c r="X45" i="20"/>
  <c r="AA45" i="20" s="1"/>
  <c r="AA41" i="20"/>
  <c r="S55" i="20"/>
  <c r="AB62" i="20"/>
  <c r="AA62" i="20" s="1"/>
  <c r="AB41" i="20"/>
  <c r="W30" i="19"/>
  <c r="W50" i="19"/>
  <c r="AB66" i="19"/>
  <c r="X47" i="19"/>
  <c r="T53" i="19"/>
  <c r="S53" i="19" s="1"/>
  <c r="AA30" i="19"/>
  <c r="P55" i="19"/>
  <c r="X49" i="19"/>
  <c r="AB45" i="19"/>
  <c r="AB49" i="19"/>
  <c r="AB46" i="19"/>
  <c r="AB50" i="19"/>
  <c r="AA50" i="19" s="1"/>
  <c r="AB47" i="19"/>
  <c r="S53" i="18"/>
  <c r="P55" i="18"/>
  <c r="T55" i="18"/>
  <c r="W53" i="18"/>
  <c r="AB49" i="18"/>
  <c r="AB46" i="18"/>
  <c r="AB50" i="18"/>
  <c r="AB47" i="18"/>
  <c r="AB45" i="18"/>
  <c r="AA30" i="18"/>
  <c r="AA30" i="17"/>
  <c r="X50" i="17"/>
  <c r="AA50" i="17" s="1"/>
  <c r="X47" i="17"/>
  <c r="AA47" i="17" s="1"/>
  <c r="AA41" i="17"/>
  <c r="X45" i="17"/>
  <c r="X49" i="17"/>
  <c r="AA49" i="17" s="1"/>
  <c r="X46" i="17"/>
  <c r="AA46" i="17" s="1"/>
  <c r="P55" i="17"/>
  <c r="S53" i="17"/>
  <c r="W45" i="17"/>
  <c r="T53" i="17"/>
  <c r="AB49" i="17"/>
  <c r="AB46" i="17"/>
  <c r="AB50" i="17"/>
  <c r="AB47" i="17"/>
  <c r="AB45" i="17"/>
  <c r="O55" i="17"/>
  <c r="W45" i="15"/>
  <c r="W47" i="15"/>
  <c r="W46" i="15"/>
  <c r="T53" i="15"/>
  <c r="S53" i="15" s="1"/>
  <c r="W44" i="15"/>
  <c r="AA30" i="15"/>
  <c r="X49" i="15"/>
  <c r="X50" i="15"/>
  <c r="P55" i="15"/>
  <c r="AB46" i="15"/>
  <c r="AA46" i="15" s="1"/>
  <c r="AB45" i="15"/>
  <c r="AA45" i="15" s="1"/>
  <c r="AB66" i="15"/>
  <c r="AB30" i="15"/>
  <c r="W44" i="28" l="1"/>
  <c r="O44" i="28"/>
  <c r="P44" i="28" s="1"/>
  <c r="I44" i="28"/>
  <c r="O55" i="15"/>
  <c r="Q55" i="15"/>
  <c r="O55" i="19"/>
  <c r="Q55" i="19"/>
  <c r="AA49" i="19"/>
  <c r="E38" i="2"/>
  <c r="H11" i="17"/>
  <c r="G9" i="17"/>
  <c r="K9" i="17"/>
  <c r="T55" i="21"/>
  <c r="W53" i="21"/>
  <c r="AB47" i="21"/>
  <c r="S55" i="21"/>
  <c r="AB50" i="21"/>
  <c r="W53" i="20"/>
  <c r="T55" i="20"/>
  <c r="AB45" i="20"/>
  <c r="AB49" i="20"/>
  <c r="AB46" i="20"/>
  <c r="AB50" i="20"/>
  <c r="AB47" i="20"/>
  <c r="AA47" i="19"/>
  <c r="W47" i="19"/>
  <c r="W49" i="19"/>
  <c r="T55" i="19"/>
  <c r="S55" i="19" s="1"/>
  <c r="W55" i="18"/>
  <c r="S55" i="18"/>
  <c r="T55" i="17"/>
  <c r="W53" i="17"/>
  <c r="S55" i="17"/>
  <c r="AA45" i="17"/>
  <c r="W50" i="15"/>
  <c r="W49" i="15"/>
  <c r="AB50" i="15"/>
  <c r="AA50" i="15" s="1"/>
  <c r="AB49" i="15"/>
  <c r="AA49" i="15" s="1"/>
  <c r="T55" i="15"/>
  <c r="S55" i="15" s="1"/>
  <c r="AB47" i="15"/>
  <c r="X44" i="28" l="1"/>
  <c r="Q44" i="28"/>
  <c r="R44" i="28" s="1"/>
  <c r="G10" i="27"/>
  <c r="G11" i="17"/>
  <c r="H13" i="17"/>
  <c r="K11" i="17"/>
  <c r="W55" i="21"/>
  <c r="W55" i="20"/>
  <c r="W55" i="17"/>
  <c r="AA47" i="15"/>
  <c r="O10" i="27" l="1"/>
  <c r="P10" i="27" s="1"/>
  <c r="M10" i="27"/>
  <c r="N10" i="27" s="1"/>
  <c r="G10" i="28"/>
  <c r="G13" i="17"/>
  <c r="AB13" i="17" s="1"/>
  <c r="AB96" i="17" s="1"/>
  <c r="H96" i="17"/>
  <c r="K13" i="17"/>
  <c r="V10" i="28" l="1"/>
  <c r="M10" i="28"/>
  <c r="N10" i="28" s="1"/>
  <c r="O10" i="28"/>
  <c r="P10" i="28" s="1"/>
  <c r="O49" i="13"/>
  <c r="Q39" i="12"/>
  <c r="AC91" i="13"/>
  <c r="AC92" i="13"/>
  <c r="AC90" i="13"/>
  <c r="Y91" i="13"/>
  <c r="Y92" i="13"/>
  <c r="Y90" i="13"/>
  <c r="U91" i="13"/>
  <c r="U92" i="13"/>
  <c r="U90" i="13"/>
  <c r="G92" i="13"/>
  <c r="G91" i="13"/>
  <c r="L47" i="13"/>
  <c r="L44" i="13"/>
  <c r="D51" i="13"/>
  <c r="Q46" i="13"/>
  <c r="Q45" i="13"/>
  <c r="M46" i="13"/>
  <c r="M45" i="13"/>
  <c r="T29" i="13"/>
  <c r="G12" i="13"/>
  <c r="K12" i="13"/>
  <c r="D14" i="13"/>
  <c r="Q34" i="14"/>
  <c r="Q35" i="14"/>
  <c r="Q36" i="14"/>
  <c r="Q37" i="14"/>
  <c r="Q38" i="14"/>
  <c r="Q33" i="14"/>
  <c r="M34" i="14"/>
  <c r="M35" i="14"/>
  <c r="M36" i="14"/>
  <c r="M37" i="14"/>
  <c r="M38" i="14"/>
  <c r="M33" i="14"/>
  <c r="P21" i="14"/>
  <c r="T21" i="14" s="1"/>
  <c r="L21" i="14"/>
  <c r="D89" i="14"/>
  <c r="H85" i="14"/>
  <c r="L85" i="14" s="1"/>
  <c r="P85" i="14" s="1"/>
  <c r="AC81" i="14"/>
  <c r="Y81" i="14"/>
  <c r="U81" i="14"/>
  <c r="Q81" i="14"/>
  <c r="M81" i="14"/>
  <c r="I81" i="14"/>
  <c r="AC80" i="14"/>
  <c r="Y80" i="14"/>
  <c r="U80" i="14"/>
  <c r="Q80" i="14"/>
  <c r="M80" i="14"/>
  <c r="I80" i="14"/>
  <c r="H80" i="14" s="1"/>
  <c r="K80" i="14" s="1"/>
  <c r="G80" i="14"/>
  <c r="AC79" i="14"/>
  <c r="Y79" i="14"/>
  <c r="U79" i="14"/>
  <c r="Q79" i="14"/>
  <c r="M79" i="14"/>
  <c r="I79" i="14"/>
  <c r="H79" i="14" s="1"/>
  <c r="G79" i="14"/>
  <c r="AC78" i="14"/>
  <c r="Y78" i="14"/>
  <c r="U78" i="14"/>
  <c r="Q78" i="14"/>
  <c r="M78" i="14"/>
  <c r="I78" i="14"/>
  <c r="H78" i="14" s="1"/>
  <c r="G78" i="14"/>
  <c r="AC77" i="14"/>
  <c r="Y77" i="14"/>
  <c r="U77" i="14"/>
  <c r="Q77" i="14"/>
  <c r="M77" i="14"/>
  <c r="I77" i="14"/>
  <c r="H77" i="14" s="1"/>
  <c r="G77" i="14"/>
  <c r="AC76" i="14"/>
  <c r="Y76" i="14"/>
  <c r="U76" i="14"/>
  <c r="Q76" i="14"/>
  <c r="M76" i="14"/>
  <c r="I76" i="14"/>
  <c r="H76" i="14" s="1"/>
  <c r="G76" i="14"/>
  <c r="AC75" i="14"/>
  <c r="Y75" i="14"/>
  <c r="U75" i="14"/>
  <c r="Q75" i="14"/>
  <c r="M75" i="14"/>
  <c r="I75" i="14"/>
  <c r="H75" i="14" s="1"/>
  <c r="G75" i="14"/>
  <c r="AC74" i="14"/>
  <c r="Y74" i="14"/>
  <c r="U74" i="14"/>
  <c r="Q74" i="14"/>
  <c r="M74" i="14"/>
  <c r="I74" i="14"/>
  <c r="H74" i="14" s="1"/>
  <c r="G74" i="14"/>
  <c r="AC73" i="14"/>
  <c r="Y73" i="14"/>
  <c r="U73" i="14"/>
  <c r="Q73" i="14"/>
  <c r="M73" i="14"/>
  <c r="I73" i="14"/>
  <c r="H73" i="14" s="1"/>
  <c r="G73" i="14"/>
  <c r="AC72" i="14"/>
  <c r="Y72" i="14"/>
  <c r="U72" i="14"/>
  <c r="Q72" i="14"/>
  <c r="M72" i="14"/>
  <c r="I72" i="14"/>
  <c r="H72" i="14" s="1"/>
  <c r="K72" i="14" s="1"/>
  <c r="G72" i="14"/>
  <c r="AC71" i="14"/>
  <c r="Y71" i="14"/>
  <c r="U71" i="14"/>
  <c r="Q71" i="14"/>
  <c r="M71" i="14"/>
  <c r="I71" i="14"/>
  <c r="H71" i="14" s="1"/>
  <c r="G71" i="14"/>
  <c r="AC70" i="14"/>
  <c r="Y70" i="14"/>
  <c r="U70" i="14"/>
  <c r="Q70" i="14"/>
  <c r="M70" i="14"/>
  <c r="I70" i="14"/>
  <c r="H70" i="14" s="1"/>
  <c r="G70" i="14"/>
  <c r="AC69" i="14"/>
  <c r="Y69" i="14"/>
  <c r="U69" i="14"/>
  <c r="Q69" i="14"/>
  <c r="M69" i="14"/>
  <c r="I69" i="14"/>
  <c r="H69" i="14" s="1"/>
  <c r="G69" i="14"/>
  <c r="D66" i="14"/>
  <c r="G66" i="14" s="1"/>
  <c r="AC65" i="14"/>
  <c r="Y65" i="14"/>
  <c r="U65" i="14"/>
  <c r="Q65" i="14"/>
  <c r="M65" i="14"/>
  <c r="I65" i="14"/>
  <c r="H65" i="14" s="1"/>
  <c r="G65" i="14"/>
  <c r="AC64" i="14"/>
  <c r="Y64" i="14"/>
  <c r="U64" i="14"/>
  <c r="Q64" i="14"/>
  <c r="M64" i="14"/>
  <c r="I64" i="14"/>
  <c r="H64" i="14" s="1"/>
  <c r="G64" i="14"/>
  <c r="AC63" i="14"/>
  <c r="Y63" i="14"/>
  <c r="U63" i="14"/>
  <c r="Q63" i="14"/>
  <c r="M63" i="14"/>
  <c r="I63" i="14"/>
  <c r="H63" i="14" s="1"/>
  <c r="G63" i="14"/>
  <c r="AC62" i="14"/>
  <c r="Y62" i="14"/>
  <c r="U62" i="14"/>
  <c r="Q62" i="14"/>
  <c r="M62" i="14"/>
  <c r="I62" i="14"/>
  <c r="H62" i="14" s="1"/>
  <c r="G62" i="14"/>
  <c r="AC61" i="14"/>
  <c r="Y61" i="14"/>
  <c r="U61" i="14"/>
  <c r="Q61" i="14"/>
  <c r="M61" i="14"/>
  <c r="I61" i="14"/>
  <c r="H61" i="14" s="1"/>
  <c r="K61" i="14" s="1"/>
  <c r="G61" i="14"/>
  <c r="AC60" i="14"/>
  <c r="Y60" i="14"/>
  <c r="U60" i="14"/>
  <c r="Q60" i="14"/>
  <c r="M60" i="14"/>
  <c r="I60" i="14"/>
  <c r="H60" i="14" s="1"/>
  <c r="K60" i="14" s="1"/>
  <c r="G60" i="14"/>
  <c r="AC59" i="14"/>
  <c r="Y59" i="14"/>
  <c r="U59" i="14"/>
  <c r="Q59" i="14"/>
  <c r="M59" i="14"/>
  <c r="I59" i="14"/>
  <c r="H59" i="14" s="1"/>
  <c r="G59" i="14"/>
  <c r="D53" i="14"/>
  <c r="AC50" i="14"/>
  <c r="Y50" i="14"/>
  <c r="U50" i="14"/>
  <c r="Q50" i="14"/>
  <c r="M50" i="14"/>
  <c r="I50" i="14"/>
  <c r="E50" i="14"/>
  <c r="AC49" i="14"/>
  <c r="Y49" i="14"/>
  <c r="U49" i="14"/>
  <c r="Q49" i="14"/>
  <c r="M49" i="14"/>
  <c r="I49" i="14"/>
  <c r="E49" i="14"/>
  <c r="AC48" i="14"/>
  <c r="Y48" i="14"/>
  <c r="U48" i="14"/>
  <c r="Q48" i="14"/>
  <c r="M48" i="14"/>
  <c r="I48" i="14"/>
  <c r="AC47" i="14"/>
  <c r="Y47" i="14"/>
  <c r="U47" i="14"/>
  <c r="Q47" i="14"/>
  <c r="M47" i="14"/>
  <c r="I47" i="14"/>
  <c r="E47" i="14"/>
  <c r="AC46" i="14"/>
  <c r="Y46" i="14"/>
  <c r="U46" i="14"/>
  <c r="Q46" i="14"/>
  <c r="M46" i="14"/>
  <c r="I46" i="14"/>
  <c r="E46" i="14"/>
  <c r="AC45" i="14"/>
  <c r="Y45" i="14"/>
  <c r="U45" i="14"/>
  <c r="Q45" i="14"/>
  <c r="M45" i="14"/>
  <c r="I45" i="14"/>
  <c r="G45" i="14"/>
  <c r="E45" i="14"/>
  <c r="U44" i="14"/>
  <c r="Q44" i="14"/>
  <c r="M44" i="14"/>
  <c r="I44" i="14"/>
  <c r="E44" i="14"/>
  <c r="D41" i="14"/>
  <c r="AC39" i="14"/>
  <c r="Y39" i="14"/>
  <c r="U39" i="14"/>
  <c r="T39" i="14"/>
  <c r="X39" i="14" s="1"/>
  <c r="S39" i="14"/>
  <c r="O39" i="14"/>
  <c r="H39" i="14"/>
  <c r="K39" i="14" s="1"/>
  <c r="G39" i="14"/>
  <c r="AC38" i="14"/>
  <c r="Y38" i="14"/>
  <c r="U38" i="14"/>
  <c r="I38" i="14"/>
  <c r="H38" i="14"/>
  <c r="AC37" i="14"/>
  <c r="Y37" i="14"/>
  <c r="U37" i="14"/>
  <c r="I37" i="14"/>
  <c r="H37" i="14"/>
  <c r="K37" i="14" s="1"/>
  <c r="G37" i="14"/>
  <c r="AC36" i="14"/>
  <c r="Y36" i="14"/>
  <c r="U36" i="14"/>
  <c r="T36" i="14"/>
  <c r="W36" i="14" s="1"/>
  <c r="S36" i="14"/>
  <c r="O36" i="14"/>
  <c r="I36" i="14"/>
  <c r="H36" i="14"/>
  <c r="K36" i="14" s="1"/>
  <c r="G36" i="14"/>
  <c r="AC35" i="14"/>
  <c r="Y35" i="14"/>
  <c r="U35" i="14"/>
  <c r="I35" i="14"/>
  <c r="H35" i="14"/>
  <c r="K35" i="14" s="1"/>
  <c r="G35" i="14"/>
  <c r="AC34" i="14"/>
  <c r="Y34" i="14"/>
  <c r="U34" i="14"/>
  <c r="I34" i="14"/>
  <c r="H34" i="14"/>
  <c r="K34" i="14" s="1"/>
  <c r="G34" i="14"/>
  <c r="AC33" i="14"/>
  <c r="Y33" i="14"/>
  <c r="U33" i="14"/>
  <c r="I33" i="14"/>
  <c r="H33" i="14"/>
  <c r="G33" i="14"/>
  <c r="D30" i="14"/>
  <c r="AC28" i="14"/>
  <c r="Y28" i="14"/>
  <c r="U28" i="14"/>
  <c r="Q28" i="14"/>
  <c r="M28" i="14"/>
  <c r="K28" i="14"/>
  <c r="I28" i="14"/>
  <c r="H28" i="14"/>
  <c r="L28" i="14" s="1"/>
  <c r="G28" i="14"/>
  <c r="AC27" i="14"/>
  <c r="Y27" i="14"/>
  <c r="U27" i="14"/>
  <c r="Q27" i="14"/>
  <c r="M27" i="14"/>
  <c r="I27" i="14"/>
  <c r="H27" i="14"/>
  <c r="K27" i="14" s="1"/>
  <c r="G27" i="14"/>
  <c r="AC26" i="14"/>
  <c r="Y26" i="14"/>
  <c r="U26" i="14"/>
  <c r="Q26" i="14"/>
  <c r="M26" i="14"/>
  <c r="I26" i="14"/>
  <c r="H26" i="14"/>
  <c r="K26" i="14" s="1"/>
  <c r="G26" i="14"/>
  <c r="AC25" i="14"/>
  <c r="Y25" i="14"/>
  <c r="U25" i="14"/>
  <c r="Q25" i="14"/>
  <c r="M25" i="14"/>
  <c r="I25" i="14"/>
  <c r="H25" i="14"/>
  <c r="G25" i="14"/>
  <c r="AC24" i="14"/>
  <c r="Y24" i="14"/>
  <c r="U24" i="14"/>
  <c r="Q24" i="14"/>
  <c r="M24" i="14"/>
  <c r="I24" i="14"/>
  <c r="H24" i="14"/>
  <c r="L24" i="14" s="1"/>
  <c r="G24" i="14"/>
  <c r="AC23" i="14"/>
  <c r="Y23" i="14"/>
  <c r="U23" i="14"/>
  <c r="Q23" i="14"/>
  <c r="M23" i="14"/>
  <c r="I23" i="14"/>
  <c r="H23" i="14"/>
  <c r="G23" i="14"/>
  <c r="AC22" i="14"/>
  <c r="Y22" i="14"/>
  <c r="U22" i="14"/>
  <c r="Q22" i="14"/>
  <c r="M22" i="14"/>
  <c r="I22" i="14"/>
  <c r="H22" i="14"/>
  <c r="K22" i="14" s="1"/>
  <c r="G22" i="14"/>
  <c r="AC21" i="14"/>
  <c r="Y21" i="14"/>
  <c r="G21" i="14"/>
  <c r="D11" i="14"/>
  <c r="AB10" i="14"/>
  <c r="X10" i="14"/>
  <c r="AA10" i="14" s="1"/>
  <c r="T10" i="14"/>
  <c r="W10" i="14" s="1"/>
  <c r="P10" i="14"/>
  <c r="S10" i="14" s="1"/>
  <c r="L10" i="14"/>
  <c r="O10" i="14" s="1"/>
  <c r="K10" i="14"/>
  <c r="G10" i="14"/>
  <c r="L9" i="14"/>
  <c r="G9" i="14"/>
  <c r="H6" i="14"/>
  <c r="L6" i="14" s="1"/>
  <c r="P6" i="14" s="1"/>
  <c r="T6" i="14" s="1"/>
  <c r="X6" i="14" s="1"/>
  <c r="AB6" i="14" s="1"/>
  <c r="AB3" i="14"/>
  <c r="X3" i="14"/>
  <c r="T3" i="14"/>
  <c r="D94" i="13"/>
  <c r="G90" i="13"/>
  <c r="AC89" i="13"/>
  <c r="Y89" i="13"/>
  <c r="U89" i="13"/>
  <c r="G89" i="13"/>
  <c r="AC88" i="13"/>
  <c r="Y88" i="13"/>
  <c r="U88" i="13"/>
  <c r="G88" i="13"/>
  <c r="AC87" i="13"/>
  <c r="Y87" i="13"/>
  <c r="U87" i="13"/>
  <c r="G87" i="13"/>
  <c r="AC86" i="13"/>
  <c r="Y86" i="13"/>
  <c r="U86" i="13"/>
  <c r="G86" i="13"/>
  <c r="AC85" i="13"/>
  <c r="Y85" i="13"/>
  <c r="U85" i="13"/>
  <c r="G85" i="13"/>
  <c r="AC84" i="13"/>
  <c r="Y84" i="13"/>
  <c r="U84" i="13"/>
  <c r="G84" i="13"/>
  <c r="AC83" i="13"/>
  <c r="Y83" i="13"/>
  <c r="U83" i="13"/>
  <c r="G83" i="13"/>
  <c r="AC82" i="13"/>
  <c r="Y82" i="13"/>
  <c r="U82" i="13"/>
  <c r="G82" i="13"/>
  <c r="AC81" i="13"/>
  <c r="Y81" i="13"/>
  <c r="U81" i="13"/>
  <c r="G81" i="13"/>
  <c r="AC80" i="13"/>
  <c r="Y80" i="13"/>
  <c r="U80" i="13"/>
  <c r="G80" i="13"/>
  <c r="AC79" i="13"/>
  <c r="Y79" i="13"/>
  <c r="U79" i="13"/>
  <c r="G79" i="13"/>
  <c r="D76" i="13"/>
  <c r="AC75" i="13"/>
  <c r="Y75" i="13"/>
  <c r="U75" i="13"/>
  <c r="Q75" i="13"/>
  <c r="M75" i="13"/>
  <c r="I75" i="13"/>
  <c r="H75" i="13" s="1"/>
  <c r="G75" i="13"/>
  <c r="AC74" i="13"/>
  <c r="Y74" i="13"/>
  <c r="U74" i="13"/>
  <c r="Q74" i="13"/>
  <c r="M74" i="13"/>
  <c r="I74" i="13"/>
  <c r="H74" i="13" s="1"/>
  <c r="G74" i="13"/>
  <c r="AC73" i="13"/>
  <c r="Y73" i="13"/>
  <c r="U73" i="13"/>
  <c r="Q73" i="13"/>
  <c r="M73" i="13"/>
  <c r="I73" i="13"/>
  <c r="H73" i="13" s="1"/>
  <c r="G73" i="13"/>
  <c r="AC72" i="13"/>
  <c r="Y72" i="13"/>
  <c r="U72" i="13"/>
  <c r="Q72" i="13"/>
  <c r="M72" i="13"/>
  <c r="I72" i="13"/>
  <c r="H72" i="13" s="1"/>
  <c r="G72" i="13"/>
  <c r="AC71" i="13"/>
  <c r="Y71" i="13"/>
  <c r="U71" i="13"/>
  <c r="Q71" i="13"/>
  <c r="M71" i="13"/>
  <c r="I71" i="13"/>
  <c r="H71" i="13" s="1"/>
  <c r="G71" i="13"/>
  <c r="AC70" i="13"/>
  <c r="Y70" i="13"/>
  <c r="U70" i="13"/>
  <c r="Q70" i="13"/>
  <c r="M70" i="13"/>
  <c r="I70" i="13"/>
  <c r="H70" i="13" s="1"/>
  <c r="G70" i="13"/>
  <c r="AC69" i="13"/>
  <c r="Y69" i="13"/>
  <c r="U69" i="13"/>
  <c r="G69" i="13"/>
  <c r="AC60" i="13"/>
  <c r="Y60" i="13"/>
  <c r="U60" i="13"/>
  <c r="Q60" i="13"/>
  <c r="P60" i="13" s="1"/>
  <c r="M60" i="13"/>
  <c r="L60" i="13" s="1"/>
  <c r="I60" i="13"/>
  <c r="E60" i="13"/>
  <c r="AC59" i="13"/>
  <c r="Y59" i="13"/>
  <c r="U59" i="13"/>
  <c r="Q59" i="13"/>
  <c r="P59" i="13" s="1"/>
  <c r="M59" i="13"/>
  <c r="L59" i="13" s="1"/>
  <c r="I59" i="13"/>
  <c r="E59" i="13"/>
  <c r="AC58" i="13"/>
  <c r="Y58" i="13"/>
  <c r="U58" i="13"/>
  <c r="Q58" i="13"/>
  <c r="M58" i="13"/>
  <c r="L58" i="13" s="1"/>
  <c r="AC57" i="13"/>
  <c r="Y57" i="13"/>
  <c r="U57" i="13"/>
  <c r="Q57" i="13"/>
  <c r="P57" i="13" s="1"/>
  <c r="M57" i="13"/>
  <c r="L57" i="13" s="1"/>
  <c r="I57" i="13"/>
  <c r="E57" i="13"/>
  <c r="AC56" i="13"/>
  <c r="Y56" i="13"/>
  <c r="U56" i="13"/>
  <c r="Q56" i="13"/>
  <c r="P56" i="13" s="1"/>
  <c r="M56" i="13"/>
  <c r="L56" i="13" s="1"/>
  <c r="I56" i="13"/>
  <c r="E56" i="13"/>
  <c r="AC55" i="13"/>
  <c r="Y55" i="13"/>
  <c r="U55" i="13"/>
  <c r="Q55" i="13"/>
  <c r="P55" i="13" s="1"/>
  <c r="M55" i="13"/>
  <c r="L55" i="13" s="1"/>
  <c r="I55" i="13"/>
  <c r="E55" i="13"/>
  <c r="U54" i="13"/>
  <c r="Q54" i="13"/>
  <c r="P54" i="13" s="1"/>
  <c r="M54" i="13"/>
  <c r="L54" i="13" s="1"/>
  <c r="I54" i="13"/>
  <c r="E54" i="13"/>
  <c r="AC49" i="13"/>
  <c r="Y49" i="13"/>
  <c r="U49" i="13"/>
  <c r="T49" i="13"/>
  <c r="H49" i="13"/>
  <c r="K49" i="13" s="1"/>
  <c r="AC48" i="13"/>
  <c r="Y48" i="13"/>
  <c r="U48" i="13"/>
  <c r="Q48" i="13"/>
  <c r="M48" i="13"/>
  <c r="L48" i="13"/>
  <c r="AC47" i="13"/>
  <c r="Y47" i="13"/>
  <c r="U47" i="13"/>
  <c r="AC46" i="13"/>
  <c r="Y46" i="13"/>
  <c r="U46" i="13"/>
  <c r="AC45" i="13"/>
  <c r="Y45" i="13"/>
  <c r="U45" i="13"/>
  <c r="L45" i="13"/>
  <c r="AC44" i="13"/>
  <c r="Y44" i="13"/>
  <c r="AC43" i="13"/>
  <c r="Y43" i="13"/>
  <c r="U43" i="13"/>
  <c r="Q43" i="13"/>
  <c r="M43" i="13"/>
  <c r="L43" i="13"/>
  <c r="AC29" i="13"/>
  <c r="Y29" i="13"/>
  <c r="AC28" i="13"/>
  <c r="Y28" i="13"/>
  <c r="U28" i="13"/>
  <c r="AC27" i="13"/>
  <c r="Y27" i="13"/>
  <c r="U27" i="13"/>
  <c r="AC26" i="13"/>
  <c r="Y26" i="13"/>
  <c r="U26" i="13"/>
  <c r="AC25" i="13"/>
  <c r="Y25" i="13"/>
  <c r="AC24" i="13"/>
  <c r="Y24" i="13"/>
  <c r="U24" i="13"/>
  <c r="AB13" i="13"/>
  <c r="X13" i="13"/>
  <c r="T13" i="13"/>
  <c r="P13" i="13"/>
  <c r="H6" i="13"/>
  <c r="L6" i="13" s="1"/>
  <c r="P6" i="13" s="1"/>
  <c r="T6" i="13" s="1"/>
  <c r="X6" i="13" s="1"/>
  <c r="AB6" i="13" s="1"/>
  <c r="AB3" i="13"/>
  <c r="X3" i="13"/>
  <c r="T3" i="13"/>
  <c r="P44" i="12"/>
  <c r="F7" i="36"/>
  <c r="L85" i="12"/>
  <c r="L89" i="12" s="1"/>
  <c r="M89" i="12" s="1"/>
  <c r="H89" i="12"/>
  <c r="D89" i="12"/>
  <c r="I89" i="12" s="1"/>
  <c r="AC81" i="12"/>
  <c r="Y81" i="12"/>
  <c r="U81" i="12"/>
  <c r="Q81" i="12"/>
  <c r="M81" i="12"/>
  <c r="I81" i="12"/>
  <c r="AC80" i="12"/>
  <c r="Y80" i="12"/>
  <c r="U80" i="12"/>
  <c r="Q80" i="12"/>
  <c r="M80" i="12"/>
  <c r="I80" i="12"/>
  <c r="H80" i="12" s="1"/>
  <c r="K80" i="12" s="1"/>
  <c r="G80" i="12"/>
  <c r="AC79" i="12"/>
  <c r="Y79" i="12"/>
  <c r="U79" i="12"/>
  <c r="Q79" i="12"/>
  <c r="M79" i="12"/>
  <c r="I79" i="12"/>
  <c r="H79" i="12" s="1"/>
  <c r="G79" i="12"/>
  <c r="AC78" i="12"/>
  <c r="Y78" i="12"/>
  <c r="U78" i="12"/>
  <c r="Q78" i="12"/>
  <c r="M78" i="12"/>
  <c r="I78" i="12"/>
  <c r="H78" i="12" s="1"/>
  <c r="K78" i="12" s="1"/>
  <c r="G78" i="12"/>
  <c r="AC77" i="12"/>
  <c r="Y77" i="12"/>
  <c r="U77" i="12"/>
  <c r="Q77" i="12"/>
  <c r="M77" i="12"/>
  <c r="I77" i="12"/>
  <c r="H77" i="12" s="1"/>
  <c r="G77" i="12"/>
  <c r="AC76" i="12"/>
  <c r="Y76" i="12"/>
  <c r="U76" i="12"/>
  <c r="Q76" i="12"/>
  <c r="M76" i="12"/>
  <c r="I76" i="12"/>
  <c r="H76" i="12" s="1"/>
  <c r="G76" i="12"/>
  <c r="AC75" i="12"/>
  <c r="Y75" i="12"/>
  <c r="U75" i="12"/>
  <c r="Q75" i="12"/>
  <c r="M75" i="12"/>
  <c r="I75" i="12"/>
  <c r="H75" i="12" s="1"/>
  <c r="G75" i="12"/>
  <c r="AC74" i="12"/>
  <c r="Y74" i="12"/>
  <c r="U74" i="12"/>
  <c r="Q74" i="12"/>
  <c r="M74" i="12"/>
  <c r="I74" i="12"/>
  <c r="H74" i="12" s="1"/>
  <c r="G74" i="12"/>
  <c r="AC73" i="12"/>
  <c r="Y73" i="12"/>
  <c r="U73" i="12"/>
  <c r="Q73" i="12"/>
  <c r="M73" i="12"/>
  <c r="I73" i="12"/>
  <c r="H73" i="12" s="1"/>
  <c r="G73" i="12"/>
  <c r="AC72" i="12"/>
  <c r="Y72" i="12"/>
  <c r="U72" i="12"/>
  <c r="Q72" i="12"/>
  <c r="M72" i="12"/>
  <c r="I72" i="12"/>
  <c r="H72" i="12" s="1"/>
  <c r="G72" i="12"/>
  <c r="AC71" i="12"/>
  <c r="Y71" i="12"/>
  <c r="U71" i="12"/>
  <c r="Q71" i="12"/>
  <c r="M71" i="12"/>
  <c r="I71" i="12"/>
  <c r="H71" i="12" s="1"/>
  <c r="G71" i="12"/>
  <c r="AC70" i="12"/>
  <c r="Y70" i="12"/>
  <c r="U70" i="12"/>
  <c r="Q70" i="12"/>
  <c r="M70" i="12"/>
  <c r="I70" i="12"/>
  <c r="H70" i="12" s="1"/>
  <c r="G70" i="12"/>
  <c r="AC69" i="12"/>
  <c r="Y69" i="12"/>
  <c r="U69" i="12"/>
  <c r="Q69" i="12"/>
  <c r="M69" i="12"/>
  <c r="I69" i="12"/>
  <c r="H69" i="12" s="1"/>
  <c r="G69" i="12"/>
  <c r="D66" i="12"/>
  <c r="G66" i="12" s="1"/>
  <c r="AC65" i="12"/>
  <c r="Y65" i="12"/>
  <c r="U65" i="12"/>
  <c r="Q65" i="12"/>
  <c r="M65" i="12"/>
  <c r="I65" i="12"/>
  <c r="H65" i="12" s="1"/>
  <c r="G65" i="12"/>
  <c r="AC64" i="12"/>
  <c r="Y64" i="12"/>
  <c r="U64" i="12"/>
  <c r="Q64" i="12"/>
  <c r="M64" i="12"/>
  <c r="I64" i="12"/>
  <c r="H64" i="12" s="1"/>
  <c r="G64" i="12"/>
  <c r="AC63" i="12"/>
  <c r="Y63" i="12"/>
  <c r="U63" i="12"/>
  <c r="Q63" i="12"/>
  <c r="M63" i="12"/>
  <c r="I63" i="12"/>
  <c r="H63" i="12" s="1"/>
  <c r="G63" i="12"/>
  <c r="AC62" i="12"/>
  <c r="Y62" i="12"/>
  <c r="U62" i="12"/>
  <c r="Q62" i="12"/>
  <c r="M62" i="12"/>
  <c r="I62" i="12"/>
  <c r="H62" i="12" s="1"/>
  <c r="K62" i="12" s="1"/>
  <c r="G62" i="12"/>
  <c r="AC61" i="12"/>
  <c r="Y61" i="12"/>
  <c r="U61" i="12"/>
  <c r="Q61" i="12"/>
  <c r="M61" i="12"/>
  <c r="I61" i="12"/>
  <c r="H61" i="12" s="1"/>
  <c r="G61" i="12"/>
  <c r="AC60" i="12"/>
  <c r="Y60" i="12"/>
  <c r="U60" i="12"/>
  <c r="Q60" i="12"/>
  <c r="M60" i="12"/>
  <c r="I60" i="12"/>
  <c r="H60" i="12" s="1"/>
  <c r="K60" i="12" s="1"/>
  <c r="G60" i="12"/>
  <c r="AC59" i="12"/>
  <c r="Y59" i="12"/>
  <c r="U59" i="12"/>
  <c r="Q59" i="12"/>
  <c r="M59" i="12"/>
  <c r="I59" i="12"/>
  <c r="H59" i="12" s="1"/>
  <c r="K59" i="12" s="1"/>
  <c r="G59" i="12"/>
  <c r="D53" i="12"/>
  <c r="AC50" i="12"/>
  <c r="Y50" i="12"/>
  <c r="U50" i="12"/>
  <c r="Q50" i="12"/>
  <c r="M50" i="12"/>
  <c r="I50" i="12"/>
  <c r="E50" i="12"/>
  <c r="AC49" i="12"/>
  <c r="Y49" i="12"/>
  <c r="U49" i="12"/>
  <c r="Q49" i="12"/>
  <c r="M49" i="12"/>
  <c r="I49" i="12"/>
  <c r="E49" i="12"/>
  <c r="AC48" i="12"/>
  <c r="Y48" i="12"/>
  <c r="U48" i="12"/>
  <c r="Q48" i="12"/>
  <c r="M48" i="12"/>
  <c r="L48" i="12" s="1"/>
  <c r="AC47" i="12"/>
  <c r="Y47" i="12"/>
  <c r="U47" i="12"/>
  <c r="Q47" i="12"/>
  <c r="M47" i="12"/>
  <c r="I47" i="12"/>
  <c r="E47" i="12"/>
  <c r="AC46" i="12"/>
  <c r="Y46" i="12"/>
  <c r="U46" i="12"/>
  <c r="Q46" i="12"/>
  <c r="M46" i="12"/>
  <c r="I46" i="12"/>
  <c r="E46" i="12"/>
  <c r="AC45" i="12"/>
  <c r="Y45" i="12"/>
  <c r="U45" i="12"/>
  <c r="Q45" i="12"/>
  <c r="M45" i="12"/>
  <c r="I45" i="12"/>
  <c r="E45" i="12"/>
  <c r="U44" i="12"/>
  <c r="Q44" i="12"/>
  <c r="M44" i="12"/>
  <c r="I44" i="12"/>
  <c r="E44" i="12"/>
  <c r="D41" i="12"/>
  <c r="AC39" i="12"/>
  <c r="Y39" i="12"/>
  <c r="U39" i="12"/>
  <c r="G39" i="12"/>
  <c r="AC38" i="12"/>
  <c r="Y38" i="12"/>
  <c r="U38" i="12"/>
  <c r="Q38" i="12"/>
  <c r="M38" i="12"/>
  <c r="L38" i="12"/>
  <c r="AC37" i="12"/>
  <c r="Y37" i="12"/>
  <c r="U37" i="12"/>
  <c r="Q37" i="12"/>
  <c r="M37" i="12"/>
  <c r="G37" i="12"/>
  <c r="AC36" i="12"/>
  <c r="Y36" i="12"/>
  <c r="U36" i="12"/>
  <c r="AC35" i="12"/>
  <c r="Y35" i="12"/>
  <c r="U35" i="12"/>
  <c r="Q35" i="12"/>
  <c r="M35" i="12"/>
  <c r="G35" i="12"/>
  <c r="AC34" i="12"/>
  <c r="Y34" i="12"/>
  <c r="U34" i="12"/>
  <c r="Q34" i="12"/>
  <c r="M34" i="12"/>
  <c r="L34" i="12"/>
  <c r="AC33" i="12"/>
  <c r="Y33" i="12"/>
  <c r="U33" i="12"/>
  <c r="Q33" i="12"/>
  <c r="M33" i="12"/>
  <c r="D30" i="12"/>
  <c r="G30" i="12" s="1"/>
  <c r="AC28" i="12"/>
  <c r="Y28" i="12"/>
  <c r="U28" i="12"/>
  <c r="Q28" i="12"/>
  <c r="M28" i="12"/>
  <c r="H28" i="12"/>
  <c r="K28" i="12" s="1"/>
  <c r="G28" i="12"/>
  <c r="AC27" i="12"/>
  <c r="Y27" i="12"/>
  <c r="U27" i="12"/>
  <c r="Q27" i="12"/>
  <c r="M27" i="12"/>
  <c r="H27" i="12"/>
  <c r="L27" i="12" s="1"/>
  <c r="G27" i="12"/>
  <c r="AC26" i="12"/>
  <c r="Y26" i="12"/>
  <c r="U26" i="12"/>
  <c r="Q26" i="12"/>
  <c r="M26" i="12"/>
  <c r="H26" i="12"/>
  <c r="K26" i="12" s="1"/>
  <c r="G26" i="12"/>
  <c r="AC25" i="12"/>
  <c r="Y25" i="12"/>
  <c r="U25" i="12"/>
  <c r="Q25" i="12"/>
  <c r="M25" i="12"/>
  <c r="H25" i="12"/>
  <c r="K25" i="12" s="1"/>
  <c r="G25" i="12"/>
  <c r="AC24" i="12"/>
  <c r="Y24" i="12"/>
  <c r="U24" i="12"/>
  <c r="Q24" i="12"/>
  <c r="M24" i="12"/>
  <c r="H24" i="12"/>
  <c r="K24" i="12" s="1"/>
  <c r="G24" i="12"/>
  <c r="AC23" i="12"/>
  <c r="Y23" i="12"/>
  <c r="U23" i="12"/>
  <c r="Q23" i="12"/>
  <c r="M23" i="12"/>
  <c r="H23" i="12"/>
  <c r="L23" i="12" s="1"/>
  <c r="G23" i="12"/>
  <c r="AC22" i="12"/>
  <c r="Y22" i="12"/>
  <c r="U22" i="12"/>
  <c r="Q22" i="12"/>
  <c r="M22" i="12"/>
  <c r="H22" i="12"/>
  <c r="K22" i="12" s="1"/>
  <c r="G22" i="12"/>
  <c r="AC21" i="12"/>
  <c r="Y21" i="12"/>
  <c r="U21" i="12"/>
  <c r="Q21" i="12"/>
  <c r="M21" i="12"/>
  <c r="H21" i="12"/>
  <c r="L21" i="12" s="1"/>
  <c r="G21" i="12"/>
  <c r="AB10" i="12"/>
  <c r="X10" i="12"/>
  <c r="AA10" i="12" s="1"/>
  <c r="T10" i="12"/>
  <c r="W10" i="12" s="1"/>
  <c r="O10" i="12"/>
  <c r="K10" i="12"/>
  <c r="G10" i="12"/>
  <c r="G9" i="12"/>
  <c r="H6" i="12"/>
  <c r="L6" i="12" s="1"/>
  <c r="P6" i="12" s="1"/>
  <c r="T6" i="12" s="1"/>
  <c r="X6" i="12" s="1"/>
  <c r="AB6" i="12" s="1"/>
  <c r="AB3" i="12"/>
  <c r="X3" i="12"/>
  <c r="T3" i="12"/>
  <c r="Q60" i="11"/>
  <c r="M60" i="11"/>
  <c r="I60" i="11"/>
  <c r="H60" i="11" s="1"/>
  <c r="K60" i="11" s="1"/>
  <c r="AC81" i="11"/>
  <c r="Y81" i="11"/>
  <c r="U81" i="11"/>
  <c r="Q81" i="11"/>
  <c r="M81" i="11"/>
  <c r="I81" i="11"/>
  <c r="AC80" i="11"/>
  <c r="Y80" i="11"/>
  <c r="U80" i="11"/>
  <c r="Q80" i="11"/>
  <c r="M80" i="11"/>
  <c r="I80" i="11"/>
  <c r="H80" i="11" s="1"/>
  <c r="G80" i="11"/>
  <c r="AC79" i="11"/>
  <c r="Y79" i="11"/>
  <c r="U79" i="11"/>
  <c r="Q79" i="11"/>
  <c r="M79" i="11"/>
  <c r="I79" i="11"/>
  <c r="H79" i="11" s="1"/>
  <c r="G79" i="11"/>
  <c r="AC78" i="11"/>
  <c r="Y78" i="11"/>
  <c r="U78" i="11"/>
  <c r="Q78" i="11"/>
  <c r="M78" i="11"/>
  <c r="I78" i="11"/>
  <c r="H78" i="11" s="1"/>
  <c r="G78" i="11"/>
  <c r="AC77" i="11"/>
  <c r="Y77" i="11"/>
  <c r="U77" i="11"/>
  <c r="Q77" i="11"/>
  <c r="M77" i="11"/>
  <c r="I77" i="11"/>
  <c r="H77" i="11" s="1"/>
  <c r="G77" i="11"/>
  <c r="AC76" i="11"/>
  <c r="Y76" i="11"/>
  <c r="U76" i="11"/>
  <c r="Q76" i="11"/>
  <c r="M76" i="11"/>
  <c r="I76" i="11"/>
  <c r="H76" i="11" s="1"/>
  <c r="G76" i="11"/>
  <c r="AC75" i="11"/>
  <c r="Y75" i="11"/>
  <c r="U75" i="11"/>
  <c r="Q75" i="11"/>
  <c r="M75" i="11"/>
  <c r="I75" i="11"/>
  <c r="H75" i="11" s="1"/>
  <c r="G75" i="11"/>
  <c r="AC74" i="11"/>
  <c r="Y74" i="11"/>
  <c r="U74" i="11"/>
  <c r="Q74" i="11"/>
  <c r="M74" i="11"/>
  <c r="I74" i="11"/>
  <c r="H74" i="11" s="1"/>
  <c r="G74" i="11"/>
  <c r="AC73" i="11"/>
  <c r="Y73" i="11"/>
  <c r="U73" i="11"/>
  <c r="Q73" i="11"/>
  <c r="M73" i="11"/>
  <c r="I73" i="11"/>
  <c r="H73" i="11" s="1"/>
  <c r="K73" i="11" s="1"/>
  <c r="G73" i="11"/>
  <c r="AC72" i="11"/>
  <c r="Y72" i="11"/>
  <c r="U72" i="11"/>
  <c r="Q72" i="11"/>
  <c r="M72" i="11"/>
  <c r="I72" i="11"/>
  <c r="H72" i="11" s="1"/>
  <c r="AC71" i="11"/>
  <c r="Y71" i="11"/>
  <c r="U71" i="11"/>
  <c r="Q71" i="11"/>
  <c r="M71" i="11"/>
  <c r="I71" i="11"/>
  <c r="H71" i="11" s="1"/>
  <c r="AC70" i="11"/>
  <c r="Y70" i="11"/>
  <c r="U70" i="11"/>
  <c r="Q70" i="11"/>
  <c r="M70" i="11"/>
  <c r="I70" i="11"/>
  <c r="H70" i="11" s="1"/>
  <c r="AC69" i="11"/>
  <c r="Y69" i="11"/>
  <c r="U69" i="11"/>
  <c r="D66" i="11"/>
  <c r="AC65" i="11"/>
  <c r="Y65" i="11"/>
  <c r="U65" i="11"/>
  <c r="Q65" i="11"/>
  <c r="M65" i="11"/>
  <c r="I65" i="11"/>
  <c r="H65" i="11" s="1"/>
  <c r="G65" i="11"/>
  <c r="AC64" i="11"/>
  <c r="Y64" i="11"/>
  <c r="U64" i="11"/>
  <c r="Q64" i="11"/>
  <c r="M64" i="11"/>
  <c r="I64" i="11"/>
  <c r="H64" i="11" s="1"/>
  <c r="K64" i="11" s="1"/>
  <c r="G64" i="11"/>
  <c r="AC63" i="11"/>
  <c r="Y63" i="11"/>
  <c r="U63" i="11"/>
  <c r="Q63" i="11"/>
  <c r="M63" i="11"/>
  <c r="I63" i="11"/>
  <c r="H63" i="11" s="1"/>
  <c r="G63" i="11"/>
  <c r="AC62" i="11"/>
  <c r="Y62" i="11"/>
  <c r="U62" i="11"/>
  <c r="Q62" i="11"/>
  <c r="M62" i="11"/>
  <c r="I62" i="11"/>
  <c r="H62" i="11" s="1"/>
  <c r="G62" i="11"/>
  <c r="AC61" i="11"/>
  <c r="Y61" i="11"/>
  <c r="U61" i="11"/>
  <c r="Q61" i="11"/>
  <c r="M61" i="11"/>
  <c r="I61" i="11"/>
  <c r="H61" i="11" s="1"/>
  <c r="G61" i="11"/>
  <c r="AC60" i="11"/>
  <c r="Y60" i="11"/>
  <c r="U60" i="11"/>
  <c r="G60" i="11"/>
  <c r="AC59" i="11"/>
  <c r="Y59" i="11"/>
  <c r="U59" i="11"/>
  <c r="Q59" i="11"/>
  <c r="M59" i="11"/>
  <c r="I59" i="11"/>
  <c r="H59" i="11" s="1"/>
  <c r="D53" i="11"/>
  <c r="AC50" i="11"/>
  <c r="Y50" i="11"/>
  <c r="U50" i="11"/>
  <c r="Q50" i="11"/>
  <c r="P50" i="11" s="1"/>
  <c r="M50" i="11"/>
  <c r="L50" i="11" s="1"/>
  <c r="I50" i="11"/>
  <c r="E50" i="11"/>
  <c r="AC49" i="11"/>
  <c r="Y49" i="11"/>
  <c r="U49" i="11"/>
  <c r="Q49" i="11"/>
  <c r="P49" i="11" s="1"/>
  <c r="M49" i="11"/>
  <c r="L49" i="11" s="1"/>
  <c r="I49" i="11"/>
  <c r="E49" i="11"/>
  <c r="AC48" i="11"/>
  <c r="Y48" i="11"/>
  <c r="U48" i="11"/>
  <c r="Q48" i="11"/>
  <c r="M48" i="11"/>
  <c r="L48" i="11" s="1"/>
  <c r="P48" i="11" s="1"/>
  <c r="AC47" i="11"/>
  <c r="Y47" i="11"/>
  <c r="U47" i="11"/>
  <c r="Q47" i="11"/>
  <c r="P47" i="11" s="1"/>
  <c r="M47" i="11"/>
  <c r="L47" i="11" s="1"/>
  <c r="I47" i="11"/>
  <c r="E47" i="11"/>
  <c r="AC46" i="11"/>
  <c r="Y46" i="11"/>
  <c r="U46" i="11"/>
  <c r="Q46" i="11"/>
  <c r="P46" i="11" s="1"/>
  <c r="M46" i="11"/>
  <c r="L46" i="11" s="1"/>
  <c r="I46" i="11"/>
  <c r="E46" i="11"/>
  <c r="AC45" i="11"/>
  <c r="Y45" i="11"/>
  <c r="U45" i="11"/>
  <c r="Q45" i="11"/>
  <c r="P45" i="11" s="1"/>
  <c r="M45" i="11"/>
  <c r="L45" i="11" s="1"/>
  <c r="E45" i="11"/>
  <c r="U44" i="11"/>
  <c r="Q44" i="11"/>
  <c r="P44" i="11" s="1"/>
  <c r="M44" i="11"/>
  <c r="L44" i="11" s="1"/>
  <c r="I44" i="11"/>
  <c r="E44" i="11"/>
  <c r="D41" i="11"/>
  <c r="AC39" i="11"/>
  <c r="Y39" i="11"/>
  <c r="U39" i="11"/>
  <c r="Q39" i="11"/>
  <c r="M39" i="11"/>
  <c r="I39" i="11"/>
  <c r="H39" i="11"/>
  <c r="L39" i="11" s="1"/>
  <c r="O39" i="11" s="1"/>
  <c r="G39" i="11"/>
  <c r="AC38" i="11"/>
  <c r="Y38" i="11"/>
  <c r="U38" i="11"/>
  <c r="Q38" i="11"/>
  <c r="M38" i="11"/>
  <c r="I38" i="11"/>
  <c r="H38" i="11"/>
  <c r="G38" i="11"/>
  <c r="AC37" i="11"/>
  <c r="Y37" i="11"/>
  <c r="U37" i="11"/>
  <c r="Q37" i="11"/>
  <c r="M37" i="11"/>
  <c r="I37" i="11"/>
  <c r="H37" i="11"/>
  <c r="L37" i="11" s="1"/>
  <c r="G37" i="11"/>
  <c r="AC36" i="11"/>
  <c r="Y36" i="11"/>
  <c r="U36" i="11"/>
  <c r="Q36" i="11"/>
  <c r="M36" i="11"/>
  <c r="I36" i="11"/>
  <c r="H36" i="11"/>
  <c r="G36" i="11"/>
  <c r="AC35" i="11"/>
  <c r="Y35" i="11"/>
  <c r="U35" i="11"/>
  <c r="Q35" i="11"/>
  <c r="M35" i="11"/>
  <c r="I35" i="11"/>
  <c r="H35" i="11"/>
  <c r="G35" i="11"/>
  <c r="AC34" i="11"/>
  <c r="Y34" i="11"/>
  <c r="U34" i="11"/>
  <c r="G34" i="11"/>
  <c r="AC33" i="11"/>
  <c r="Y33" i="11"/>
  <c r="U33" i="11"/>
  <c r="Q33" i="11"/>
  <c r="M33" i="11"/>
  <c r="G33" i="11"/>
  <c r="D30" i="11"/>
  <c r="AC28" i="11"/>
  <c r="Y28" i="11"/>
  <c r="U28" i="11"/>
  <c r="Q28" i="11"/>
  <c r="M28" i="11"/>
  <c r="L28" i="11"/>
  <c r="P28" i="11" s="1"/>
  <c r="S28" i="11" s="1"/>
  <c r="I28" i="11"/>
  <c r="H28" i="11"/>
  <c r="K28" i="11" s="1"/>
  <c r="G28" i="11"/>
  <c r="AC27" i="11"/>
  <c r="Y27" i="11"/>
  <c r="U27" i="11"/>
  <c r="Q27" i="11"/>
  <c r="M27" i="11"/>
  <c r="I27" i="11"/>
  <c r="H27" i="11"/>
  <c r="G27" i="11"/>
  <c r="AC26" i="11"/>
  <c r="Y26" i="11"/>
  <c r="U26" i="11"/>
  <c r="Q26" i="11"/>
  <c r="M26" i="11"/>
  <c r="L26" i="11"/>
  <c r="P26" i="11" s="1"/>
  <c r="S26" i="11" s="1"/>
  <c r="I26" i="11"/>
  <c r="H26" i="11"/>
  <c r="K26" i="11" s="1"/>
  <c r="G26" i="11"/>
  <c r="AC25" i="11"/>
  <c r="Y25" i="11"/>
  <c r="U25" i="11"/>
  <c r="Q25" i="11"/>
  <c r="M25" i="11"/>
  <c r="I25" i="11"/>
  <c r="H25" i="11"/>
  <c r="K25" i="11" s="1"/>
  <c r="G25" i="11"/>
  <c r="AC24" i="11"/>
  <c r="Y24" i="11"/>
  <c r="U24" i="11"/>
  <c r="Q24" i="11"/>
  <c r="M24" i="11"/>
  <c r="I24" i="11"/>
  <c r="H24" i="11"/>
  <c r="K24" i="11" s="1"/>
  <c r="G24" i="11"/>
  <c r="AC23" i="11"/>
  <c r="Y23" i="11"/>
  <c r="U23" i="11"/>
  <c r="Q23" i="11"/>
  <c r="M23" i="11"/>
  <c r="I23" i="11"/>
  <c r="H23" i="11"/>
  <c r="K23" i="11" s="1"/>
  <c r="G23" i="11"/>
  <c r="AC22" i="11"/>
  <c r="Y22" i="11"/>
  <c r="U22" i="11"/>
  <c r="Q22" i="11"/>
  <c r="AC21" i="11"/>
  <c r="Y21" i="11"/>
  <c r="U21" i="11"/>
  <c r="D11" i="11"/>
  <c r="D13" i="11" s="1"/>
  <c r="AB10" i="11"/>
  <c r="AA10" i="11"/>
  <c r="X10" i="11"/>
  <c r="T10" i="11"/>
  <c r="W10" i="11" s="1"/>
  <c r="P10" i="11"/>
  <c r="S10" i="11" s="1"/>
  <c r="L10" i="11"/>
  <c r="O10" i="11" s="1"/>
  <c r="K10" i="11"/>
  <c r="G10" i="11"/>
  <c r="H9" i="11"/>
  <c r="L6" i="11"/>
  <c r="P6" i="11" s="1"/>
  <c r="T6" i="11" s="1"/>
  <c r="X6" i="11" s="1"/>
  <c r="AB6" i="11" s="1"/>
  <c r="H6" i="11"/>
  <c r="AB3" i="11"/>
  <c r="X3" i="11"/>
  <c r="T3" i="11"/>
  <c r="F16" i="36"/>
  <c r="Q22" i="10"/>
  <c r="L22" i="10"/>
  <c r="P22" i="10" s="1"/>
  <c r="AC82" i="10"/>
  <c r="Y82" i="10"/>
  <c r="U82" i="10"/>
  <c r="Q82" i="10"/>
  <c r="M82" i="10"/>
  <c r="I82" i="10"/>
  <c r="AC81" i="10"/>
  <c r="Y81" i="10"/>
  <c r="U81" i="10"/>
  <c r="Q81" i="10"/>
  <c r="M81" i="10"/>
  <c r="I81" i="10"/>
  <c r="H81" i="10" s="1"/>
  <c r="G81" i="10"/>
  <c r="AC80" i="10"/>
  <c r="Y80" i="10"/>
  <c r="U80" i="10"/>
  <c r="Q80" i="10"/>
  <c r="M80" i="10"/>
  <c r="I80" i="10"/>
  <c r="H80" i="10" s="1"/>
  <c r="G80" i="10"/>
  <c r="AC79" i="10"/>
  <c r="Y79" i="10"/>
  <c r="U79" i="10"/>
  <c r="Q79" i="10"/>
  <c r="M79" i="10"/>
  <c r="I79" i="10"/>
  <c r="H79" i="10" s="1"/>
  <c r="G79" i="10"/>
  <c r="AC78" i="10"/>
  <c r="Y78" i="10"/>
  <c r="U78" i="10"/>
  <c r="Q78" i="10"/>
  <c r="M78" i="10"/>
  <c r="I78" i="10"/>
  <c r="H78" i="10" s="1"/>
  <c r="G78" i="10"/>
  <c r="AC77" i="10"/>
  <c r="Y77" i="10"/>
  <c r="U77" i="10"/>
  <c r="Q77" i="10"/>
  <c r="M77" i="10"/>
  <c r="I77" i="10"/>
  <c r="H77" i="10" s="1"/>
  <c r="G77" i="10"/>
  <c r="AC76" i="10"/>
  <c r="Y76" i="10"/>
  <c r="U76" i="10"/>
  <c r="Q76" i="10"/>
  <c r="M76" i="10"/>
  <c r="I76" i="10"/>
  <c r="H76" i="10" s="1"/>
  <c r="G76" i="10"/>
  <c r="AC75" i="10"/>
  <c r="Y75" i="10"/>
  <c r="U75" i="10"/>
  <c r="Q75" i="10"/>
  <c r="M75" i="10"/>
  <c r="I75" i="10"/>
  <c r="H75" i="10" s="1"/>
  <c r="G75" i="10"/>
  <c r="AC74" i="10"/>
  <c r="Y74" i="10"/>
  <c r="U74" i="10"/>
  <c r="Q74" i="10"/>
  <c r="M74" i="10"/>
  <c r="I74" i="10"/>
  <c r="H74" i="10" s="1"/>
  <c r="K74" i="10" s="1"/>
  <c r="G74" i="10"/>
  <c r="AC73" i="10"/>
  <c r="Y73" i="10"/>
  <c r="U73" i="10"/>
  <c r="AC72" i="10"/>
  <c r="Y72" i="10"/>
  <c r="U72" i="10"/>
  <c r="AC71" i="10"/>
  <c r="Y71" i="10"/>
  <c r="U71" i="10"/>
  <c r="AC70" i="10"/>
  <c r="Y70" i="10"/>
  <c r="U70" i="10"/>
  <c r="D67" i="10"/>
  <c r="AC66" i="10"/>
  <c r="Y66" i="10"/>
  <c r="U66" i="10"/>
  <c r="Q66" i="10"/>
  <c r="M66" i="10"/>
  <c r="I66" i="10"/>
  <c r="H66" i="10" s="1"/>
  <c r="G66" i="10"/>
  <c r="AC65" i="10"/>
  <c r="Y65" i="10"/>
  <c r="U65" i="10"/>
  <c r="Q65" i="10"/>
  <c r="M65" i="10"/>
  <c r="I65" i="10"/>
  <c r="H65" i="10" s="1"/>
  <c r="G65" i="10"/>
  <c r="AC64" i="10"/>
  <c r="Y64" i="10"/>
  <c r="U64" i="10"/>
  <c r="G64" i="10"/>
  <c r="AC62" i="10"/>
  <c r="Y62" i="10"/>
  <c r="U62" i="10"/>
  <c r="G62" i="10"/>
  <c r="AC61" i="10"/>
  <c r="Y61" i="10"/>
  <c r="U61" i="10"/>
  <c r="G61" i="10"/>
  <c r="AC60" i="10"/>
  <c r="Y60" i="10"/>
  <c r="U60" i="10"/>
  <c r="G60" i="10"/>
  <c r="AC59" i="10"/>
  <c r="Y59" i="10"/>
  <c r="U59" i="10"/>
  <c r="G59" i="10"/>
  <c r="D53" i="10"/>
  <c r="AC50" i="10"/>
  <c r="Y50" i="10"/>
  <c r="U50" i="10"/>
  <c r="Q50" i="10"/>
  <c r="P50" i="10" s="1"/>
  <c r="M50" i="10"/>
  <c r="L50" i="10" s="1"/>
  <c r="I50" i="10"/>
  <c r="E50" i="10"/>
  <c r="AC49" i="10"/>
  <c r="Y49" i="10"/>
  <c r="U49" i="10"/>
  <c r="Q49" i="10"/>
  <c r="P49" i="10" s="1"/>
  <c r="M49" i="10"/>
  <c r="L49" i="10" s="1"/>
  <c r="I49" i="10"/>
  <c r="E49" i="10"/>
  <c r="AC48" i="10"/>
  <c r="Y48" i="10"/>
  <c r="U48" i="10"/>
  <c r="Q48" i="10"/>
  <c r="M48" i="10"/>
  <c r="L48" i="10" s="1"/>
  <c r="I48" i="10"/>
  <c r="G48" i="10"/>
  <c r="AC47" i="10"/>
  <c r="Y47" i="10"/>
  <c r="U47" i="10"/>
  <c r="Q47" i="10"/>
  <c r="P47" i="10" s="1"/>
  <c r="M47" i="10"/>
  <c r="L47" i="10" s="1"/>
  <c r="I47" i="10"/>
  <c r="E47" i="10"/>
  <c r="AC46" i="10"/>
  <c r="Y46" i="10"/>
  <c r="U46" i="10"/>
  <c r="Q46" i="10"/>
  <c r="P46" i="10" s="1"/>
  <c r="M46" i="10"/>
  <c r="L46" i="10" s="1"/>
  <c r="I46" i="10"/>
  <c r="G46" i="10"/>
  <c r="E46" i="10"/>
  <c r="AC45" i="10"/>
  <c r="Y45" i="10"/>
  <c r="U45" i="10"/>
  <c r="Q45" i="10"/>
  <c r="P45" i="10" s="1"/>
  <c r="M45" i="10"/>
  <c r="L45" i="10" s="1"/>
  <c r="I45" i="10"/>
  <c r="G45" i="10"/>
  <c r="E45" i="10"/>
  <c r="U44" i="10"/>
  <c r="Q44" i="10"/>
  <c r="P44" i="10" s="1"/>
  <c r="M44" i="10"/>
  <c r="L44" i="10" s="1"/>
  <c r="I44" i="10"/>
  <c r="E44" i="10"/>
  <c r="D41" i="10"/>
  <c r="AC39" i="10"/>
  <c r="Y39" i="10"/>
  <c r="U39" i="10"/>
  <c r="Q39" i="10"/>
  <c r="M39" i="10"/>
  <c r="I39" i="10"/>
  <c r="H39" i="10"/>
  <c r="K39" i="10" s="1"/>
  <c r="G39" i="10"/>
  <c r="AC38" i="10"/>
  <c r="Y38" i="10"/>
  <c r="U38" i="10"/>
  <c r="Q38" i="10"/>
  <c r="M38" i="10"/>
  <c r="I38" i="10"/>
  <c r="H38" i="10"/>
  <c r="K38" i="10" s="1"/>
  <c r="G38" i="10"/>
  <c r="AC37" i="10"/>
  <c r="Y37" i="10"/>
  <c r="U37" i="10"/>
  <c r="Q37" i="10"/>
  <c r="M37" i="10"/>
  <c r="I37" i="10"/>
  <c r="H37" i="10"/>
  <c r="K37" i="10" s="1"/>
  <c r="G37" i="10"/>
  <c r="AC36" i="10"/>
  <c r="Y36" i="10"/>
  <c r="U36" i="10"/>
  <c r="Q36" i="10"/>
  <c r="M36" i="10"/>
  <c r="I36" i="10"/>
  <c r="H36" i="10"/>
  <c r="K36" i="10" s="1"/>
  <c r="G36" i="10"/>
  <c r="AC35" i="10"/>
  <c r="Y35" i="10"/>
  <c r="U35" i="10"/>
  <c r="Q35" i="10"/>
  <c r="M35" i="10"/>
  <c r="I35" i="10"/>
  <c r="H35" i="10"/>
  <c r="K35" i="10" s="1"/>
  <c r="G35" i="10"/>
  <c r="AC34" i="10"/>
  <c r="Y34" i="10"/>
  <c r="U34" i="10"/>
  <c r="Q34" i="10"/>
  <c r="M34" i="10"/>
  <c r="K34" i="10"/>
  <c r="I34" i="10"/>
  <c r="H34" i="10"/>
  <c r="L34" i="10" s="1"/>
  <c r="O34" i="10" s="1"/>
  <c r="G34" i="10"/>
  <c r="AC33" i="10"/>
  <c r="Y33" i="10"/>
  <c r="U33" i="10"/>
  <c r="Q33" i="10"/>
  <c r="M33" i="10"/>
  <c r="I33" i="10"/>
  <c r="H33" i="10"/>
  <c r="G33" i="10"/>
  <c r="D30" i="10"/>
  <c r="AC28" i="10"/>
  <c r="Y28" i="10"/>
  <c r="U28" i="10"/>
  <c r="Q28" i="10"/>
  <c r="M28" i="10"/>
  <c r="I28" i="10"/>
  <c r="H28" i="10"/>
  <c r="K28" i="10" s="1"/>
  <c r="G28" i="10"/>
  <c r="AC27" i="10"/>
  <c r="Y27" i="10"/>
  <c r="U27" i="10"/>
  <c r="Q27" i="10"/>
  <c r="M27" i="10"/>
  <c r="I27" i="10"/>
  <c r="H27" i="10"/>
  <c r="K27" i="10" s="1"/>
  <c r="G27" i="10"/>
  <c r="AC26" i="10"/>
  <c r="Y26" i="10"/>
  <c r="U26" i="10"/>
  <c r="Q26" i="10"/>
  <c r="M26" i="10"/>
  <c r="I26" i="10"/>
  <c r="H26" i="10"/>
  <c r="K26" i="10" s="1"/>
  <c r="G26" i="10"/>
  <c r="AC25" i="10"/>
  <c r="Y25" i="10"/>
  <c r="U25" i="10"/>
  <c r="Q25" i="10"/>
  <c r="M25" i="10"/>
  <c r="I25" i="10"/>
  <c r="H25" i="10"/>
  <c r="L25" i="10" s="1"/>
  <c r="G25" i="10"/>
  <c r="AC24" i="10"/>
  <c r="Y24" i="10"/>
  <c r="U24" i="10"/>
  <c r="Q24" i="10"/>
  <c r="M24" i="10"/>
  <c r="I24" i="10"/>
  <c r="H24" i="10"/>
  <c r="K24" i="10" s="1"/>
  <c r="G24" i="10"/>
  <c r="AC23" i="10"/>
  <c r="Y23" i="10"/>
  <c r="U23" i="10"/>
  <c r="Q23" i="10"/>
  <c r="M23" i="10"/>
  <c r="I23" i="10"/>
  <c r="H23" i="10"/>
  <c r="L23" i="10" s="1"/>
  <c r="P23" i="10" s="1"/>
  <c r="G23" i="10"/>
  <c r="AC22" i="10"/>
  <c r="Y22" i="10"/>
  <c r="U22" i="10"/>
  <c r="G22" i="10"/>
  <c r="AC21" i="10"/>
  <c r="Y21" i="10"/>
  <c r="U21" i="10"/>
  <c r="Q21" i="10"/>
  <c r="M21" i="10"/>
  <c r="L21" i="10"/>
  <c r="P21" i="10" s="1"/>
  <c r="AB10" i="10"/>
  <c r="X10" i="10"/>
  <c r="AA10" i="10" s="1"/>
  <c r="T10" i="10"/>
  <c r="W10" i="10" s="1"/>
  <c r="P10" i="10"/>
  <c r="S10" i="10" s="1"/>
  <c r="L10" i="10"/>
  <c r="O10" i="10" s="1"/>
  <c r="K10" i="10"/>
  <c r="G10" i="10"/>
  <c r="H6" i="10"/>
  <c r="L6" i="10" s="1"/>
  <c r="P6" i="10" s="1"/>
  <c r="T6" i="10" s="1"/>
  <c r="X6" i="10" s="1"/>
  <c r="AB6" i="10" s="1"/>
  <c r="AB3" i="10"/>
  <c r="AB9" i="10" s="1"/>
  <c r="X3" i="10"/>
  <c r="X9" i="10" s="1"/>
  <c r="T3" i="10"/>
  <c r="T9" i="10" s="1"/>
  <c r="L68" i="6"/>
  <c r="P68" i="6" s="1"/>
  <c r="E50" i="4"/>
  <c r="E49" i="4"/>
  <c r="E47" i="4"/>
  <c r="E46" i="4"/>
  <c r="E45" i="4"/>
  <c r="E44" i="4"/>
  <c r="E50" i="7"/>
  <c r="E49" i="7"/>
  <c r="E47" i="7"/>
  <c r="E46" i="7"/>
  <c r="E45" i="7"/>
  <c r="E44" i="7"/>
  <c r="E50" i="9"/>
  <c r="E49" i="9"/>
  <c r="E47" i="9"/>
  <c r="E46" i="9"/>
  <c r="E45" i="9"/>
  <c r="E44" i="9"/>
  <c r="E49" i="6"/>
  <c r="E48" i="6"/>
  <c r="E46" i="6"/>
  <c r="E45" i="6"/>
  <c r="E44" i="6"/>
  <c r="E43" i="6"/>
  <c r="E50" i="3"/>
  <c r="E49" i="3"/>
  <c r="E47" i="3"/>
  <c r="E46" i="3"/>
  <c r="E45" i="3"/>
  <c r="G22" i="6"/>
  <c r="AC81" i="9"/>
  <c r="Y81" i="9"/>
  <c r="U81" i="9"/>
  <c r="Q81" i="9"/>
  <c r="M81" i="9"/>
  <c r="I81" i="9"/>
  <c r="AC80" i="9"/>
  <c r="Y80" i="9"/>
  <c r="U80" i="9"/>
  <c r="Q80" i="9"/>
  <c r="M80" i="9"/>
  <c r="I80" i="9"/>
  <c r="H80" i="9" s="1"/>
  <c r="G80" i="9"/>
  <c r="AC79" i="9"/>
  <c r="Y79" i="9"/>
  <c r="U79" i="9"/>
  <c r="Q79" i="9"/>
  <c r="M79" i="9"/>
  <c r="I79" i="9"/>
  <c r="H79" i="9" s="1"/>
  <c r="G79" i="9"/>
  <c r="AC78" i="9"/>
  <c r="Y78" i="9"/>
  <c r="U78" i="9"/>
  <c r="G78" i="9"/>
  <c r="AC77" i="9"/>
  <c r="Y77" i="9"/>
  <c r="U77" i="9"/>
  <c r="Q77" i="9"/>
  <c r="M77" i="9"/>
  <c r="I77" i="9"/>
  <c r="H77" i="9" s="1"/>
  <c r="G77" i="9"/>
  <c r="AC76" i="9"/>
  <c r="Y76" i="9"/>
  <c r="U76" i="9"/>
  <c r="Q76" i="9"/>
  <c r="M76" i="9"/>
  <c r="I76" i="9"/>
  <c r="H76" i="9" s="1"/>
  <c r="G76" i="9"/>
  <c r="AC75" i="9"/>
  <c r="Y75" i="9"/>
  <c r="U75" i="9"/>
  <c r="Q75" i="9"/>
  <c r="M75" i="9"/>
  <c r="I75" i="9"/>
  <c r="H75" i="9" s="1"/>
  <c r="G75" i="9"/>
  <c r="AC74" i="9"/>
  <c r="Y74" i="9"/>
  <c r="U74" i="9"/>
  <c r="Q74" i="9"/>
  <c r="M74" i="9"/>
  <c r="I74" i="9"/>
  <c r="H74" i="9" s="1"/>
  <c r="G74" i="9"/>
  <c r="AC73" i="9"/>
  <c r="Y73" i="9"/>
  <c r="U73" i="9"/>
  <c r="Q73" i="9"/>
  <c r="M73" i="9"/>
  <c r="I73" i="9"/>
  <c r="H73" i="9" s="1"/>
  <c r="G73" i="9"/>
  <c r="AC72" i="9"/>
  <c r="Y72" i="9"/>
  <c r="U72" i="9"/>
  <c r="Q72" i="9"/>
  <c r="M72" i="9"/>
  <c r="I72" i="9"/>
  <c r="H72" i="9" s="1"/>
  <c r="G72" i="9"/>
  <c r="AC71" i="9"/>
  <c r="Y71" i="9"/>
  <c r="U71" i="9"/>
  <c r="Q71" i="9"/>
  <c r="M71" i="9"/>
  <c r="I71" i="9"/>
  <c r="H71" i="9" s="1"/>
  <c r="G71" i="9"/>
  <c r="AC70" i="9"/>
  <c r="Y70" i="9"/>
  <c r="U70" i="9"/>
  <c r="Q70" i="9"/>
  <c r="M70" i="9"/>
  <c r="I70" i="9"/>
  <c r="H70" i="9" s="1"/>
  <c r="G70" i="9"/>
  <c r="AC69" i="9"/>
  <c r="Y69" i="9"/>
  <c r="U69" i="9"/>
  <c r="Q69" i="9"/>
  <c r="M69" i="9"/>
  <c r="I69" i="9"/>
  <c r="H69" i="9" s="1"/>
  <c r="G69" i="9"/>
  <c r="D66" i="9"/>
  <c r="AC65" i="9"/>
  <c r="Y65" i="9"/>
  <c r="U65" i="9"/>
  <c r="Q65" i="9"/>
  <c r="M65" i="9"/>
  <c r="I65" i="9"/>
  <c r="H65" i="9" s="1"/>
  <c r="G65" i="9"/>
  <c r="AC64" i="9"/>
  <c r="Y64" i="9"/>
  <c r="U64" i="9"/>
  <c r="Q64" i="9"/>
  <c r="M64" i="9"/>
  <c r="I64" i="9"/>
  <c r="H64" i="9" s="1"/>
  <c r="K64" i="9" s="1"/>
  <c r="G64" i="9"/>
  <c r="AC63" i="9"/>
  <c r="Y63" i="9"/>
  <c r="U63" i="9"/>
  <c r="Q63" i="9"/>
  <c r="M63" i="9"/>
  <c r="I63" i="9"/>
  <c r="H63" i="9" s="1"/>
  <c r="G63" i="9"/>
  <c r="AC62" i="9"/>
  <c r="Y62" i="9"/>
  <c r="U62" i="9"/>
  <c r="G62" i="9"/>
  <c r="AC61" i="9"/>
  <c r="Y61" i="9"/>
  <c r="U61" i="9"/>
  <c r="Q61" i="9"/>
  <c r="M61" i="9"/>
  <c r="I61" i="9"/>
  <c r="H61" i="9" s="1"/>
  <c r="G61" i="9"/>
  <c r="AC60" i="9"/>
  <c r="Y60" i="9"/>
  <c r="U60" i="9"/>
  <c r="Q60" i="9"/>
  <c r="M60" i="9"/>
  <c r="I60" i="9"/>
  <c r="H60" i="9" s="1"/>
  <c r="G60" i="9"/>
  <c r="AC59" i="9"/>
  <c r="Y59" i="9"/>
  <c r="U59" i="9"/>
  <c r="Q59" i="9"/>
  <c r="M59" i="9"/>
  <c r="I59" i="9"/>
  <c r="H59" i="9" s="1"/>
  <c r="K59" i="9" s="1"/>
  <c r="G59" i="9"/>
  <c r="D53" i="9"/>
  <c r="G53" i="9" s="1"/>
  <c r="H52" i="9"/>
  <c r="K52" i="9" s="1"/>
  <c r="G52" i="9"/>
  <c r="H51" i="9"/>
  <c r="L51" i="9" s="1"/>
  <c r="G51" i="9"/>
  <c r="AC50" i="9"/>
  <c r="Y50" i="9"/>
  <c r="U50" i="9"/>
  <c r="Q50" i="9"/>
  <c r="M50" i="9"/>
  <c r="I50" i="9"/>
  <c r="G50" i="9"/>
  <c r="AC49" i="9"/>
  <c r="Y49" i="9"/>
  <c r="U49" i="9"/>
  <c r="Q49" i="9"/>
  <c r="M49" i="9"/>
  <c r="I49" i="9"/>
  <c r="G49" i="9"/>
  <c r="AC48" i="9"/>
  <c r="Y48" i="9"/>
  <c r="U48" i="9"/>
  <c r="Q48" i="9"/>
  <c r="M48" i="9"/>
  <c r="I48" i="9"/>
  <c r="H48" i="9" s="1"/>
  <c r="K48" i="9" s="1"/>
  <c r="G48" i="9"/>
  <c r="AC47" i="9"/>
  <c r="Y47" i="9"/>
  <c r="U47" i="9"/>
  <c r="Q47" i="9"/>
  <c r="M47" i="9"/>
  <c r="I47" i="9"/>
  <c r="G47" i="9"/>
  <c r="AC46" i="9"/>
  <c r="Y46" i="9"/>
  <c r="U46" i="9"/>
  <c r="Q46" i="9"/>
  <c r="M46" i="9"/>
  <c r="I46" i="9"/>
  <c r="G46" i="9"/>
  <c r="AC45" i="9"/>
  <c r="Y45" i="9"/>
  <c r="U45" i="9"/>
  <c r="Q45" i="9"/>
  <c r="M45" i="9"/>
  <c r="I45" i="9"/>
  <c r="G45" i="9"/>
  <c r="U44" i="9"/>
  <c r="Q44" i="9"/>
  <c r="M44" i="9"/>
  <c r="I44" i="9"/>
  <c r="G44" i="9"/>
  <c r="D41" i="9"/>
  <c r="G41" i="9" s="1"/>
  <c r="AC39" i="9"/>
  <c r="Y39" i="9"/>
  <c r="U39" i="9"/>
  <c r="Q39" i="9"/>
  <c r="M39" i="9"/>
  <c r="I39" i="9"/>
  <c r="H39" i="9"/>
  <c r="L39" i="9" s="1"/>
  <c r="G39" i="9"/>
  <c r="AC38" i="9"/>
  <c r="Y38" i="9"/>
  <c r="U38" i="9"/>
  <c r="Q38" i="9"/>
  <c r="M38" i="9"/>
  <c r="I38" i="9"/>
  <c r="H38" i="9"/>
  <c r="K38" i="9" s="1"/>
  <c r="G38" i="9"/>
  <c r="AC37" i="9"/>
  <c r="Y37" i="9"/>
  <c r="U37" i="9"/>
  <c r="Q37" i="9"/>
  <c r="M37" i="9"/>
  <c r="I37" i="9"/>
  <c r="H37" i="9"/>
  <c r="K37" i="9" s="1"/>
  <c r="G37" i="9"/>
  <c r="AC36" i="9"/>
  <c r="Y36" i="9"/>
  <c r="U36" i="9"/>
  <c r="Q36" i="9"/>
  <c r="M36" i="9"/>
  <c r="I36" i="9"/>
  <c r="H36" i="9"/>
  <c r="K36" i="9" s="1"/>
  <c r="G36" i="9"/>
  <c r="AC35" i="9"/>
  <c r="Y35" i="9"/>
  <c r="U35" i="9"/>
  <c r="Q35" i="9"/>
  <c r="M35" i="9"/>
  <c r="K35" i="9"/>
  <c r="I35" i="9"/>
  <c r="H35" i="9"/>
  <c r="L35" i="9" s="1"/>
  <c r="G35" i="9"/>
  <c r="AC34" i="9"/>
  <c r="Y34" i="9"/>
  <c r="U34" i="9"/>
  <c r="Q34" i="9"/>
  <c r="M34" i="9"/>
  <c r="I34" i="9"/>
  <c r="H34" i="9"/>
  <c r="G34" i="9"/>
  <c r="AC33" i="9"/>
  <c r="Y33" i="9"/>
  <c r="U33" i="9"/>
  <c r="Q33" i="9"/>
  <c r="M33" i="9"/>
  <c r="I33" i="9"/>
  <c r="H33" i="9"/>
  <c r="K33" i="9" s="1"/>
  <c r="G33" i="9"/>
  <c r="D30" i="9"/>
  <c r="G30" i="9" s="1"/>
  <c r="AC28" i="9"/>
  <c r="Y28" i="9"/>
  <c r="U28" i="9"/>
  <c r="Q28" i="9"/>
  <c r="M28" i="9"/>
  <c r="I28" i="9"/>
  <c r="H28" i="9"/>
  <c r="L28" i="9" s="1"/>
  <c r="O28" i="9" s="1"/>
  <c r="G28" i="9"/>
  <c r="AC27" i="9"/>
  <c r="Y27" i="9"/>
  <c r="U27" i="9"/>
  <c r="Q27" i="9"/>
  <c r="M27" i="9"/>
  <c r="I27" i="9"/>
  <c r="H27" i="9"/>
  <c r="L27" i="9" s="1"/>
  <c r="G27" i="9"/>
  <c r="AC26" i="9"/>
  <c r="Y26" i="9"/>
  <c r="U26" i="9"/>
  <c r="Q26" i="9"/>
  <c r="M26" i="9"/>
  <c r="I26" i="9"/>
  <c r="H26" i="9"/>
  <c r="L26" i="9" s="1"/>
  <c r="P26" i="9" s="1"/>
  <c r="G26" i="9"/>
  <c r="AC25" i="9"/>
  <c r="Y25" i="9"/>
  <c r="U25" i="9"/>
  <c r="Q25" i="9"/>
  <c r="M25" i="9"/>
  <c r="I25" i="9"/>
  <c r="H25" i="9"/>
  <c r="K25" i="9" s="1"/>
  <c r="G25" i="9"/>
  <c r="AC24" i="9"/>
  <c r="Y24" i="9"/>
  <c r="U24" i="9"/>
  <c r="Q24" i="9"/>
  <c r="M24" i="9"/>
  <c r="I24" i="9"/>
  <c r="H24" i="9"/>
  <c r="L24" i="9" s="1"/>
  <c r="P24" i="9" s="1"/>
  <c r="G24" i="9"/>
  <c r="AC23" i="9"/>
  <c r="Y23" i="9"/>
  <c r="U23" i="9"/>
  <c r="Q23" i="9"/>
  <c r="M23" i="9"/>
  <c r="I23" i="9"/>
  <c r="H23" i="9"/>
  <c r="L23" i="9" s="1"/>
  <c r="O23" i="9" s="1"/>
  <c r="G23" i="9"/>
  <c r="AC22" i="9"/>
  <c r="Y22" i="9"/>
  <c r="U22" i="9"/>
  <c r="Q22" i="9"/>
  <c r="M22" i="9"/>
  <c r="I22" i="9"/>
  <c r="H22" i="9"/>
  <c r="L22" i="9" s="1"/>
  <c r="O22" i="9" s="1"/>
  <c r="G22" i="9"/>
  <c r="AC21" i="9"/>
  <c r="Y21" i="9"/>
  <c r="U21" i="9"/>
  <c r="Q21" i="9"/>
  <c r="M21" i="9"/>
  <c r="I21" i="9"/>
  <c r="H21" i="9"/>
  <c r="K21" i="9" s="1"/>
  <c r="G21" i="9"/>
  <c r="AB10" i="9"/>
  <c r="X10" i="9"/>
  <c r="AA10" i="9" s="1"/>
  <c r="T10" i="9"/>
  <c r="W10" i="9" s="1"/>
  <c r="K10" i="9"/>
  <c r="G10" i="9"/>
  <c r="L6" i="9"/>
  <c r="P6" i="9" s="1"/>
  <c r="T6" i="9" s="1"/>
  <c r="X6" i="9" s="1"/>
  <c r="AB6" i="9" s="1"/>
  <c r="H6" i="9"/>
  <c r="P48" i="10" l="1"/>
  <c r="P58" i="13"/>
  <c r="K48" i="13"/>
  <c r="K23" i="10"/>
  <c r="L38" i="10"/>
  <c r="P38" i="10" s="1"/>
  <c r="L24" i="11"/>
  <c r="I30" i="14"/>
  <c r="AB11" i="10"/>
  <c r="L22" i="14"/>
  <c r="O22" i="14" s="1"/>
  <c r="L79" i="11"/>
  <c r="O79" i="11" s="1"/>
  <c r="L76" i="10"/>
  <c r="P76" i="10" s="1"/>
  <c r="L80" i="10"/>
  <c r="O80" i="10" s="1"/>
  <c r="K23" i="9"/>
  <c r="S10" i="12"/>
  <c r="S10" i="9"/>
  <c r="H13" i="36"/>
  <c r="L27" i="10"/>
  <c r="P27" i="10" s="1"/>
  <c r="L36" i="10"/>
  <c r="P36" i="10" s="1"/>
  <c r="S36" i="10" s="1"/>
  <c r="O28" i="11"/>
  <c r="L23" i="11"/>
  <c r="O23" i="11" s="1"/>
  <c r="P85" i="12"/>
  <c r="P89" i="12" s="1"/>
  <c r="Q89" i="12" s="1"/>
  <c r="H89" i="14"/>
  <c r="G48" i="11"/>
  <c r="P47" i="13"/>
  <c r="O47" i="13" s="1"/>
  <c r="K47" i="13"/>
  <c r="P43" i="13"/>
  <c r="T43" i="13" s="1"/>
  <c r="K43" i="13"/>
  <c r="P45" i="13"/>
  <c r="O45" i="13" s="1"/>
  <c r="K45" i="13"/>
  <c r="P44" i="13"/>
  <c r="T44" i="13" s="1"/>
  <c r="K44" i="13"/>
  <c r="G21" i="10"/>
  <c r="L36" i="9"/>
  <c r="O36" i="9" s="1"/>
  <c r="K39" i="9"/>
  <c r="L21" i="9"/>
  <c r="O21" i="9" s="1"/>
  <c r="H41" i="12"/>
  <c r="I41" i="12" s="1"/>
  <c r="G9" i="13"/>
  <c r="G5" i="27"/>
  <c r="L75" i="10"/>
  <c r="O75" i="10" s="1"/>
  <c r="L79" i="10"/>
  <c r="O79" i="10" s="1"/>
  <c r="L77" i="10"/>
  <c r="P77" i="10" s="1"/>
  <c r="L81" i="10"/>
  <c r="O81" i="10" s="1"/>
  <c r="L48" i="14"/>
  <c r="K48" i="14" s="1"/>
  <c r="L62" i="14"/>
  <c r="P62" i="14" s="1"/>
  <c r="T62" i="14" s="1"/>
  <c r="L78" i="10"/>
  <c r="O78" i="10" s="1"/>
  <c r="L60" i="9"/>
  <c r="O60" i="9" s="1"/>
  <c r="L64" i="14"/>
  <c r="P64" i="14" s="1"/>
  <c r="L61" i="11"/>
  <c r="P61" i="11" s="1"/>
  <c r="T61" i="11" s="1"/>
  <c r="L71" i="11"/>
  <c r="P71" i="11" s="1"/>
  <c r="L9" i="12"/>
  <c r="L11" i="12" s="1"/>
  <c r="K21" i="10"/>
  <c r="O26" i="11"/>
  <c r="P24" i="33"/>
  <c r="Q24" i="33" s="1"/>
  <c r="P32" i="32"/>
  <c r="K22" i="6"/>
  <c r="K74" i="14"/>
  <c r="L74" i="14"/>
  <c r="P74" i="14" s="1"/>
  <c r="T74" i="14" s="1"/>
  <c r="K71" i="10"/>
  <c r="L59" i="11"/>
  <c r="P59" i="11" s="1"/>
  <c r="L65" i="14"/>
  <c r="P65" i="14" s="1"/>
  <c r="L75" i="11"/>
  <c r="O75" i="11" s="1"/>
  <c r="K75" i="11"/>
  <c r="L76" i="14"/>
  <c r="P76" i="14" s="1"/>
  <c r="T76" i="14" s="1"/>
  <c r="K76" i="14"/>
  <c r="L77" i="11"/>
  <c r="O77" i="11" s="1"/>
  <c r="K77" i="11"/>
  <c r="L78" i="14"/>
  <c r="P78" i="14" s="1"/>
  <c r="S78" i="14" s="1"/>
  <c r="K78" i="14"/>
  <c r="L70" i="14"/>
  <c r="P70" i="14" s="1"/>
  <c r="T70" i="14" s="1"/>
  <c r="K70" i="14"/>
  <c r="L62" i="11"/>
  <c r="O62" i="11" s="1"/>
  <c r="L72" i="14"/>
  <c r="P72" i="14" s="1"/>
  <c r="S72" i="14" s="1"/>
  <c r="L80" i="14"/>
  <c r="P80" i="14" s="1"/>
  <c r="T80" i="14" s="1"/>
  <c r="L65" i="9"/>
  <c r="P65" i="9" s="1"/>
  <c r="L74" i="10"/>
  <c r="P74" i="10" s="1"/>
  <c r="L73" i="11"/>
  <c r="O73" i="11" s="1"/>
  <c r="L60" i="14"/>
  <c r="O60" i="14" s="1"/>
  <c r="L63" i="11"/>
  <c r="O63" i="11" s="1"/>
  <c r="L64" i="11"/>
  <c r="P64" i="11" s="1"/>
  <c r="K79" i="11"/>
  <c r="G48" i="12"/>
  <c r="D63" i="13"/>
  <c r="K91" i="13"/>
  <c r="K92" i="13"/>
  <c r="L46" i="13"/>
  <c r="H101" i="13"/>
  <c r="G48" i="27" s="1"/>
  <c r="H51" i="13"/>
  <c r="I51" i="13" s="1"/>
  <c r="T84" i="13"/>
  <c r="O12" i="13"/>
  <c r="T80" i="13"/>
  <c r="T88" i="13"/>
  <c r="T90" i="13"/>
  <c r="L70" i="13"/>
  <c r="O70" i="13" s="1"/>
  <c r="L74" i="13"/>
  <c r="P74" i="13" s="1"/>
  <c r="S74" i="13" s="1"/>
  <c r="L72" i="13"/>
  <c r="P72" i="13" s="1"/>
  <c r="L35" i="14"/>
  <c r="P35" i="14" s="1"/>
  <c r="W39" i="14"/>
  <c r="H41" i="14"/>
  <c r="H45" i="14" s="1"/>
  <c r="L26" i="14"/>
  <c r="O28" i="14"/>
  <c r="P28" i="14"/>
  <c r="S28" i="14" s="1"/>
  <c r="O24" i="14"/>
  <c r="P24" i="14"/>
  <c r="T24" i="14" s="1"/>
  <c r="P22" i="14"/>
  <c r="T22" i="14" s="1"/>
  <c r="K24" i="14"/>
  <c r="L34" i="14"/>
  <c r="P34" i="14" s="1"/>
  <c r="X36" i="14"/>
  <c r="AA36" i="14" s="1"/>
  <c r="AB39" i="14"/>
  <c r="AA39" i="14" s="1"/>
  <c r="L33" i="14"/>
  <c r="L37" i="14"/>
  <c r="P37" i="14" s="1"/>
  <c r="L11" i="14"/>
  <c r="P9" i="14"/>
  <c r="O9" i="14" s="1"/>
  <c r="D102" i="14"/>
  <c r="D15" i="14"/>
  <c r="K25" i="14"/>
  <c r="L25" i="14"/>
  <c r="H30" i="14"/>
  <c r="H44" i="14" s="1"/>
  <c r="K21" i="14"/>
  <c r="S24" i="14"/>
  <c r="G41" i="14"/>
  <c r="K23" i="14"/>
  <c r="L23" i="14"/>
  <c r="G48" i="14"/>
  <c r="H11" i="14"/>
  <c r="K9" i="14"/>
  <c r="S22" i="14"/>
  <c r="H66" i="14"/>
  <c r="K66" i="14" s="1"/>
  <c r="K59" i="14"/>
  <c r="L59" i="14"/>
  <c r="L27" i="14"/>
  <c r="K33" i="14"/>
  <c r="G38" i="14"/>
  <c r="L38" i="14"/>
  <c r="L61" i="14"/>
  <c r="K62" i="14"/>
  <c r="K73" i="14"/>
  <c r="L73" i="14"/>
  <c r="K75" i="14"/>
  <c r="L75" i="14"/>
  <c r="T85" i="14"/>
  <c r="P89" i="14"/>
  <c r="K64" i="14"/>
  <c r="K69" i="14"/>
  <c r="L69" i="14"/>
  <c r="K77" i="14"/>
  <c r="L77" i="14"/>
  <c r="D55" i="14"/>
  <c r="L63" i="14"/>
  <c r="K63" i="14"/>
  <c r="K71" i="14"/>
  <c r="L71" i="14"/>
  <c r="K79" i="14"/>
  <c r="L79" i="14"/>
  <c r="K65" i="14"/>
  <c r="L89" i="14"/>
  <c r="P48" i="13"/>
  <c r="O48" i="13" s="1"/>
  <c r="K71" i="13"/>
  <c r="L71" i="13"/>
  <c r="T45" i="13"/>
  <c r="S45" i="13" s="1"/>
  <c r="H76" i="13"/>
  <c r="K69" i="13"/>
  <c r="K73" i="13"/>
  <c r="L73" i="13"/>
  <c r="S49" i="13"/>
  <c r="X49" i="13"/>
  <c r="W49" i="13" s="1"/>
  <c r="K72" i="13"/>
  <c r="K85" i="13"/>
  <c r="D65" i="13"/>
  <c r="L75" i="13"/>
  <c r="K75" i="13"/>
  <c r="K87" i="13"/>
  <c r="T97" i="13"/>
  <c r="P101" i="13"/>
  <c r="K70" i="13"/>
  <c r="K74" i="13"/>
  <c r="K81" i="13"/>
  <c r="K89" i="13"/>
  <c r="K79" i="13"/>
  <c r="K83" i="13"/>
  <c r="L101" i="13"/>
  <c r="L72" i="12"/>
  <c r="P72" i="12" s="1"/>
  <c r="K23" i="12"/>
  <c r="L25" i="12"/>
  <c r="L70" i="12"/>
  <c r="P70" i="12" s="1"/>
  <c r="L61" i="12"/>
  <c r="P61" i="12" s="1"/>
  <c r="L76" i="12"/>
  <c r="O76" i="12" s="1"/>
  <c r="K64" i="12"/>
  <c r="L64" i="12"/>
  <c r="P64" i="12" s="1"/>
  <c r="S64" i="12" s="1"/>
  <c r="L74" i="12"/>
  <c r="O74" i="12" s="1"/>
  <c r="L78" i="12"/>
  <c r="P78" i="12" s="1"/>
  <c r="T78" i="12" s="1"/>
  <c r="L80" i="12"/>
  <c r="P80" i="12" s="1"/>
  <c r="S80" i="12" s="1"/>
  <c r="G44" i="12"/>
  <c r="P38" i="12"/>
  <c r="O38" i="12" s="1"/>
  <c r="K38" i="12"/>
  <c r="G38" i="12"/>
  <c r="K36" i="12"/>
  <c r="G36" i="12"/>
  <c r="K34" i="12"/>
  <c r="G34" i="12"/>
  <c r="G33" i="12"/>
  <c r="O27" i="12"/>
  <c r="P27" i="12"/>
  <c r="S27" i="12" s="1"/>
  <c r="O23" i="12"/>
  <c r="P23" i="12"/>
  <c r="L26" i="12"/>
  <c r="P26" i="12" s="1"/>
  <c r="T26" i="12" s="1"/>
  <c r="W26" i="12" s="1"/>
  <c r="L28" i="12"/>
  <c r="P28" i="12" s="1"/>
  <c r="T28" i="12" s="1"/>
  <c r="W28" i="12" s="1"/>
  <c r="K21" i="12"/>
  <c r="K27" i="12"/>
  <c r="X26" i="12"/>
  <c r="H11" i="12"/>
  <c r="H13" i="12" s="1"/>
  <c r="O21" i="12"/>
  <c r="P21" i="12"/>
  <c r="L22" i="12"/>
  <c r="G45" i="12"/>
  <c r="L33" i="12"/>
  <c r="K33" i="12" s="1"/>
  <c r="P34" i="12"/>
  <c r="O34" i="12" s="1"/>
  <c r="P36" i="12"/>
  <c r="O36" i="12" s="1"/>
  <c r="D55" i="12"/>
  <c r="D11" i="12"/>
  <c r="L37" i="12"/>
  <c r="K37" i="12" s="1"/>
  <c r="H30" i="12"/>
  <c r="K48" i="12"/>
  <c r="L24" i="12"/>
  <c r="T27" i="12"/>
  <c r="O28" i="12"/>
  <c r="L35" i="12"/>
  <c r="K35" i="12" s="1"/>
  <c r="K39" i="12"/>
  <c r="L71" i="12"/>
  <c r="K71" i="12"/>
  <c r="L63" i="12"/>
  <c r="K63" i="12"/>
  <c r="L65" i="12"/>
  <c r="K65" i="12"/>
  <c r="L69" i="12"/>
  <c r="K69" i="12"/>
  <c r="L77" i="12"/>
  <c r="K77" i="12"/>
  <c r="L79" i="12"/>
  <c r="K79" i="12"/>
  <c r="H66" i="12"/>
  <c r="K66" i="12" s="1"/>
  <c r="L59" i="12"/>
  <c r="L75" i="12"/>
  <c r="K75" i="12"/>
  <c r="L60" i="12"/>
  <c r="K61" i="12"/>
  <c r="L73" i="12"/>
  <c r="K73" i="12"/>
  <c r="L62" i="12"/>
  <c r="K70" i="12"/>
  <c r="K72" i="12"/>
  <c r="K74" i="12"/>
  <c r="K76" i="12"/>
  <c r="L33" i="11"/>
  <c r="K33" i="11" s="1"/>
  <c r="K37" i="11"/>
  <c r="K39" i="11"/>
  <c r="L60" i="11"/>
  <c r="O60" i="11" s="1"/>
  <c r="K71" i="11"/>
  <c r="O37" i="11"/>
  <c r="P37" i="11"/>
  <c r="S37" i="11" s="1"/>
  <c r="K21" i="11"/>
  <c r="G21" i="11"/>
  <c r="D96" i="11"/>
  <c r="D15" i="11"/>
  <c r="T21" i="11"/>
  <c r="T26" i="11"/>
  <c r="K36" i="11"/>
  <c r="L36" i="11"/>
  <c r="K48" i="11"/>
  <c r="G22" i="11"/>
  <c r="L22" i="11"/>
  <c r="P23" i="11"/>
  <c r="P24" i="11"/>
  <c r="O24" i="11"/>
  <c r="H30" i="11"/>
  <c r="I30" i="11" s="1"/>
  <c r="K22" i="11"/>
  <c r="K27" i="11"/>
  <c r="L27" i="11"/>
  <c r="G9" i="11"/>
  <c r="L9" i="11"/>
  <c r="H11" i="11"/>
  <c r="O21" i="11"/>
  <c r="L35" i="11"/>
  <c r="K35" i="11"/>
  <c r="H41" i="11"/>
  <c r="G41" i="11" s="1"/>
  <c r="O34" i="11"/>
  <c r="K38" i="11"/>
  <c r="L38" i="11"/>
  <c r="L72" i="11"/>
  <c r="K72" i="11" s="1"/>
  <c r="G72" i="11"/>
  <c r="P77" i="11"/>
  <c r="L80" i="11"/>
  <c r="K80" i="11"/>
  <c r="L25" i="11"/>
  <c r="T28" i="11"/>
  <c r="K34" i="11"/>
  <c r="P39" i="11"/>
  <c r="K59" i="11"/>
  <c r="H66" i="11"/>
  <c r="G59" i="11"/>
  <c r="L65" i="11"/>
  <c r="K65" i="11"/>
  <c r="G66" i="11"/>
  <c r="L78" i="11"/>
  <c r="K78" i="11"/>
  <c r="K61" i="11"/>
  <c r="K62" i="11"/>
  <c r="K63" i="11"/>
  <c r="L70" i="11"/>
  <c r="G70" i="11"/>
  <c r="L74" i="11"/>
  <c r="K74" i="11"/>
  <c r="D55" i="11"/>
  <c r="L76" i="11"/>
  <c r="K76" i="11"/>
  <c r="G69" i="11"/>
  <c r="G71" i="11"/>
  <c r="O25" i="10"/>
  <c r="P25" i="10"/>
  <c r="K25" i="10"/>
  <c r="O27" i="10"/>
  <c r="L28" i="10"/>
  <c r="P28" i="10" s="1"/>
  <c r="G73" i="10"/>
  <c r="K72" i="10"/>
  <c r="G72" i="10"/>
  <c r="G71" i="10"/>
  <c r="G70" i="10"/>
  <c r="K78" i="10"/>
  <c r="K80" i="10"/>
  <c r="K76" i="10"/>
  <c r="H67" i="10"/>
  <c r="K60" i="10"/>
  <c r="T22" i="10"/>
  <c r="X22" i="10" s="1"/>
  <c r="K22" i="10"/>
  <c r="D55" i="10"/>
  <c r="O21" i="10"/>
  <c r="D11" i="10"/>
  <c r="G9" i="10"/>
  <c r="K9" i="10"/>
  <c r="H11" i="10"/>
  <c r="X11" i="10"/>
  <c r="AA9" i="10"/>
  <c r="S23" i="10"/>
  <c r="T23" i="10"/>
  <c r="L11" i="10"/>
  <c r="M11" i="10" s="1"/>
  <c r="S27" i="10"/>
  <c r="T27" i="10"/>
  <c r="T11" i="10"/>
  <c r="W9" i="10"/>
  <c r="T21" i="10"/>
  <c r="S21" i="10" s="1"/>
  <c r="O23" i="10"/>
  <c r="L24" i="10"/>
  <c r="S38" i="10"/>
  <c r="T38" i="10"/>
  <c r="K48" i="10"/>
  <c r="K33" i="10"/>
  <c r="H41" i="10"/>
  <c r="L33" i="10"/>
  <c r="L26" i="10"/>
  <c r="L30" i="10" s="1"/>
  <c r="H30" i="10"/>
  <c r="G30" i="10" s="1"/>
  <c r="P34" i="10"/>
  <c r="L35" i="10"/>
  <c r="O36" i="10"/>
  <c r="L37" i="10"/>
  <c r="O38" i="10"/>
  <c r="L39" i="10"/>
  <c r="K59" i="10"/>
  <c r="L66" i="10"/>
  <c r="K66" i="10"/>
  <c r="O77" i="10"/>
  <c r="L65" i="10"/>
  <c r="K65" i="10" s="1"/>
  <c r="K61" i="10"/>
  <c r="K64" i="10"/>
  <c r="G41" i="10"/>
  <c r="K62" i="10"/>
  <c r="O76" i="10"/>
  <c r="K70" i="10"/>
  <c r="K73" i="10"/>
  <c r="K75" i="10"/>
  <c r="K77" i="10"/>
  <c r="K79" i="10"/>
  <c r="K81" i="10"/>
  <c r="L63" i="9"/>
  <c r="P63" i="9" s="1"/>
  <c r="K63" i="9"/>
  <c r="L61" i="9"/>
  <c r="O61" i="9" s="1"/>
  <c r="K61" i="9"/>
  <c r="L48" i="9"/>
  <c r="O48" i="9" s="1"/>
  <c r="K65" i="9"/>
  <c r="P39" i="9"/>
  <c r="T39" i="9" s="1"/>
  <c r="O39" i="9"/>
  <c r="P35" i="9"/>
  <c r="O35" i="9"/>
  <c r="L33" i="9"/>
  <c r="P33" i="9" s="1"/>
  <c r="S33" i="9" s="1"/>
  <c r="L37" i="9"/>
  <c r="L38" i="9"/>
  <c r="O38" i="9" s="1"/>
  <c r="P22" i="9"/>
  <c r="T22" i="9" s="1"/>
  <c r="W22" i="9" s="1"/>
  <c r="K22" i="9"/>
  <c r="K24" i="9"/>
  <c r="L25" i="9"/>
  <c r="O25" i="9" s="1"/>
  <c r="T24" i="9"/>
  <c r="S24" i="9"/>
  <c r="D11" i="9"/>
  <c r="D13" i="9" s="1"/>
  <c r="T26" i="9"/>
  <c r="S26" i="9"/>
  <c r="O27" i="9"/>
  <c r="P27" i="9"/>
  <c r="G12" i="36"/>
  <c r="O26" i="9"/>
  <c r="P28" i="9"/>
  <c r="H41" i="9"/>
  <c r="K34" i="9"/>
  <c r="O24" i="9"/>
  <c r="K27" i="9"/>
  <c r="K28" i="9"/>
  <c r="H30" i="9"/>
  <c r="P23" i="9"/>
  <c r="K26" i="9"/>
  <c r="L34" i="9"/>
  <c r="O51" i="9"/>
  <c r="P51" i="9"/>
  <c r="K51" i="9"/>
  <c r="L52" i="9"/>
  <c r="D55" i="9"/>
  <c r="G55" i="9" s="1"/>
  <c r="H66" i="9"/>
  <c r="L59" i="9"/>
  <c r="K62" i="9"/>
  <c r="L71" i="9"/>
  <c r="K71" i="9"/>
  <c r="L75" i="9"/>
  <c r="K75" i="9"/>
  <c r="L79" i="9"/>
  <c r="K79" i="9"/>
  <c r="L70" i="9"/>
  <c r="K70" i="9"/>
  <c r="L74" i="9"/>
  <c r="K74" i="9"/>
  <c r="K78" i="9"/>
  <c r="L69" i="9"/>
  <c r="K69" i="9"/>
  <c r="L73" i="9"/>
  <c r="K73" i="9"/>
  <c r="L77" i="9"/>
  <c r="K77" i="9"/>
  <c r="K60" i="9"/>
  <c r="L72" i="9"/>
  <c r="K72" i="9"/>
  <c r="L76" i="9"/>
  <c r="K76" i="9"/>
  <c r="L80" i="9"/>
  <c r="K80" i="9"/>
  <c r="L64" i="9"/>
  <c r="Q23" i="7"/>
  <c r="G1" i="6"/>
  <c r="G5" i="28" l="1"/>
  <c r="M5" i="27"/>
  <c r="N5" i="27" s="1"/>
  <c r="P81" i="10"/>
  <c r="P79" i="10"/>
  <c r="M30" i="10"/>
  <c r="I11" i="10"/>
  <c r="T85" i="12"/>
  <c r="O44" i="13"/>
  <c r="L13" i="14"/>
  <c r="M11" i="14"/>
  <c r="T36" i="10"/>
  <c r="I11" i="11"/>
  <c r="O59" i="11"/>
  <c r="H48" i="27"/>
  <c r="M101" i="13"/>
  <c r="H47" i="14"/>
  <c r="O28" i="10"/>
  <c r="O64" i="11"/>
  <c r="I48" i="27"/>
  <c r="Q48" i="27" s="1"/>
  <c r="R48" i="27" s="1"/>
  <c r="Q101" i="13"/>
  <c r="P79" i="11"/>
  <c r="I11" i="14"/>
  <c r="H13" i="14"/>
  <c r="L103" i="12"/>
  <c r="M11" i="12"/>
  <c r="L13" i="12"/>
  <c r="H49" i="14"/>
  <c r="G49" i="14" s="1"/>
  <c r="I41" i="11"/>
  <c r="I30" i="10"/>
  <c r="I11" i="12"/>
  <c r="D96" i="9"/>
  <c r="P80" i="10"/>
  <c r="P75" i="11"/>
  <c r="P60" i="14"/>
  <c r="S60" i="14" s="1"/>
  <c r="P73" i="11"/>
  <c r="G66" i="9"/>
  <c r="I66" i="9"/>
  <c r="O61" i="11"/>
  <c r="I76" i="13"/>
  <c r="P60" i="9"/>
  <c r="G67" i="10"/>
  <c r="I67" i="10"/>
  <c r="S70" i="14"/>
  <c r="G48" i="28"/>
  <c r="O24" i="33"/>
  <c r="P34" i="33"/>
  <c r="P37" i="33"/>
  <c r="P40" i="33"/>
  <c r="P39" i="33"/>
  <c r="O70" i="14"/>
  <c r="S80" i="14"/>
  <c r="S62" i="14"/>
  <c r="O80" i="14"/>
  <c r="P86" i="13"/>
  <c r="T86" i="13" s="1"/>
  <c r="S39" i="9"/>
  <c r="P36" i="9"/>
  <c r="T33" i="9"/>
  <c r="X33" i="9" s="1"/>
  <c r="P25" i="9"/>
  <c r="S25" i="9" s="1"/>
  <c r="O10" i="9"/>
  <c r="G13" i="36"/>
  <c r="O26" i="12"/>
  <c r="K9" i="12"/>
  <c r="H103" i="12"/>
  <c r="G44" i="14"/>
  <c r="O43" i="13"/>
  <c r="K58" i="13"/>
  <c r="G51" i="13"/>
  <c r="P46" i="13"/>
  <c r="T46" i="13" s="1"/>
  <c r="X46" i="13" s="1"/>
  <c r="W46" i="13" s="1"/>
  <c r="K46" i="13"/>
  <c r="T25" i="13"/>
  <c r="X25" i="13" s="1"/>
  <c r="G16" i="36"/>
  <c r="L30" i="9"/>
  <c r="P21" i="9"/>
  <c r="P30" i="9" s="1"/>
  <c r="G11" i="14"/>
  <c r="O65" i="9"/>
  <c r="P78" i="10"/>
  <c r="T78" i="10" s="1"/>
  <c r="P62" i="11"/>
  <c r="S62" i="11" s="1"/>
  <c r="P63" i="11"/>
  <c r="T63" i="11" s="1"/>
  <c r="X63" i="11" s="1"/>
  <c r="O76" i="14"/>
  <c r="S76" i="14"/>
  <c r="T78" i="14"/>
  <c r="X78" i="14" s="1"/>
  <c r="O74" i="13"/>
  <c r="O78" i="14"/>
  <c r="P75" i="10"/>
  <c r="T75" i="10" s="1"/>
  <c r="O74" i="10"/>
  <c r="S74" i="14"/>
  <c r="O65" i="14"/>
  <c r="O72" i="14"/>
  <c r="O72" i="12"/>
  <c r="T72" i="14"/>
  <c r="X72" i="14" s="1"/>
  <c r="O64" i="14"/>
  <c r="O74" i="14"/>
  <c r="S78" i="12"/>
  <c r="O62" i="14"/>
  <c r="G7" i="36"/>
  <c r="P9" i="12"/>
  <c r="O9" i="12" s="1"/>
  <c r="J48" i="27"/>
  <c r="I48" i="28"/>
  <c r="S22" i="9"/>
  <c r="X22" i="9"/>
  <c r="L30" i="11"/>
  <c r="P48" i="32"/>
  <c r="S32" i="32"/>
  <c r="T89" i="12"/>
  <c r="X85" i="12"/>
  <c r="S24" i="33"/>
  <c r="L66" i="11"/>
  <c r="O61" i="12"/>
  <c r="P60" i="11"/>
  <c r="T60" i="11" s="1"/>
  <c r="X60" i="11" s="1"/>
  <c r="AB60" i="11" s="1"/>
  <c r="AA60" i="11" s="1"/>
  <c r="O63" i="9"/>
  <c r="O101" i="13"/>
  <c r="K101" i="13"/>
  <c r="P76" i="12"/>
  <c r="S76" i="12" s="1"/>
  <c r="P74" i="12"/>
  <c r="T74" i="12" s="1"/>
  <c r="K80" i="13"/>
  <c r="K84" i="13"/>
  <c r="L51" i="13"/>
  <c r="M51" i="13" s="1"/>
  <c r="O91" i="13"/>
  <c r="O92" i="13"/>
  <c r="O88" i="13"/>
  <c r="K90" i="13"/>
  <c r="S90" i="13"/>
  <c r="O90" i="13"/>
  <c r="K88" i="13"/>
  <c r="S88" i="13"/>
  <c r="K86" i="13"/>
  <c r="K82" i="13"/>
  <c r="O82" i="13"/>
  <c r="O80" i="13"/>
  <c r="S80" i="13"/>
  <c r="G76" i="13"/>
  <c r="P70" i="13"/>
  <c r="S70" i="13" s="1"/>
  <c r="O72" i="13"/>
  <c r="S84" i="13"/>
  <c r="O84" i="13"/>
  <c r="H94" i="13"/>
  <c r="I94" i="13" s="1"/>
  <c r="T82" i="13"/>
  <c r="S82" i="13" s="1"/>
  <c r="T74" i="13"/>
  <c r="W74" i="13" s="1"/>
  <c r="K38" i="14"/>
  <c r="P38" i="14"/>
  <c r="O33" i="14"/>
  <c r="P33" i="14"/>
  <c r="S33" i="14" s="1"/>
  <c r="G50" i="14"/>
  <c r="H46" i="14"/>
  <c r="O26" i="14"/>
  <c r="P26" i="14"/>
  <c r="G30" i="14"/>
  <c r="T28" i="14"/>
  <c r="X28" i="14" s="1"/>
  <c r="AB36" i="14"/>
  <c r="O34" i="14"/>
  <c r="O37" i="14"/>
  <c r="T37" i="14"/>
  <c r="S37" i="14" s="1"/>
  <c r="P79" i="14"/>
  <c r="O79" i="14"/>
  <c r="X74" i="14"/>
  <c r="W74" i="14"/>
  <c r="P75" i="14"/>
  <c r="O75" i="14"/>
  <c r="T65" i="14"/>
  <c r="S65" i="14"/>
  <c r="X70" i="14"/>
  <c r="W70" i="14"/>
  <c r="X22" i="14"/>
  <c r="W22" i="14"/>
  <c r="P23" i="14"/>
  <c r="O23" i="14"/>
  <c r="X76" i="14"/>
  <c r="W76" i="14"/>
  <c r="O38" i="14"/>
  <c r="T35" i="14"/>
  <c r="S35" i="14"/>
  <c r="L30" i="14"/>
  <c r="O21" i="14"/>
  <c r="O63" i="14"/>
  <c r="P63" i="14"/>
  <c r="P77" i="14"/>
  <c r="O77" i="14"/>
  <c r="P69" i="14"/>
  <c r="O69" i="14"/>
  <c r="X80" i="14"/>
  <c r="W80" i="14"/>
  <c r="P73" i="14"/>
  <c r="O73" i="14"/>
  <c r="P27" i="14"/>
  <c r="O27" i="14"/>
  <c r="W62" i="14"/>
  <c r="X62" i="14"/>
  <c r="O35" i="14"/>
  <c r="G46" i="14"/>
  <c r="L41" i="14"/>
  <c r="P11" i="14"/>
  <c r="T9" i="14"/>
  <c r="P71" i="14"/>
  <c r="O71" i="14"/>
  <c r="T89" i="14"/>
  <c r="X85" i="14"/>
  <c r="T64" i="14"/>
  <c r="S64" i="14"/>
  <c r="O61" i="14"/>
  <c r="P61" i="14"/>
  <c r="L66" i="14"/>
  <c r="O66" i="14" s="1"/>
  <c r="P59" i="14"/>
  <c r="O59" i="14"/>
  <c r="K11" i="14"/>
  <c r="P48" i="14"/>
  <c r="O48" i="14" s="1"/>
  <c r="X24" i="14"/>
  <c r="W24" i="14"/>
  <c r="P25" i="14"/>
  <c r="O25" i="14"/>
  <c r="L15" i="14"/>
  <c r="O83" i="13"/>
  <c r="L94" i="13"/>
  <c r="O79" i="13"/>
  <c r="O89" i="13"/>
  <c r="O87" i="13"/>
  <c r="T26" i="13"/>
  <c r="S26" i="13" s="1"/>
  <c r="L76" i="13"/>
  <c r="M76" i="13" s="1"/>
  <c r="O69" i="13"/>
  <c r="T28" i="13"/>
  <c r="S28" i="13" s="1"/>
  <c r="O75" i="13"/>
  <c r="P75" i="13"/>
  <c r="O85" i="13"/>
  <c r="S29" i="13"/>
  <c r="T27" i="13"/>
  <c r="S27" i="13" s="1"/>
  <c r="S72" i="13"/>
  <c r="T72" i="13"/>
  <c r="X88" i="13"/>
  <c r="W88" i="13" s="1"/>
  <c r="X80" i="13"/>
  <c r="W80" i="13" s="1"/>
  <c r="X84" i="13"/>
  <c r="W84" i="13" s="1"/>
  <c r="P73" i="13"/>
  <c r="O73" i="13"/>
  <c r="X43" i="13"/>
  <c r="W43" i="13" s="1"/>
  <c r="T101" i="13"/>
  <c r="X97" i="13"/>
  <c r="X90" i="13"/>
  <c r="W90" i="13" s="1"/>
  <c r="AB49" i="13"/>
  <c r="AA49" i="13" s="1"/>
  <c r="O58" i="13"/>
  <c r="S44" i="13"/>
  <c r="X45" i="13"/>
  <c r="W45" i="13" s="1"/>
  <c r="P71" i="13"/>
  <c r="O71" i="13"/>
  <c r="T48" i="13"/>
  <c r="S48" i="13" s="1"/>
  <c r="S43" i="13"/>
  <c r="O70" i="12"/>
  <c r="T61" i="12"/>
  <c r="X61" i="12" s="1"/>
  <c r="S61" i="12"/>
  <c r="P25" i="12"/>
  <c r="O25" i="12"/>
  <c r="G41" i="12"/>
  <c r="X28" i="12"/>
  <c r="AA28" i="12" s="1"/>
  <c r="T64" i="12"/>
  <c r="X64" i="12" s="1"/>
  <c r="T80" i="12"/>
  <c r="W80" i="12" s="1"/>
  <c r="O80" i="12"/>
  <c r="O78" i="12"/>
  <c r="O64" i="12"/>
  <c r="T38" i="12"/>
  <c r="S38" i="12" s="1"/>
  <c r="S28" i="12"/>
  <c r="S26" i="12"/>
  <c r="S23" i="12"/>
  <c r="T23" i="12"/>
  <c r="P62" i="12"/>
  <c r="O62" i="12"/>
  <c r="O69" i="12"/>
  <c r="P69" i="12"/>
  <c r="L66" i="12"/>
  <c r="O66" i="12" s="1"/>
  <c r="P59" i="12"/>
  <c r="O59" i="12"/>
  <c r="P63" i="12"/>
  <c r="O63" i="12"/>
  <c r="P48" i="12"/>
  <c r="O48" i="12" s="1"/>
  <c r="G11" i="12"/>
  <c r="T34" i="12"/>
  <c r="S34" i="12" s="1"/>
  <c r="O73" i="12"/>
  <c r="P73" i="12"/>
  <c r="P60" i="12"/>
  <c r="O60" i="12"/>
  <c r="W78" i="12"/>
  <c r="X78" i="12"/>
  <c r="O79" i="12"/>
  <c r="P79" i="12"/>
  <c r="T70" i="12"/>
  <c r="S70" i="12"/>
  <c r="O39" i="12"/>
  <c r="L41" i="12"/>
  <c r="P33" i="12"/>
  <c r="P22" i="12"/>
  <c r="O22" i="12"/>
  <c r="P65" i="12"/>
  <c r="O65" i="12"/>
  <c r="X27" i="12"/>
  <c r="W27" i="12"/>
  <c r="P37" i="12"/>
  <c r="O37" i="12" s="1"/>
  <c r="G49" i="12"/>
  <c r="G46" i="12"/>
  <c r="G50" i="12"/>
  <c r="G47" i="12"/>
  <c r="S21" i="12"/>
  <c r="T21" i="12"/>
  <c r="L30" i="12"/>
  <c r="K11" i="12"/>
  <c r="AA26" i="12"/>
  <c r="AB26" i="12"/>
  <c r="T72" i="12"/>
  <c r="S72" i="12"/>
  <c r="O75" i="12"/>
  <c r="P75" i="12"/>
  <c r="O77" i="12"/>
  <c r="P77" i="12"/>
  <c r="O71" i="12"/>
  <c r="P71" i="12"/>
  <c r="P35" i="12"/>
  <c r="O35" i="12" s="1"/>
  <c r="P24" i="12"/>
  <c r="O24" i="12"/>
  <c r="K30" i="12"/>
  <c r="L15" i="12"/>
  <c r="T36" i="12"/>
  <c r="S36" i="12" s="1"/>
  <c r="T37" i="11"/>
  <c r="W37" i="11" s="1"/>
  <c r="P33" i="11"/>
  <c r="O33" i="11" s="1"/>
  <c r="T73" i="11"/>
  <c r="S73" i="11"/>
  <c r="T34" i="11"/>
  <c r="S34" i="11" s="1"/>
  <c r="O35" i="11"/>
  <c r="P35" i="11"/>
  <c r="L11" i="11"/>
  <c r="P9" i="11"/>
  <c r="K9" i="11"/>
  <c r="P76" i="11"/>
  <c r="O76" i="11"/>
  <c r="T79" i="11"/>
  <c r="S79" i="11"/>
  <c r="P25" i="11"/>
  <c r="O25" i="11"/>
  <c r="X37" i="11"/>
  <c r="G11" i="11"/>
  <c r="S24" i="11"/>
  <c r="T24" i="11"/>
  <c r="X21" i="11"/>
  <c r="W21" i="11"/>
  <c r="S39" i="11"/>
  <c r="T39" i="11"/>
  <c r="K69" i="11"/>
  <c r="O69" i="11"/>
  <c r="T64" i="11"/>
  <c r="S64" i="11"/>
  <c r="P70" i="11"/>
  <c r="O70" i="11"/>
  <c r="K66" i="11"/>
  <c r="P36" i="11"/>
  <c r="O36" i="11"/>
  <c r="T71" i="11"/>
  <c r="S71" i="11"/>
  <c r="X61" i="11"/>
  <c r="W61" i="11" s="1"/>
  <c r="P74" i="11"/>
  <c r="O74" i="11"/>
  <c r="P78" i="11"/>
  <c r="O78" i="11"/>
  <c r="P80" i="11"/>
  <c r="O80" i="11"/>
  <c r="P72" i="11"/>
  <c r="O72" i="11" s="1"/>
  <c r="L41" i="11"/>
  <c r="G30" i="11"/>
  <c r="T23" i="11"/>
  <c r="S23" i="11"/>
  <c r="T59" i="11"/>
  <c r="S59" i="11" s="1"/>
  <c r="O71" i="11"/>
  <c r="S61" i="11"/>
  <c r="K70" i="11"/>
  <c r="T75" i="11"/>
  <c r="S75" i="11"/>
  <c r="P65" i="11"/>
  <c r="O65" i="11"/>
  <c r="X28" i="11"/>
  <c r="W28" i="11"/>
  <c r="T77" i="11"/>
  <c r="S77" i="11"/>
  <c r="P38" i="11"/>
  <c r="O38" i="11"/>
  <c r="G45" i="11"/>
  <c r="G46" i="11"/>
  <c r="P27" i="11"/>
  <c r="O27" i="11"/>
  <c r="P22" i="11"/>
  <c r="O22" i="11" s="1"/>
  <c r="O48" i="11"/>
  <c r="X26" i="11"/>
  <c r="W26" i="11"/>
  <c r="S21" i="11"/>
  <c r="S25" i="10"/>
  <c r="T25" i="10"/>
  <c r="S28" i="10"/>
  <c r="T28" i="10"/>
  <c r="W22" i="10"/>
  <c r="S22" i="10"/>
  <c r="O22" i="10"/>
  <c r="T76" i="10"/>
  <c r="S76" i="10"/>
  <c r="T74" i="10"/>
  <c r="S74" i="10"/>
  <c r="T80" i="10"/>
  <c r="S80" i="10"/>
  <c r="P65" i="10"/>
  <c r="O65" i="10"/>
  <c r="O70" i="10"/>
  <c r="P66" i="10"/>
  <c r="O66" i="10"/>
  <c r="O48" i="10"/>
  <c r="P24" i="10"/>
  <c r="O24" i="10"/>
  <c r="T81" i="10"/>
  <c r="S81" i="10"/>
  <c r="T73" i="10"/>
  <c r="S73" i="10" s="1"/>
  <c r="T79" i="10"/>
  <c r="S79" i="10"/>
  <c r="T71" i="10"/>
  <c r="S71" i="10" s="1"/>
  <c r="T77" i="10"/>
  <c r="S77" i="10"/>
  <c r="L67" i="10"/>
  <c r="M67" i="10" s="1"/>
  <c r="O59" i="10"/>
  <c r="S34" i="10"/>
  <c r="T34" i="10"/>
  <c r="X36" i="10"/>
  <c r="W36" i="10"/>
  <c r="X38" i="10"/>
  <c r="W38" i="10"/>
  <c r="T13" i="10"/>
  <c r="T15" i="10" s="1"/>
  <c r="W15" i="10" s="1"/>
  <c r="W11" i="10"/>
  <c r="X23" i="10"/>
  <c r="W23" i="10"/>
  <c r="H13" i="10"/>
  <c r="K11" i="10"/>
  <c r="T72" i="10"/>
  <c r="S72" i="10" s="1"/>
  <c r="S78" i="10"/>
  <c r="P37" i="10"/>
  <c r="O37" i="10"/>
  <c r="G44" i="10"/>
  <c r="K30" i="10"/>
  <c r="P26" i="10"/>
  <c r="O26" i="10"/>
  <c r="P33" i="10"/>
  <c r="L41" i="10"/>
  <c r="O33" i="10"/>
  <c r="X21" i="10"/>
  <c r="W21" i="10" s="1"/>
  <c r="AB22" i="10"/>
  <c r="AA22" i="10" s="1"/>
  <c r="P39" i="10"/>
  <c r="O39" i="10"/>
  <c r="P35" i="10"/>
  <c r="O35" i="10"/>
  <c r="G49" i="10"/>
  <c r="K46" i="10"/>
  <c r="G50" i="10"/>
  <c r="G47" i="10"/>
  <c r="K41" i="10"/>
  <c r="K45" i="10"/>
  <c r="X27" i="10"/>
  <c r="W27" i="10"/>
  <c r="L13" i="10"/>
  <c r="X13" i="10"/>
  <c r="X15" i="10" s="1"/>
  <c r="AA15" i="10" s="1"/>
  <c r="AA11" i="10"/>
  <c r="D13" i="10"/>
  <c r="D15" i="10" s="1"/>
  <c r="G11" i="10"/>
  <c r="P61" i="9"/>
  <c r="T61" i="9" s="1"/>
  <c r="P48" i="9"/>
  <c r="S48" i="9" s="1"/>
  <c r="S35" i="9"/>
  <c r="T35" i="9"/>
  <c r="P38" i="9"/>
  <c r="T38" i="9" s="1"/>
  <c r="L41" i="9"/>
  <c r="L50" i="9" s="1"/>
  <c r="O50" i="9" s="1"/>
  <c r="P37" i="9"/>
  <c r="O37" i="9"/>
  <c r="O33" i="9"/>
  <c r="P80" i="9"/>
  <c r="O80" i="9"/>
  <c r="P70" i="9"/>
  <c r="O70" i="9"/>
  <c r="O71" i="9"/>
  <c r="P71" i="9"/>
  <c r="H44" i="9"/>
  <c r="K30" i="9"/>
  <c r="T1" i="9"/>
  <c r="W26" i="9"/>
  <c r="X26" i="9"/>
  <c r="O69" i="9"/>
  <c r="P69" i="9"/>
  <c r="O62" i="9"/>
  <c r="P64" i="9"/>
  <c r="O64" i="9"/>
  <c r="P76" i="9"/>
  <c r="O76" i="9"/>
  <c r="S65" i="9"/>
  <c r="T65" i="9"/>
  <c r="P74" i="9"/>
  <c r="O74" i="9"/>
  <c r="O75" i="9"/>
  <c r="P75" i="9"/>
  <c r="O52" i="9"/>
  <c r="P52" i="9"/>
  <c r="T36" i="9"/>
  <c r="S36" i="9"/>
  <c r="W39" i="9"/>
  <c r="X39" i="9"/>
  <c r="H50" i="9"/>
  <c r="K50" i="9" s="1"/>
  <c r="H46" i="9"/>
  <c r="K46" i="9" s="1"/>
  <c r="H49" i="9"/>
  <c r="K49" i="9" s="1"/>
  <c r="H47" i="9"/>
  <c r="K47" i="9" s="1"/>
  <c r="H45" i="9"/>
  <c r="K45" i="9" s="1"/>
  <c r="K41" i="9"/>
  <c r="W33" i="9"/>
  <c r="O73" i="9"/>
  <c r="P73" i="9"/>
  <c r="L66" i="9"/>
  <c r="M66" i="9" s="1"/>
  <c r="O59" i="9"/>
  <c r="P59" i="9"/>
  <c r="S51" i="9"/>
  <c r="T51" i="9"/>
  <c r="L44" i="9"/>
  <c r="O30" i="9"/>
  <c r="T23" i="9"/>
  <c r="S23" i="9"/>
  <c r="T28" i="9"/>
  <c r="S28" i="9"/>
  <c r="P72" i="9"/>
  <c r="O72" i="9"/>
  <c r="O78" i="9"/>
  <c r="L49" i="9"/>
  <c r="O49" i="9" s="1"/>
  <c r="O34" i="9"/>
  <c r="P34" i="9"/>
  <c r="T25" i="9"/>
  <c r="L11" i="9"/>
  <c r="T27" i="9"/>
  <c r="S27" i="9"/>
  <c r="AB22" i="9"/>
  <c r="AA22" i="9"/>
  <c r="S63" i="9"/>
  <c r="T63" i="9"/>
  <c r="O79" i="9"/>
  <c r="P79" i="9"/>
  <c r="W24" i="9"/>
  <c r="X24" i="9"/>
  <c r="O77" i="9"/>
  <c r="P77" i="9"/>
  <c r="T60" i="9"/>
  <c r="S60" i="9"/>
  <c r="L65" i="3"/>
  <c r="Q50" i="5"/>
  <c r="Q47" i="5"/>
  <c r="O47" i="5"/>
  <c r="O46" i="5"/>
  <c r="C50" i="5"/>
  <c r="C49" i="5"/>
  <c r="C48" i="5"/>
  <c r="G50" i="5"/>
  <c r="G47" i="5"/>
  <c r="V48" i="28" l="1"/>
  <c r="X48" i="28"/>
  <c r="V5" i="28"/>
  <c r="M5" i="28"/>
  <c r="N5" i="28" s="1"/>
  <c r="H48" i="28"/>
  <c r="Q48" i="28" s="1"/>
  <c r="R48" i="28" s="1"/>
  <c r="O48" i="27"/>
  <c r="P48" i="27" s="1"/>
  <c r="S74" i="12"/>
  <c r="L15" i="10"/>
  <c r="S75" i="10"/>
  <c r="M94" i="13"/>
  <c r="L47" i="12"/>
  <c r="L50" i="12"/>
  <c r="L46" i="12"/>
  <c r="L49" i="12"/>
  <c r="L45" i="12"/>
  <c r="K45" i="12" s="1"/>
  <c r="P13" i="14"/>
  <c r="Q11" i="14"/>
  <c r="O33" i="12"/>
  <c r="P41" i="12"/>
  <c r="P45" i="12" s="1"/>
  <c r="X38" i="12"/>
  <c r="W38" i="12" s="1"/>
  <c r="S38" i="9"/>
  <c r="M15" i="12"/>
  <c r="L44" i="14"/>
  <c r="P44" i="14" s="1"/>
  <c r="O44" i="14" s="1"/>
  <c r="M30" i="14"/>
  <c r="L13" i="11"/>
  <c r="M11" i="11"/>
  <c r="O86" i="13"/>
  <c r="M30" i="11"/>
  <c r="S46" i="13"/>
  <c r="AB46" i="13"/>
  <c r="AA46" i="13" s="1"/>
  <c r="K41" i="11"/>
  <c r="M41" i="11"/>
  <c r="M41" i="12"/>
  <c r="L13" i="9"/>
  <c r="L96" i="9" s="1"/>
  <c r="T60" i="14"/>
  <c r="W60" i="14" s="1"/>
  <c r="T62" i="11"/>
  <c r="X62" i="11" s="1"/>
  <c r="W62" i="11" s="1"/>
  <c r="T76" i="12"/>
  <c r="X76" i="12" s="1"/>
  <c r="S61" i="9"/>
  <c r="X86" i="13"/>
  <c r="W86" i="13" s="1"/>
  <c r="S86" i="13"/>
  <c r="S39" i="33"/>
  <c r="O39" i="33"/>
  <c r="O9" i="9"/>
  <c r="H12" i="36"/>
  <c r="G9" i="9"/>
  <c r="F12" i="36"/>
  <c r="K30" i="11"/>
  <c r="K55" i="13"/>
  <c r="H15" i="12"/>
  <c r="O81" i="13"/>
  <c r="W78" i="14"/>
  <c r="O46" i="13"/>
  <c r="K51" i="13"/>
  <c r="T24" i="13"/>
  <c r="S24" i="13" s="1"/>
  <c r="L40" i="13"/>
  <c r="S25" i="13"/>
  <c r="W25" i="13"/>
  <c r="T33" i="11"/>
  <c r="S33" i="11" s="1"/>
  <c r="H16" i="36"/>
  <c r="S9" i="10"/>
  <c r="O9" i="10"/>
  <c r="P11" i="10"/>
  <c r="Q11" i="10" s="1"/>
  <c r="S21" i="9"/>
  <c r="T21" i="9"/>
  <c r="W72" i="14"/>
  <c r="W63" i="11"/>
  <c r="S63" i="11"/>
  <c r="S60" i="11"/>
  <c r="P66" i="11"/>
  <c r="W60" i="11"/>
  <c r="T9" i="12"/>
  <c r="S9" i="12" s="1"/>
  <c r="H7" i="36"/>
  <c r="P11" i="12"/>
  <c r="O9" i="11"/>
  <c r="T9" i="11"/>
  <c r="T33" i="14"/>
  <c r="X33" i="14" s="1"/>
  <c r="W33" i="14" s="1"/>
  <c r="O40" i="33"/>
  <c r="S40" i="33"/>
  <c r="O51" i="32"/>
  <c r="S51" i="32"/>
  <c r="O41" i="9"/>
  <c r="AB28" i="12"/>
  <c r="X89" i="12"/>
  <c r="AB85" i="12"/>
  <c r="AB89" i="12" s="1"/>
  <c r="P57" i="32"/>
  <c r="Q57" i="32" s="1"/>
  <c r="S48" i="32"/>
  <c r="L45" i="9"/>
  <c r="O45" i="9" s="1"/>
  <c r="L46" i="9"/>
  <c r="O46" i="9" s="1"/>
  <c r="T48" i="9"/>
  <c r="X48" i="9" s="1"/>
  <c r="O11" i="14"/>
  <c r="P15" i="14"/>
  <c r="Q15" i="14" s="1"/>
  <c r="O37" i="33"/>
  <c r="S37" i="33"/>
  <c r="O54" i="32"/>
  <c r="S54" i="32"/>
  <c r="L47" i="9"/>
  <c r="O47" i="9" s="1"/>
  <c r="O34" i="33"/>
  <c r="P43" i="33"/>
  <c r="Q43" i="33" s="1"/>
  <c r="S34" i="33"/>
  <c r="O53" i="32"/>
  <c r="S53" i="32"/>
  <c r="K48" i="27"/>
  <c r="J48" i="28"/>
  <c r="W64" i="12"/>
  <c r="W61" i="12"/>
  <c r="G94" i="13"/>
  <c r="X74" i="13"/>
  <c r="AB74" i="13" s="1"/>
  <c r="T91" i="13"/>
  <c r="S91" i="13" s="1"/>
  <c r="T92" i="13"/>
  <c r="S92" i="13" s="1"/>
  <c r="K94" i="13"/>
  <c r="K76" i="13"/>
  <c r="T70" i="13"/>
  <c r="X70" i="13" s="1"/>
  <c r="X82" i="13"/>
  <c r="AB82" i="13" s="1"/>
  <c r="L47" i="14"/>
  <c r="K47" i="14" s="1"/>
  <c r="L50" i="14"/>
  <c r="L46" i="14"/>
  <c r="L49" i="14"/>
  <c r="L45" i="14"/>
  <c r="P41" i="14"/>
  <c r="P45" i="14" s="1"/>
  <c r="T26" i="14"/>
  <c r="S26" i="14"/>
  <c r="K30" i="14"/>
  <c r="W28" i="14"/>
  <c r="H53" i="14"/>
  <c r="W37" i="14"/>
  <c r="S34" i="14"/>
  <c r="T34" i="14"/>
  <c r="X34" i="14" s="1"/>
  <c r="X37" i="14"/>
  <c r="AA37" i="14" s="1"/>
  <c r="AB24" i="14"/>
  <c r="AA24" i="14"/>
  <c r="T25" i="14"/>
  <c r="S25" i="14"/>
  <c r="P66" i="14"/>
  <c r="S66" i="14" s="1"/>
  <c r="T59" i="14"/>
  <c r="S59" i="14"/>
  <c r="W64" i="14"/>
  <c r="X64" i="14"/>
  <c r="T71" i="14"/>
  <c r="S71" i="14"/>
  <c r="O41" i="14"/>
  <c r="K41" i="14"/>
  <c r="T77" i="14"/>
  <c r="S77" i="14"/>
  <c r="X35" i="14"/>
  <c r="W35" i="14" s="1"/>
  <c r="T23" i="14"/>
  <c r="S23" i="14"/>
  <c r="X60" i="14"/>
  <c r="H102" i="14"/>
  <c r="K13" i="14"/>
  <c r="G13" i="14"/>
  <c r="T61" i="14"/>
  <c r="S61" i="14"/>
  <c r="X89" i="14"/>
  <c r="AB85" i="14"/>
  <c r="AB89" i="14" s="1"/>
  <c r="X9" i="14"/>
  <c r="W9" i="14" s="1"/>
  <c r="T11" i="14"/>
  <c r="S11" i="14" s="1"/>
  <c r="T27" i="14"/>
  <c r="S27" i="14"/>
  <c r="AB72" i="14"/>
  <c r="AA72" i="14"/>
  <c r="T69" i="14"/>
  <c r="S69" i="14"/>
  <c r="T63" i="14"/>
  <c r="S63" i="14"/>
  <c r="P30" i="14"/>
  <c r="Q30" i="14" s="1"/>
  <c r="S21" i="14"/>
  <c r="G47" i="14"/>
  <c r="AB78" i="14"/>
  <c r="AA78" i="14"/>
  <c r="T75" i="14"/>
  <c r="S75" i="14"/>
  <c r="AB74" i="14"/>
  <c r="AA74" i="14"/>
  <c r="T48" i="14"/>
  <c r="S48" i="14" s="1"/>
  <c r="AB37" i="14"/>
  <c r="S9" i="14"/>
  <c r="AB62" i="14"/>
  <c r="AA62" i="14"/>
  <c r="AB28" i="14"/>
  <c r="AA28" i="14"/>
  <c r="T38" i="14"/>
  <c r="S38" i="14" s="1"/>
  <c r="AB76" i="14"/>
  <c r="AA76" i="14"/>
  <c r="L102" i="14"/>
  <c r="O13" i="14"/>
  <c r="H15" i="14"/>
  <c r="I15" i="14" s="1"/>
  <c r="T73" i="14"/>
  <c r="S73" i="14"/>
  <c r="AB80" i="14"/>
  <c r="AA80" i="14"/>
  <c r="AB22" i="14"/>
  <c r="AA22" i="14"/>
  <c r="AB70" i="14"/>
  <c r="AA70" i="14"/>
  <c r="X65" i="14"/>
  <c r="W65" i="14"/>
  <c r="T79" i="14"/>
  <c r="S79" i="14"/>
  <c r="AB90" i="13"/>
  <c r="AA90" i="13" s="1"/>
  <c r="T71" i="13"/>
  <c r="S71" i="13"/>
  <c r="AB88" i="13"/>
  <c r="AA88" i="13" s="1"/>
  <c r="X27" i="13"/>
  <c r="W27" i="13" s="1"/>
  <c r="X29" i="13"/>
  <c r="W29" i="13" s="1"/>
  <c r="T85" i="13"/>
  <c r="S85" i="13" s="1"/>
  <c r="X26" i="13"/>
  <c r="W26" i="13" s="1"/>
  <c r="T81" i="13"/>
  <c r="S81" i="13" s="1"/>
  <c r="AB25" i="13"/>
  <c r="X48" i="13"/>
  <c r="W48" i="13" s="1"/>
  <c r="AB45" i="13"/>
  <c r="AA45" i="13" s="1"/>
  <c r="X44" i="13"/>
  <c r="W44" i="13" s="1"/>
  <c r="X101" i="13"/>
  <c r="AB97" i="13"/>
  <c r="AB101" i="13" s="1"/>
  <c r="X72" i="13"/>
  <c r="W72" i="13"/>
  <c r="P76" i="13"/>
  <c r="Q76" i="13" s="1"/>
  <c r="T69" i="13"/>
  <c r="S69" i="13" s="1"/>
  <c r="T75" i="13"/>
  <c r="S75" i="13"/>
  <c r="T73" i="13"/>
  <c r="S73" i="13"/>
  <c r="T58" i="13"/>
  <c r="S58" i="13" s="1"/>
  <c r="AB84" i="13"/>
  <c r="AA84" i="13" s="1"/>
  <c r="AB80" i="13"/>
  <c r="AA80" i="13" s="1"/>
  <c r="T47" i="13"/>
  <c r="S47" i="13" s="1"/>
  <c r="X28" i="13"/>
  <c r="W28" i="13" s="1"/>
  <c r="T87" i="13"/>
  <c r="S87" i="13" s="1"/>
  <c r="T89" i="13"/>
  <c r="S89" i="13" s="1"/>
  <c r="P51" i="13"/>
  <c r="AB43" i="13"/>
  <c r="T83" i="13"/>
  <c r="S83" i="13" s="1"/>
  <c r="P94" i="13"/>
  <c r="Q94" i="13" s="1"/>
  <c r="T79" i="13"/>
  <c r="S79" i="13" s="1"/>
  <c r="K15" i="12"/>
  <c r="X80" i="12"/>
  <c r="AB80" i="12" s="1"/>
  <c r="S25" i="12"/>
  <c r="T25" i="12"/>
  <c r="K41" i="12"/>
  <c r="X23" i="12"/>
  <c r="W23" i="12"/>
  <c r="P30" i="12"/>
  <c r="X36" i="12"/>
  <c r="W36" i="12" s="1"/>
  <c r="T77" i="12"/>
  <c r="S77" i="12"/>
  <c r="S24" i="12"/>
  <c r="T24" i="12"/>
  <c r="W72" i="12"/>
  <c r="X72" i="12"/>
  <c r="K13" i="12"/>
  <c r="AA27" i="12"/>
  <c r="AB27" i="12"/>
  <c r="AB38" i="12"/>
  <c r="AA38" i="12" s="1"/>
  <c r="T39" i="12"/>
  <c r="S39" i="12" s="1"/>
  <c r="W74" i="12"/>
  <c r="X74" i="12"/>
  <c r="T60" i="12"/>
  <c r="S60" i="12"/>
  <c r="X34" i="12"/>
  <c r="W34" i="12" s="1"/>
  <c r="K44" i="12"/>
  <c r="H53" i="12"/>
  <c r="I53" i="12" s="1"/>
  <c r="T71" i="12"/>
  <c r="S71" i="12"/>
  <c r="T75" i="12"/>
  <c r="S75" i="12"/>
  <c r="X21" i="12"/>
  <c r="W21" i="12"/>
  <c r="T33" i="12"/>
  <c r="S33" i="12" s="1"/>
  <c r="T79" i="12"/>
  <c r="S79" i="12"/>
  <c r="AB78" i="12"/>
  <c r="AA78" i="12"/>
  <c r="T73" i="12"/>
  <c r="S73" i="12"/>
  <c r="D103" i="12"/>
  <c r="G13" i="12"/>
  <c r="T69" i="12"/>
  <c r="S69" i="12"/>
  <c r="T35" i="12"/>
  <c r="S35" i="12" s="1"/>
  <c r="T37" i="12"/>
  <c r="S37" i="12" s="1"/>
  <c r="S65" i="12"/>
  <c r="T65" i="12"/>
  <c r="AB61" i="12"/>
  <c r="AA61" i="12"/>
  <c r="W70" i="12"/>
  <c r="X70" i="12"/>
  <c r="T48" i="12"/>
  <c r="S48" i="12" s="1"/>
  <c r="S63" i="12"/>
  <c r="T63" i="12"/>
  <c r="O30" i="12"/>
  <c r="T22" i="12"/>
  <c r="S22" i="12"/>
  <c r="D15" i="12"/>
  <c r="I15" i="12" s="1"/>
  <c r="P66" i="12"/>
  <c r="S66" i="12" s="1"/>
  <c r="T59" i="12"/>
  <c r="S59" i="12"/>
  <c r="AA64" i="12"/>
  <c r="AB64" i="12"/>
  <c r="T62" i="12"/>
  <c r="S62" i="12"/>
  <c r="H15" i="11"/>
  <c r="G13" i="11"/>
  <c r="O66" i="11"/>
  <c r="S38" i="11"/>
  <c r="T38" i="11"/>
  <c r="AA28" i="11"/>
  <c r="AB28" i="11"/>
  <c r="K50" i="11"/>
  <c r="K47" i="11"/>
  <c r="K49" i="11"/>
  <c r="K46" i="11"/>
  <c r="X64" i="11"/>
  <c r="W64" i="11"/>
  <c r="G50" i="11"/>
  <c r="T74" i="11"/>
  <c r="S74" i="11"/>
  <c r="X71" i="11"/>
  <c r="W71" i="11"/>
  <c r="X39" i="11"/>
  <c r="W39" i="11"/>
  <c r="AB21" i="11"/>
  <c r="AA21" i="11" s="1"/>
  <c r="P41" i="11"/>
  <c r="AB37" i="11"/>
  <c r="AA37" i="11"/>
  <c r="L15" i="11"/>
  <c r="AB26" i="11"/>
  <c r="AA26" i="11"/>
  <c r="G49" i="11"/>
  <c r="X77" i="11"/>
  <c r="W77" i="11"/>
  <c r="X75" i="11"/>
  <c r="W75" i="11"/>
  <c r="T70" i="11"/>
  <c r="S70" i="11"/>
  <c r="T69" i="11"/>
  <c r="S69" i="11" s="1"/>
  <c r="X24" i="11"/>
  <c r="W24" i="11"/>
  <c r="X79" i="11"/>
  <c r="W79" i="11"/>
  <c r="T76" i="11"/>
  <c r="S76" i="11"/>
  <c r="AB63" i="11"/>
  <c r="AA63" i="11" s="1"/>
  <c r="X34" i="11"/>
  <c r="W34" i="11" s="1"/>
  <c r="G47" i="11"/>
  <c r="S65" i="11"/>
  <c r="T65" i="11"/>
  <c r="W23" i="11"/>
  <c r="X23" i="11"/>
  <c r="T22" i="11"/>
  <c r="P30" i="11"/>
  <c r="Q30" i="11" s="1"/>
  <c r="T80" i="11"/>
  <c r="S80" i="11"/>
  <c r="T48" i="11"/>
  <c r="S48" i="11" s="1"/>
  <c r="H53" i="11"/>
  <c r="I53" i="11" s="1"/>
  <c r="G44" i="11"/>
  <c r="K44" i="11"/>
  <c r="T72" i="11"/>
  <c r="S72" i="11"/>
  <c r="T78" i="11"/>
  <c r="S78" i="11"/>
  <c r="AB61" i="11"/>
  <c r="AA61" i="11" s="1"/>
  <c r="T36" i="11"/>
  <c r="S36" i="11"/>
  <c r="K11" i="11"/>
  <c r="S25" i="11"/>
  <c r="T25" i="11"/>
  <c r="T35" i="11"/>
  <c r="S35" i="11"/>
  <c r="X73" i="11"/>
  <c r="W73" i="11"/>
  <c r="T27" i="11"/>
  <c r="S27" i="11"/>
  <c r="X59" i="11"/>
  <c r="W59" i="11"/>
  <c r="H96" i="11"/>
  <c r="AB62" i="11"/>
  <c r="AA62" i="11" s="1"/>
  <c r="S9" i="11"/>
  <c r="P11" i="11"/>
  <c r="X28" i="10"/>
  <c r="W28" i="10"/>
  <c r="X25" i="10"/>
  <c r="W25" i="10"/>
  <c r="T60" i="10"/>
  <c r="S60" i="10" s="1"/>
  <c r="K67" i="10"/>
  <c r="O45" i="10"/>
  <c r="O41" i="10"/>
  <c r="K49" i="10"/>
  <c r="O46" i="10"/>
  <c r="K50" i="10"/>
  <c r="X72" i="10"/>
  <c r="W72" i="10" s="1"/>
  <c r="AB36" i="10"/>
  <c r="AA36" i="10"/>
  <c r="T48" i="10"/>
  <c r="S48" i="10" s="1"/>
  <c r="T39" i="10"/>
  <c r="S39" i="10"/>
  <c r="T64" i="10"/>
  <c r="S64" i="10" s="1"/>
  <c r="T37" i="10"/>
  <c r="S37" i="10"/>
  <c r="W77" i="10"/>
  <c r="X77" i="10"/>
  <c r="H99" i="10"/>
  <c r="K13" i="10"/>
  <c r="AB23" i="10"/>
  <c r="AA23" i="10"/>
  <c r="P67" i="10"/>
  <c r="T59" i="10"/>
  <c r="S59" i="10" s="1"/>
  <c r="X99" i="10"/>
  <c r="AA13" i="10"/>
  <c r="L99" i="10"/>
  <c r="O13" i="10"/>
  <c r="AB27" i="10"/>
  <c r="AA27" i="10"/>
  <c r="T35" i="10"/>
  <c r="S35" i="10"/>
  <c r="AB21" i="10"/>
  <c r="AA21" i="10" s="1"/>
  <c r="P41" i="10"/>
  <c r="S33" i="10"/>
  <c r="T33" i="10"/>
  <c r="H53" i="10"/>
  <c r="K44" i="10"/>
  <c r="H15" i="10"/>
  <c r="K15" i="10" s="1"/>
  <c r="X34" i="10"/>
  <c r="W34" i="10"/>
  <c r="W79" i="10"/>
  <c r="X79" i="10"/>
  <c r="X73" i="10"/>
  <c r="W73" i="10" s="1"/>
  <c r="W75" i="10"/>
  <c r="X75" i="10"/>
  <c r="X80" i="10"/>
  <c r="W80" i="10"/>
  <c r="X76" i="10"/>
  <c r="W76" i="10"/>
  <c r="D99" i="10"/>
  <c r="G13" i="10"/>
  <c r="AB13" i="10" s="1"/>
  <c r="X78" i="10"/>
  <c r="W78" i="10"/>
  <c r="T62" i="10"/>
  <c r="S62" i="10" s="1"/>
  <c r="T99" i="10"/>
  <c r="W13" i="10"/>
  <c r="AB38" i="10"/>
  <c r="AA38" i="10"/>
  <c r="T24" i="10"/>
  <c r="S24" i="10"/>
  <c r="P30" i="10"/>
  <c r="S66" i="10"/>
  <c r="T66" i="10"/>
  <c r="T26" i="10"/>
  <c r="S26" i="10"/>
  <c r="X71" i="10"/>
  <c r="W71" i="10" s="1"/>
  <c r="T61" i="10"/>
  <c r="S61" i="10" s="1"/>
  <c r="W81" i="10"/>
  <c r="X81" i="10"/>
  <c r="T70" i="10"/>
  <c r="S70" i="10" s="1"/>
  <c r="T65" i="10"/>
  <c r="S65" i="10"/>
  <c r="X74" i="10"/>
  <c r="W74" i="10"/>
  <c r="K66" i="9"/>
  <c r="W35" i="9"/>
  <c r="X35" i="9"/>
  <c r="S37" i="9"/>
  <c r="T37" i="9"/>
  <c r="W23" i="9"/>
  <c r="X23" i="9"/>
  <c r="T73" i="9"/>
  <c r="S73" i="9"/>
  <c r="T69" i="9"/>
  <c r="S69" i="9"/>
  <c r="T70" i="9"/>
  <c r="S70" i="9"/>
  <c r="T79" i="9"/>
  <c r="S79" i="9"/>
  <c r="W48" i="9"/>
  <c r="P66" i="9"/>
  <c r="T59" i="9"/>
  <c r="S59" i="9"/>
  <c r="X36" i="9"/>
  <c r="W36" i="9"/>
  <c r="AB26" i="9"/>
  <c r="AA26" i="9"/>
  <c r="W60" i="9"/>
  <c r="X60" i="9"/>
  <c r="T34" i="9"/>
  <c r="S34" i="9"/>
  <c r="P41" i="9"/>
  <c r="X61" i="9"/>
  <c r="W61" i="9"/>
  <c r="P44" i="9"/>
  <c r="S30" i="9"/>
  <c r="AB39" i="9"/>
  <c r="AA39" i="9"/>
  <c r="H53" i="9"/>
  <c r="K44" i="9"/>
  <c r="T77" i="9"/>
  <c r="S77" i="9"/>
  <c r="X63" i="9"/>
  <c r="W63" i="9"/>
  <c r="D15" i="9"/>
  <c r="H11" i="9"/>
  <c r="I11" i="9" s="1"/>
  <c r="K9" i="9"/>
  <c r="T78" i="9"/>
  <c r="S78" i="9" s="1"/>
  <c r="W51" i="9"/>
  <c r="X51" i="9"/>
  <c r="AB33" i="9"/>
  <c r="AA33" i="9"/>
  <c r="T30" i="9"/>
  <c r="T74" i="9"/>
  <c r="S74" i="9"/>
  <c r="T76" i="9"/>
  <c r="S76" i="9"/>
  <c r="T62" i="9"/>
  <c r="S62" i="9" s="1"/>
  <c r="T3" i="9"/>
  <c r="T9" i="9" s="1"/>
  <c r="S9" i="9" s="1"/>
  <c r="X1" i="9"/>
  <c r="X27" i="9"/>
  <c r="W27" i="9"/>
  <c r="X65" i="9"/>
  <c r="W65" i="9"/>
  <c r="P11" i="9"/>
  <c r="P13" i="9" s="1"/>
  <c r="AB24" i="9"/>
  <c r="AA24" i="9"/>
  <c r="T64" i="9"/>
  <c r="S64" i="9"/>
  <c r="T71" i="9"/>
  <c r="S71" i="9"/>
  <c r="W28" i="9"/>
  <c r="X28" i="9"/>
  <c r="T75" i="9"/>
  <c r="S75" i="9"/>
  <c r="X38" i="9"/>
  <c r="W38" i="9"/>
  <c r="X25" i="9"/>
  <c r="W25" i="9"/>
  <c r="T72" i="9"/>
  <c r="S72" i="9"/>
  <c r="O44" i="9"/>
  <c r="S52" i="9"/>
  <c r="T52" i="9"/>
  <c r="T80" i="9"/>
  <c r="S80" i="9"/>
  <c r="K44" i="14" l="1"/>
  <c r="W48" i="28"/>
  <c r="O48" i="28"/>
  <c r="P48" i="28" s="1"/>
  <c r="O11" i="9"/>
  <c r="Q11" i="12"/>
  <c r="P13" i="12"/>
  <c r="P13" i="11"/>
  <c r="Q11" i="11"/>
  <c r="I15" i="10"/>
  <c r="M15" i="10"/>
  <c r="G15" i="11"/>
  <c r="I15" i="11"/>
  <c r="M15" i="11"/>
  <c r="M11" i="9"/>
  <c r="M15" i="14"/>
  <c r="O55" i="13"/>
  <c r="Q51" i="13"/>
  <c r="K54" i="13"/>
  <c r="M40" i="13"/>
  <c r="O41" i="11"/>
  <c r="Q41" i="11"/>
  <c r="G53" i="10"/>
  <c r="I53" i="10"/>
  <c r="O30" i="10"/>
  <c r="Q30" i="10"/>
  <c r="Q41" i="12"/>
  <c r="O45" i="12"/>
  <c r="Q11" i="9"/>
  <c r="W76" i="12"/>
  <c r="AB86" i="13"/>
  <c r="AA86" i="13" s="1"/>
  <c r="O67" i="10"/>
  <c r="Q67" i="10"/>
  <c r="O66" i="9"/>
  <c r="Q66" i="9"/>
  <c r="G53" i="14"/>
  <c r="I53" i="14"/>
  <c r="K57" i="13"/>
  <c r="L53" i="9"/>
  <c r="G11" i="9"/>
  <c r="H13" i="9"/>
  <c r="X33" i="11"/>
  <c r="W33" i="11" s="1"/>
  <c r="G15" i="12"/>
  <c r="K56" i="13"/>
  <c r="O51" i="13"/>
  <c r="K40" i="13"/>
  <c r="T40" i="13"/>
  <c r="P40" i="13"/>
  <c r="Q40" i="13" s="1"/>
  <c r="AA25" i="13"/>
  <c r="S11" i="10"/>
  <c r="P13" i="10"/>
  <c r="O11" i="10"/>
  <c r="W21" i="9"/>
  <c r="X21" i="9"/>
  <c r="K59" i="13"/>
  <c r="AA74" i="13"/>
  <c r="X9" i="12"/>
  <c r="W9" i="12" s="1"/>
  <c r="T11" i="12"/>
  <c r="O11" i="12"/>
  <c r="O57" i="32"/>
  <c r="P59" i="32"/>
  <c r="S57" i="32"/>
  <c r="L48" i="27"/>
  <c r="L48" i="28" s="1"/>
  <c r="K48" i="28"/>
  <c r="O43" i="33"/>
  <c r="P45" i="33"/>
  <c r="P95" i="33"/>
  <c r="S43" i="33"/>
  <c r="X9" i="11"/>
  <c r="W9" i="11"/>
  <c r="T11" i="11"/>
  <c r="S11" i="11" s="1"/>
  <c r="O94" i="13"/>
  <c r="G53" i="12"/>
  <c r="X92" i="13"/>
  <c r="W92" i="13" s="1"/>
  <c r="X91" i="13"/>
  <c r="W91" i="13" s="1"/>
  <c r="W82" i="13"/>
  <c r="O76" i="13"/>
  <c r="AA82" i="13"/>
  <c r="W70" i="13"/>
  <c r="H63" i="13"/>
  <c r="I63" i="13" s="1"/>
  <c r="P46" i="14"/>
  <c r="H55" i="14"/>
  <c r="X26" i="14"/>
  <c r="W26" i="14"/>
  <c r="O30" i="14"/>
  <c r="W34" i="14"/>
  <c r="AB34" i="14"/>
  <c r="AA34" i="14"/>
  <c r="O15" i="14"/>
  <c r="X79" i="14"/>
  <c r="W79" i="14"/>
  <c r="K15" i="14"/>
  <c r="G15" i="14"/>
  <c r="X75" i="14"/>
  <c r="W75" i="14"/>
  <c r="X69" i="14"/>
  <c r="W69" i="14"/>
  <c r="T30" i="14"/>
  <c r="S30" i="14" s="1"/>
  <c r="X21" i="14"/>
  <c r="W21" i="14" s="1"/>
  <c r="W63" i="14"/>
  <c r="X63" i="14"/>
  <c r="AB60" i="14"/>
  <c r="AA60" i="14"/>
  <c r="X77" i="14"/>
  <c r="W77" i="14"/>
  <c r="K50" i="14"/>
  <c r="T66" i="14"/>
  <c r="W66" i="14" s="1"/>
  <c r="X59" i="14"/>
  <c r="W59" i="14"/>
  <c r="P47" i="14"/>
  <c r="P102" i="14"/>
  <c r="X38" i="14"/>
  <c r="W38" i="14" s="1"/>
  <c r="W48" i="14"/>
  <c r="X48" i="14"/>
  <c r="X27" i="14"/>
  <c r="W27" i="14"/>
  <c r="T13" i="14"/>
  <c r="T15" i="14" s="1"/>
  <c r="O46" i="14"/>
  <c r="K46" i="14"/>
  <c r="X71" i="14"/>
  <c r="W71" i="14"/>
  <c r="AB33" i="14"/>
  <c r="AA33" i="14"/>
  <c r="P50" i="14"/>
  <c r="O50" i="14" s="1"/>
  <c r="AB65" i="14"/>
  <c r="AA65" i="14"/>
  <c r="X73" i="14"/>
  <c r="W73" i="14"/>
  <c r="X11" i="14"/>
  <c r="W11" i="14" s="1"/>
  <c r="AB9" i="14"/>
  <c r="AB11" i="14" s="1"/>
  <c r="X61" i="14"/>
  <c r="W61" i="14"/>
  <c r="W23" i="14"/>
  <c r="X23" i="14"/>
  <c r="AB35" i="14"/>
  <c r="AA35" i="14" s="1"/>
  <c r="K49" i="14"/>
  <c r="AB64" i="14"/>
  <c r="AA64" i="14"/>
  <c r="T41" i="14"/>
  <c r="K45" i="14"/>
  <c r="O45" i="14"/>
  <c r="L53" i="14"/>
  <c r="M53" i="14" s="1"/>
  <c r="W25" i="14"/>
  <c r="X25" i="14"/>
  <c r="P49" i="14"/>
  <c r="X47" i="13"/>
  <c r="W47" i="13" s="1"/>
  <c r="T51" i="13"/>
  <c r="S51" i="13" s="1"/>
  <c r="X24" i="13"/>
  <c r="W24" i="13" s="1"/>
  <c r="AB44" i="13"/>
  <c r="AA44" i="13" s="1"/>
  <c r="AB29" i="13"/>
  <c r="AA29" i="13" s="1"/>
  <c r="T94" i="13"/>
  <c r="X79" i="13"/>
  <c r="W79" i="13" s="1"/>
  <c r="X89" i="13"/>
  <c r="W89" i="13" s="1"/>
  <c r="W73" i="13"/>
  <c r="X73" i="13"/>
  <c r="T76" i="13"/>
  <c r="X69" i="13"/>
  <c r="W69" i="13" s="1"/>
  <c r="AB48" i="13"/>
  <c r="AA48" i="13" s="1"/>
  <c r="X71" i="13"/>
  <c r="W71" i="13"/>
  <c r="AA43" i="13"/>
  <c r="AB70" i="13"/>
  <c r="AA70" i="13"/>
  <c r="AB28" i="13"/>
  <c r="AA28" i="13" s="1"/>
  <c r="AB72" i="13"/>
  <c r="AA72" i="13"/>
  <c r="X81" i="13"/>
  <c r="W81" i="13" s="1"/>
  <c r="AB27" i="13"/>
  <c r="AA27" i="13" s="1"/>
  <c r="O56" i="13"/>
  <c r="X87" i="13"/>
  <c r="W87" i="13" s="1"/>
  <c r="X58" i="13"/>
  <c r="W75" i="13"/>
  <c r="X75" i="13"/>
  <c r="AB26" i="13"/>
  <c r="AA26" i="13" s="1"/>
  <c r="X85" i="13"/>
  <c r="W85" i="13" s="1"/>
  <c r="X83" i="13"/>
  <c r="W83" i="13" s="1"/>
  <c r="AA80" i="12"/>
  <c r="O41" i="12"/>
  <c r="X25" i="12"/>
  <c r="W25" i="12"/>
  <c r="K50" i="12"/>
  <c r="K47" i="12"/>
  <c r="K49" i="12"/>
  <c r="K46" i="12"/>
  <c r="S30" i="12"/>
  <c r="AB23" i="12"/>
  <c r="AA23" i="12"/>
  <c r="X63" i="12"/>
  <c r="W63" i="12"/>
  <c r="X65" i="12"/>
  <c r="W65" i="12"/>
  <c r="X73" i="12"/>
  <c r="W73" i="12"/>
  <c r="AB21" i="12"/>
  <c r="AA21" i="12"/>
  <c r="AB34" i="12"/>
  <c r="AA34" i="12" s="1"/>
  <c r="X39" i="12"/>
  <c r="W39" i="12" s="1"/>
  <c r="X62" i="12"/>
  <c r="W62" i="12"/>
  <c r="W59" i="12"/>
  <c r="T66" i="12"/>
  <c r="W66" i="12" s="1"/>
  <c r="X59" i="12"/>
  <c r="X35" i="12"/>
  <c r="W35" i="12" s="1"/>
  <c r="T41" i="12"/>
  <c r="S41" i="12" s="1"/>
  <c r="X33" i="12"/>
  <c r="W33" i="12" s="1"/>
  <c r="H55" i="12"/>
  <c r="I55" i="12" s="1"/>
  <c r="AB76" i="12"/>
  <c r="AA76" i="12"/>
  <c r="AB70" i="12"/>
  <c r="AA70" i="12"/>
  <c r="X75" i="12"/>
  <c r="W75" i="12"/>
  <c r="X60" i="12"/>
  <c r="W60" i="12"/>
  <c r="X77" i="12"/>
  <c r="W77" i="12"/>
  <c r="X22" i="12"/>
  <c r="W22" i="12"/>
  <c r="X48" i="12"/>
  <c r="W48" i="12" s="1"/>
  <c r="X37" i="12"/>
  <c r="W37" i="12" s="1"/>
  <c r="P49" i="12"/>
  <c r="O49" i="12" s="1"/>
  <c r="P46" i="12"/>
  <c r="P50" i="12"/>
  <c r="P47" i="12"/>
  <c r="T30" i="12"/>
  <c r="T44" i="12" s="1"/>
  <c r="S44" i="12" s="1"/>
  <c r="AB74" i="12"/>
  <c r="AA74" i="12"/>
  <c r="AB72" i="12"/>
  <c r="AA72" i="12"/>
  <c r="X24" i="12"/>
  <c r="W24" i="12"/>
  <c r="L53" i="12"/>
  <c r="M53" i="12" s="1"/>
  <c r="O44" i="12"/>
  <c r="X69" i="12"/>
  <c r="W69" i="12"/>
  <c r="X79" i="12"/>
  <c r="W79" i="12"/>
  <c r="X71" i="12"/>
  <c r="W71" i="12"/>
  <c r="AB36" i="12"/>
  <c r="AA36" i="12" s="1"/>
  <c r="T41" i="11"/>
  <c r="T45" i="11" s="1"/>
  <c r="K45" i="11"/>
  <c r="K13" i="11"/>
  <c r="K15" i="11"/>
  <c r="X65" i="11"/>
  <c r="X66" i="11" s="1"/>
  <c r="W65" i="11"/>
  <c r="AB24" i="11"/>
  <c r="AA24" i="11"/>
  <c r="T66" i="11"/>
  <c r="W80" i="11"/>
  <c r="X80" i="11"/>
  <c r="AA23" i="11"/>
  <c r="AB23" i="11"/>
  <c r="L53" i="11"/>
  <c r="M53" i="11" s="1"/>
  <c r="P15" i="11"/>
  <c r="Q15" i="11" s="1"/>
  <c r="AB59" i="11"/>
  <c r="AA59" i="11" s="1"/>
  <c r="AB73" i="11"/>
  <c r="AA73" i="11"/>
  <c r="X25" i="11"/>
  <c r="W25" i="11"/>
  <c r="W36" i="11"/>
  <c r="X36" i="11"/>
  <c r="W78" i="11"/>
  <c r="X78" i="11"/>
  <c r="X48" i="11"/>
  <c r="W48" i="11" s="1"/>
  <c r="O30" i="11"/>
  <c r="AB79" i="11"/>
  <c r="AA79" i="11"/>
  <c r="X69" i="11"/>
  <c r="W69" i="11" s="1"/>
  <c r="O11" i="11"/>
  <c r="O49" i="11"/>
  <c r="O50" i="11"/>
  <c r="O47" i="11"/>
  <c r="W74" i="11"/>
  <c r="X74" i="11"/>
  <c r="AA64" i="11"/>
  <c r="AB64" i="11"/>
  <c r="AB39" i="11"/>
  <c r="AA39" i="11"/>
  <c r="W38" i="11"/>
  <c r="X38" i="11"/>
  <c r="X22" i="11"/>
  <c r="W22" i="11" s="1"/>
  <c r="T30" i="11"/>
  <c r="AB34" i="11"/>
  <c r="AA34" i="11" s="1"/>
  <c r="L96" i="11"/>
  <c r="X27" i="11"/>
  <c r="W27" i="11"/>
  <c r="W35" i="11"/>
  <c r="X35" i="11"/>
  <c r="X72" i="11"/>
  <c r="H55" i="11"/>
  <c r="I55" i="11" s="1"/>
  <c r="G53" i="11"/>
  <c r="S22" i="11"/>
  <c r="W76" i="11"/>
  <c r="X76" i="11"/>
  <c r="W70" i="11"/>
  <c r="X70" i="11"/>
  <c r="AB75" i="11"/>
  <c r="AA75" i="11"/>
  <c r="AB77" i="11"/>
  <c r="AA77" i="11"/>
  <c r="AB71" i="11"/>
  <c r="AA71" i="11" s="1"/>
  <c r="X60" i="10"/>
  <c r="W60" i="10" s="1"/>
  <c r="AB28" i="10"/>
  <c r="AA28" i="10"/>
  <c r="AB25" i="10"/>
  <c r="AA25" i="10"/>
  <c r="L53" i="10"/>
  <c r="K47" i="10"/>
  <c r="G15" i="10"/>
  <c r="X66" i="10"/>
  <c r="W66" i="10"/>
  <c r="AB75" i="10"/>
  <c r="AA75" i="10"/>
  <c r="AB76" i="10"/>
  <c r="AA76" i="10"/>
  <c r="AA34" i="10"/>
  <c r="AB34" i="10"/>
  <c r="T41" i="10"/>
  <c r="W33" i="10"/>
  <c r="X33" i="10"/>
  <c r="X64" i="10"/>
  <c r="W64" i="10" s="1"/>
  <c r="AB74" i="10"/>
  <c r="AA74" i="10"/>
  <c r="X61" i="10"/>
  <c r="W61" i="10" s="1"/>
  <c r="AB99" i="10"/>
  <c r="AB15" i="10"/>
  <c r="AB73" i="10"/>
  <c r="AA73" i="10" s="1"/>
  <c r="H55" i="10"/>
  <c r="X35" i="10"/>
  <c r="W35" i="10"/>
  <c r="X59" i="10"/>
  <c r="W59" i="10" s="1"/>
  <c r="T67" i="10"/>
  <c r="S67" i="10" s="1"/>
  <c r="AB71" i="10"/>
  <c r="AA71" i="10" s="1"/>
  <c r="W24" i="10"/>
  <c r="X24" i="10"/>
  <c r="T30" i="10"/>
  <c r="S30" i="10" s="1"/>
  <c r="X70" i="10"/>
  <c r="W70" i="10" s="1"/>
  <c r="X26" i="10"/>
  <c r="W26" i="10"/>
  <c r="X62" i="10"/>
  <c r="W62" i="10" s="1"/>
  <c r="AB80" i="10"/>
  <c r="AA80" i="10"/>
  <c r="S45" i="10"/>
  <c r="S46" i="10"/>
  <c r="S41" i="10"/>
  <c r="O50" i="10"/>
  <c r="AB81" i="10"/>
  <c r="AA81" i="10"/>
  <c r="X37" i="10"/>
  <c r="W37" i="10"/>
  <c r="X39" i="10"/>
  <c r="W39" i="10"/>
  <c r="X65" i="10"/>
  <c r="W65" i="10"/>
  <c r="AB79" i="10"/>
  <c r="AA79" i="10"/>
  <c r="AB78" i="10"/>
  <c r="AA78" i="10"/>
  <c r="AB77" i="10"/>
  <c r="AA77" i="10"/>
  <c r="X48" i="10"/>
  <c r="W48" i="10" s="1"/>
  <c r="AB72" i="10"/>
  <c r="AA72" i="10" s="1"/>
  <c r="L15" i="9"/>
  <c r="AB35" i="9"/>
  <c r="AA35" i="9"/>
  <c r="W37" i="9"/>
  <c r="X37" i="9"/>
  <c r="W80" i="9"/>
  <c r="X80" i="9"/>
  <c r="X77" i="9"/>
  <c r="W77" i="9"/>
  <c r="AB61" i="9"/>
  <c r="AA61" i="9"/>
  <c r="AB36" i="9"/>
  <c r="AA36" i="9"/>
  <c r="X69" i="9"/>
  <c r="W69" i="9"/>
  <c r="O53" i="9"/>
  <c r="AA25" i="9"/>
  <c r="AB25" i="9"/>
  <c r="X75" i="9"/>
  <c r="W75" i="9"/>
  <c r="X71" i="9"/>
  <c r="W71" i="9"/>
  <c r="X64" i="9"/>
  <c r="W64" i="9"/>
  <c r="P96" i="9"/>
  <c r="AA27" i="9"/>
  <c r="AB27" i="9"/>
  <c r="X62" i="9"/>
  <c r="W62" i="9" s="1"/>
  <c r="W74" i="9"/>
  <c r="X74" i="9"/>
  <c r="X78" i="9"/>
  <c r="W78" i="9" s="1"/>
  <c r="P49" i="9"/>
  <c r="S49" i="9" s="1"/>
  <c r="P47" i="9"/>
  <c r="S47" i="9" s="1"/>
  <c r="P45" i="9"/>
  <c r="S45" i="9" s="1"/>
  <c r="P46" i="9"/>
  <c r="S46" i="9" s="1"/>
  <c r="P50" i="9"/>
  <c r="S50" i="9" s="1"/>
  <c r="S41" i="9"/>
  <c r="AA60" i="9"/>
  <c r="AB60" i="9"/>
  <c r="AB48" i="9"/>
  <c r="AA48" i="9"/>
  <c r="W70" i="9"/>
  <c r="X70" i="9"/>
  <c r="AB28" i="9"/>
  <c r="AA28" i="9"/>
  <c r="AB1" i="9"/>
  <c r="AB3" i="9" s="1"/>
  <c r="AB9" i="9" s="1"/>
  <c r="AB11" i="9" s="1"/>
  <c r="X3" i="9"/>
  <c r="X9" i="9" s="1"/>
  <c r="T44" i="9"/>
  <c r="W30" i="9"/>
  <c r="AA51" i="9"/>
  <c r="AB51" i="9"/>
  <c r="AB63" i="9"/>
  <c r="AA63" i="9"/>
  <c r="K53" i="9"/>
  <c r="H55" i="9"/>
  <c r="S44" i="9"/>
  <c r="W59" i="9"/>
  <c r="T66" i="9"/>
  <c r="X59" i="9"/>
  <c r="X73" i="9"/>
  <c r="W73" i="9"/>
  <c r="W52" i="9"/>
  <c r="X52" i="9"/>
  <c r="X30" i="9"/>
  <c r="W72" i="9"/>
  <c r="X72" i="9"/>
  <c r="AB38" i="9"/>
  <c r="AA38" i="9"/>
  <c r="AB65" i="9"/>
  <c r="AA65" i="9"/>
  <c r="W9" i="9"/>
  <c r="T11" i="9"/>
  <c r="S11" i="9" s="1"/>
  <c r="W76" i="9"/>
  <c r="X76" i="9"/>
  <c r="H96" i="9"/>
  <c r="K11" i="9"/>
  <c r="X34" i="9"/>
  <c r="W34" i="9"/>
  <c r="T41" i="9"/>
  <c r="X79" i="9"/>
  <c r="W79" i="9"/>
  <c r="AB23" i="9"/>
  <c r="AA23" i="9"/>
  <c r="I55" i="2"/>
  <c r="I62" i="2" s="1"/>
  <c r="G47" i="2"/>
  <c r="F47" i="2"/>
  <c r="E47" i="2"/>
  <c r="M11" i="13" l="1"/>
  <c r="M9" i="20"/>
  <c r="L9" i="20" s="1"/>
  <c r="M9" i="33"/>
  <c r="L9" i="33" s="1"/>
  <c r="H9" i="42" s="1"/>
  <c r="M9" i="13"/>
  <c r="L9" i="13" s="1"/>
  <c r="M10" i="13"/>
  <c r="Q9" i="20"/>
  <c r="Q9" i="33"/>
  <c r="Q10" i="13"/>
  <c r="Q9" i="13"/>
  <c r="G55" i="10"/>
  <c r="I55" i="10"/>
  <c r="I55" i="14"/>
  <c r="K53" i="10"/>
  <c r="M53" i="10"/>
  <c r="Q45" i="33"/>
  <c r="Q59" i="32"/>
  <c r="Y44" i="39"/>
  <c r="X44" i="39" s="1"/>
  <c r="Y44" i="40"/>
  <c r="X44" i="40" s="1"/>
  <c r="O44" i="10"/>
  <c r="P53" i="10"/>
  <c r="G77" i="37"/>
  <c r="G69" i="37"/>
  <c r="G53" i="37"/>
  <c r="G47" i="37" s="1"/>
  <c r="G48" i="37" s="1"/>
  <c r="G29" i="37"/>
  <c r="G13" i="37"/>
  <c r="G37" i="37"/>
  <c r="L55" i="9"/>
  <c r="AB33" i="11"/>
  <c r="AA33" i="11" s="1"/>
  <c r="H114" i="13"/>
  <c r="G63" i="13"/>
  <c r="O57" i="13"/>
  <c r="O40" i="13"/>
  <c r="O60" i="13"/>
  <c r="O59" i="13"/>
  <c r="O54" i="13"/>
  <c r="S40" i="13"/>
  <c r="X40" i="13"/>
  <c r="W40" i="13" s="1"/>
  <c r="O13" i="11"/>
  <c r="P15" i="10"/>
  <c r="Q15" i="10" s="1"/>
  <c r="P99" i="10"/>
  <c r="S13" i="10"/>
  <c r="AB21" i="9"/>
  <c r="AA21" i="9"/>
  <c r="L63" i="13"/>
  <c r="K60" i="13"/>
  <c r="Y46" i="34"/>
  <c r="X46" i="34" s="1"/>
  <c r="Y34" i="33"/>
  <c r="X34" i="33" s="1"/>
  <c r="Y48" i="32"/>
  <c r="X48" i="32" s="1"/>
  <c r="Y83" i="31"/>
  <c r="X83" i="31" s="1"/>
  <c r="Y54" i="30"/>
  <c r="X54" i="30" s="1"/>
  <c r="P103" i="12"/>
  <c r="O13" i="12"/>
  <c r="P15" i="12"/>
  <c r="Q15" i="12" s="1"/>
  <c r="T13" i="12"/>
  <c r="S13" i="12" s="1"/>
  <c r="S11" i="12"/>
  <c r="AB9" i="12"/>
  <c r="AB11" i="12" s="1"/>
  <c r="X11" i="12"/>
  <c r="T13" i="11"/>
  <c r="T15" i="11" s="1"/>
  <c r="S13" i="14"/>
  <c r="O45" i="33"/>
  <c r="S45" i="33"/>
  <c r="AB9" i="11"/>
  <c r="AB11" i="11" s="1"/>
  <c r="X11" i="11"/>
  <c r="W11" i="11" s="1"/>
  <c r="O59" i="32"/>
  <c r="S59" i="32"/>
  <c r="U9" i="15"/>
  <c r="T9" i="15" s="1"/>
  <c r="U11" i="13"/>
  <c r="U10" i="13"/>
  <c r="Y44" i="25"/>
  <c r="X44" i="25" s="1"/>
  <c r="Y44" i="24"/>
  <c r="X44" i="24" s="1"/>
  <c r="Y44" i="23"/>
  <c r="X44" i="23" s="1"/>
  <c r="Y44" i="21"/>
  <c r="X44" i="21" s="1"/>
  <c r="Y44" i="15"/>
  <c r="X44" i="15" s="1"/>
  <c r="Y44" i="20"/>
  <c r="X44" i="20" s="1"/>
  <c r="Y44" i="19"/>
  <c r="X44" i="19" s="1"/>
  <c r="Y44" i="17"/>
  <c r="X44" i="17" s="1"/>
  <c r="Y44" i="18"/>
  <c r="X44" i="18" s="1"/>
  <c r="Y44" i="14"/>
  <c r="Y54" i="13"/>
  <c r="Y44" i="9"/>
  <c r="X44" i="9" s="1"/>
  <c r="Y44" i="12"/>
  <c r="Y44" i="11"/>
  <c r="Y44" i="10"/>
  <c r="F36" i="36"/>
  <c r="M9" i="27"/>
  <c r="N9" i="27" s="1"/>
  <c r="Q11" i="13"/>
  <c r="AB60" i="10"/>
  <c r="AA60" i="10" s="1"/>
  <c r="S94" i="13"/>
  <c r="K53" i="12"/>
  <c r="AB91" i="13"/>
  <c r="AA91" i="13" s="1"/>
  <c r="AB92" i="13"/>
  <c r="AA92" i="13" s="1"/>
  <c r="S76" i="13"/>
  <c r="H65" i="13"/>
  <c r="G55" i="14"/>
  <c r="AB26" i="14"/>
  <c r="AA26" i="14"/>
  <c r="AA25" i="14"/>
  <c r="AB25" i="14"/>
  <c r="T50" i="14"/>
  <c r="S50" i="14" s="1"/>
  <c r="T47" i="14"/>
  <c r="S47" i="14" s="1"/>
  <c r="T45" i="14"/>
  <c r="T49" i="14"/>
  <c r="S49" i="14" s="1"/>
  <c r="T46" i="14"/>
  <c r="S41" i="14"/>
  <c r="X13" i="14"/>
  <c r="X15" i="14" s="1"/>
  <c r="W15" i="14" s="1"/>
  <c r="AA11" i="14"/>
  <c r="T102" i="14"/>
  <c r="W13" i="14"/>
  <c r="AA77" i="14"/>
  <c r="AB77" i="14"/>
  <c r="L55" i="14"/>
  <c r="M55" i="14" s="1"/>
  <c r="K53" i="14"/>
  <c r="AA61" i="14"/>
  <c r="AB61" i="14"/>
  <c r="AA71" i="14"/>
  <c r="AB71" i="14"/>
  <c r="AA27" i="14"/>
  <c r="AB27" i="14"/>
  <c r="AA38" i="14"/>
  <c r="AB38" i="14"/>
  <c r="AB41" i="14" s="1"/>
  <c r="X30" i="14"/>
  <c r="AB21" i="14"/>
  <c r="AA21" i="14" s="1"/>
  <c r="AA75" i="14"/>
  <c r="AB75" i="14"/>
  <c r="AA79" i="14"/>
  <c r="AB79" i="14"/>
  <c r="AA23" i="14"/>
  <c r="AB23" i="14"/>
  <c r="AB13" i="14"/>
  <c r="AB102" i="14" s="1"/>
  <c r="P53" i="14"/>
  <c r="Q53" i="14" s="1"/>
  <c r="AB48" i="14"/>
  <c r="AA48" i="14" s="1"/>
  <c r="O47" i="14"/>
  <c r="AA69" i="14"/>
  <c r="AB69" i="14"/>
  <c r="O49" i="14"/>
  <c r="AA9" i="14"/>
  <c r="AA73" i="14"/>
  <c r="AB73" i="14"/>
  <c r="X41" i="14"/>
  <c r="W41" i="14" s="1"/>
  <c r="X66" i="14"/>
  <c r="AA66" i="14" s="1"/>
  <c r="AA59" i="14"/>
  <c r="AB59" i="14"/>
  <c r="AB63" i="14"/>
  <c r="AA63" i="14"/>
  <c r="T44" i="14"/>
  <c r="W30" i="14"/>
  <c r="S15" i="14"/>
  <c r="AB58" i="13"/>
  <c r="AA58" i="13" s="1"/>
  <c r="AA73" i="13"/>
  <c r="AB73" i="13"/>
  <c r="AB24" i="13"/>
  <c r="AB40" i="13" s="1"/>
  <c r="AB87" i="13"/>
  <c r="AA87" i="13" s="1"/>
  <c r="AB81" i="13"/>
  <c r="AA81" i="13" s="1"/>
  <c r="T54" i="13"/>
  <c r="AB85" i="13"/>
  <c r="AA85" i="13" s="1"/>
  <c r="W58" i="13"/>
  <c r="AA71" i="13"/>
  <c r="AB71" i="13"/>
  <c r="X76" i="13"/>
  <c r="W76" i="13" s="1"/>
  <c r="AB69" i="13"/>
  <c r="AA69" i="13" s="1"/>
  <c r="AB89" i="13"/>
  <c r="AA89" i="13" s="1"/>
  <c r="X94" i="13"/>
  <c r="AB79" i="13"/>
  <c r="AA79" i="13" s="1"/>
  <c r="T55" i="13"/>
  <c r="S55" i="13" s="1"/>
  <c r="T59" i="13"/>
  <c r="T56" i="13"/>
  <c r="S56" i="13" s="1"/>
  <c r="T60" i="13"/>
  <c r="T57" i="13"/>
  <c r="AB83" i="13"/>
  <c r="AA83" i="13" s="1"/>
  <c r="AB75" i="13"/>
  <c r="AA75" i="13"/>
  <c r="AB47" i="13"/>
  <c r="AB51" i="13" s="1"/>
  <c r="X51" i="13"/>
  <c r="G55" i="12"/>
  <c r="AB25" i="12"/>
  <c r="AA25" i="12"/>
  <c r="O50" i="12"/>
  <c r="O46" i="12"/>
  <c r="O47" i="12"/>
  <c r="P53" i="12"/>
  <c r="Q53" i="12" s="1"/>
  <c r="AB71" i="12"/>
  <c r="AA71" i="12"/>
  <c r="AB37" i="12"/>
  <c r="AA37" i="12" s="1"/>
  <c r="X66" i="12"/>
  <c r="AA66" i="12" s="1"/>
  <c r="AB59" i="12"/>
  <c r="AA59" i="12"/>
  <c r="AA62" i="12"/>
  <c r="AB62" i="12"/>
  <c r="L55" i="12"/>
  <c r="M55" i="12" s="1"/>
  <c r="AB69" i="12"/>
  <c r="AA69" i="12"/>
  <c r="AA24" i="12"/>
  <c r="AB24" i="12"/>
  <c r="AA22" i="12"/>
  <c r="AB22" i="12"/>
  <c r="AB77" i="12"/>
  <c r="AA77" i="12"/>
  <c r="AB75" i="12"/>
  <c r="AA75" i="12"/>
  <c r="X41" i="12"/>
  <c r="W41" i="12" s="1"/>
  <c r="AB33" i="12"/>
  <c r="AB39" i="12"/>
  <c r="AA39" i="12" s="1"/>
  <c r="AB65" i="12"/>
  <c r="AA65" i="12"/>
  <c r="AB79" i="12"/>
  <c r="AA79" i="12"/>
  <c r="W30" i="12"/>
  <c r="AB48" i="12"/>
  <c r="AA48" i="12" s="1"/>
  <c r="AB35" i="12"/>
  <c r="AA35" i="12" s="1"/>
  <c r="AA60" i="12"/>
  <c r="AB60" i="12"/>
  <c r="T50" i="12"/>
  <c r="S50" i="12" s="1"/>
  <c r="T47" i="12"/>
  <c r="T45" i="12"/>
  <c r="S45" i="12" s="1"/>
  <c r="T49" i="12"/>
  <c r="T46" i="12"/>
  <c r="S46" i="12" s="1"/>
  <c r="X30" i="12"/>
  <c r="AB73" i="12"/>
  <c r="AA73" i="12"/>
  <c r="AB63" i="12"/>
  <c r="AA63" i="12"/>
  <c r="S41" i="11"/>
  <c r="T46" i="11"/>
  <c r="S46" i="11" s="1"/>
  <c r="S45" i="11"/>
  <c r="X41" i="11"/>
  <c r="W41" i="11" s="1"/>
  <c r="O46" i="11"/>
  <c r="O45" i="11"/>
  <c r="AB72" i="11"/>
  <c r="AA72" i="11" s="1"/>
  <c r="T44" i="11"/>
  <c r="P53" i="11"/>
  <c r="Q53" i="11" s="1"/>
  <c r="O44" i="11"/>
  <c r="W72" i="11"/>
  <c r="AA27" i="11"/>
  <c r="AB27" i="11"/>
  <c r="AB74" i="11"/>
  <c r="AA74" i="11"/>
  <c r="S30" i="11"/>
  <c r="AA25" i="11"/>
  <c r="AB25" i="11"/>
  <c r="L55" i="11"/>
  <c r="M55" i="11" s="1"/>
  <c r="W66" i="11"/>
  <c r="S66" i="11"/>
  <c r="AB65" i="11"/>
  <c r="AB66" i="11" s="1"/>
  <c r="AA66" i="11" s="1"/>
  <c r="AA65" i="11"/>
  <c r="K53" i="11"/>
  <c r="AB35" i="11"/>
  <c r="AA35" i="11"/>
  <c r="AB22" i="11"/>
  <c r="AA22" i="11" s="1"/>
  <c r="X30" i="11"/>
  <c r="W30" i="11" s="1"/>
  <c r="AB48" i="11"/>
  <c r="AA48" i="11" s="1"/>
  <c r="AA36" i="11"/>
  <c r="AB36" i="11"/>
  <c r="T47" i="11"/>
  <c r="S47" i="11" s="1"/>
  <c r="AB70" i="11"/>
  <c r="AA70" i="11"/>
  <c r="G55" i="11"/>
  <c r="AA38" i="11"/>
  <c r="AB38" i="11"/>
  <c r="P96" i="11"/>
  <c r="S13" i="11"/>
  <c r="AB80" i="11"/>
  <c r="AA80" i="11"/>
  <c r="O15" i="11"/>
  <c r="T49" i="11"/>
  <c r="AB69" i="11"/>
  <c r="AA69" i="11" s="1"/>
  <c r="AB78" i="11"/>
  <c r="AA78" i="11"/>
  <c r="T50" i="11"/>
  <c r="AB76" i="11"/>
  <c r="AA76" i="11"/>
  <c r="L55" i="10"/>
  <c r="O47" i="10"/>
  <c r="O49" i="10"/>
  <c r="AB48" i="10"/>
  <c r="AA48" i="10" s="1"/>
  <c r="AB65" i="10"/>
  <c r="AA65" i="10" s="1"/>
  <c r="AA37" i="10"/>
  <c r="AB37" i="10"/>
  <c r="X67" i="10"/>
  <c r="W67" i="10" s="1"/>
  <c r="AB59" i="10"/>
  <c r="AA59" i="10" s="1"/>
  <c r="AB64" i="10"/>
  <c r="AA64" i="10" s="1"/>
  <c r="AB62" i="10"/>
  <c r="AA62" i="10" s="1"/>
  <c r="T44" i="10"/>
  <c r="S44" i="10" s="1"/>
  <c r="AB61" i="10"/>
  <c r="AA61" i="10" s="1"/>
  <c r="AA33" i="10"/>
  <c r="X41" i="10"/>
  <c r="AB33" i="10"/>
  <c r="AB70" i="10"/>
  <c r="AA70" i="10" s="1"/>
  <c r="AA24" i="10"/>
  <c r="AB24" i="10"/>
  <c r="X30" i="10"/>
  <c r="W30" i="10" s="1"/>
  <c r="AA35" i="10"/>
  <c r="AB35" i="10"/>
  <c r="AA39" i="10"/>
  <c r="AB39" i="10"/>
  <c r="AA26" i="10"/>
  <c r="AB26" i="10"/>
  <c r="T50" i="10"/>
  <c r="T47" i="10"/>
  <c r="W41" i="10"/>
  <c r="T45" i="10"/>
  <c r="W45" i="10" s="1"/>
  <c r="T49" i="10"/>
  <c r="S49" i="10" s="1"/>
  <c r="T46" i="10"/>
  <c r="W46" i="10" s="1"/>
  <c r="AB66" i="10"/>
  <c r="AA66" i="10"/>
  <c r="S66" i="9"/>
  <c r="AB37" i="9"/>
  <c r="AA37" i="9"/>
  <c r="AB30" i="9"/>
  <c r="O13" i="9"/>
  <c r="K13" i="9"/>
  <c r="G13" i="9"/>
  <c r="AB13" i="9" s="1"/>
  <c r="H15" i="9"/>
  <c r="M15" i="9" s="1"/>
  <c r="AB79" i="9"/>
  <c r="AA79" i="9"/>
  <c r="AB76" i="9"/>
  <c r="AA76" i="9"/>
  <c r="K55" i="9"/>
  <c r="X11" i="9"/>
  <c r="W11" i="9" s="1"/>
  <c r="AA9" i="9"/>
  <c r="AB71" i="9"/>
  <c r="AA71" i="9"/>
  <c r="AA34" i="9"/>
  <c r="AB34" i="9"/>
  <c r="AB41" i="9" s="1"/>
  <c r="X41" i="9"/>
  <c r="AA52" i="9"/>
  <c r="AB52" i="9"/>
  <c r="X66" i="9"/>
  <c r="AB59" i="9"/>
  <c r="AA59" i="9"/>
  <c r="P53" i="9"/>
  <c r="W44" i="9"/>
  <c r="AA64" i="9"/>
  <c r="AB64" i="9"/>
  <c r="AB75" i="9"/>
  <c r="AA75" i="9"/>
  <c r="AB69" i="9"/>
  <c r="AA69" i="9"/>
  <c r="AB77" i="9"/>
  <c r="AA77" i="9"/>
  <c r="AB72" i="9"/>
  <c r="AA72" i="9"/>
  <c r="AB70" i="9"/>
  <c r="AA70" i="9"/>
  <c r="AB74" i="9"/>
  <c r="AA74" i="9"/>
  <c r="T50" i="9"/>
  <c r="W50" i="9" s="1"/>
  <c r="T49" i="9"/>
  <c r="W49" i="9" s="1"/>
  <c r="T47" i="9"/>
  <c r="W47" i="9" s="1"/>
  <c r="T45" i="9"/>
  <c r="W45" i="9" s="1"/>
  <c r="W41" i="9"/>
  <c r="T46" i="9"/>
  <c r="W46" i="9" s="1"/>
  <c r="AB80" i="9"/>
  <c r="AA80" i="9"/>
  <c r="T13" i="9"/>
  <c r="T96" i="9" s="1"/>
  <c r="AA30" i="9"/>
  <c r="AB73" i="9"/>
  <c r="AA73" i="9"/>
  <c r="AB78" i="9"/>
  <c r="AA78" i="9" s="1"/>
  <c r="AB62" i="9"/>
  <c r="AA62" i="9" s="1"/>
  <c r="P15" i="9"/>
  <c r="Q15" i="9" s="1"/>
  <c r="J55" i="2"/>
  <c r="J62" i="2" s="1"/>
  <c r="O9" i="42" l="1"/>
  <c r="P9" i="42" s="1"/>
  <c r="H13" i="42"/>
  <c r="O13" i="42" s="1"/>
  <c r="P13" i="42" s="1"/>
  <c r="L4" i="3"/>
  <c r="P9" i="13"/>
  <c r="K9" i="13"/>
  <c r="H5" i="27"/>
  <c r="O5" i="27" s="1"/>
  <c r="P5" i="27" s="1"/>
  <c r="AA9" i="12"/>
  <c r="P9" i="33"/>
  <c r="K9" i="33"/>
  <c r="L11" i="33"/>
  <c r="G23" i="36"/>
  <c r="G64" i="36" s="1"/>
  <c r="G66" i="36" s="1"/>
  <c r="H9" i="26"/>
  <c r="O9" i="26" s="1"/>
  <c r="P9" i="26" s="1"/>
  <c r="AA9" i="11"/>
  <c r="P9" i="20"/>
  <c r="O9" i="20" s="1"/>
  <c r="G25" i="36"/>
  <c r="G71" i="36" s="1"/>
  <c r="L11" i="20"/>
  <c r="K9" i="20"/>
  <c r="F29" i="36"/>
  <c r="F71" i="36" s="1"/>
  <c r="F78" i="36" s="1"/>
  <c r="F13" i="22"/>
  <c r="H9" i="27"/>
  <c r="I65" i="13"/>
  <c r="H16" i="13"/>
  <c r="H104" i="13" s="1"/>
  <c r="G9" i="28"/>
  <c r="V10" i="27"/>
  <c r="L65" i="13"/>
  <c r="K65" i="13" s="1"/>
  <c r="M63" i="13"/>
  <c r="P55" i="10"/>
  <c r="Q53" i="10"/>
  <c r="M55" i="10"/>
  <c r="AC44" i="39"/>
  <c r="AB44" i="39" s="1"/>
  <c r="AB53" i="39" s="1"/>
  <c r="AC44" i="40"/>
  <c r="AB44" i="40" s="1"/>
  <c r="AB53" i="40" s="1"/>
  <c r="O55" i="9"/>
  <c r="O53" i="10"/>
  <c r="AA44" i="40"/>
  <c r="X53" i="40"/>
  <c r="AA44" i="39"/>
  <c r="X53" i="39"/>
  <c r="H53" i="37"/>
  <c r="G55" i="37"/>
  <c r="G56" i="37" s="1"/>
  <c r="H52" i="37" s="1"/>
  <c r="H44" i="37" s="1"/>
  <c r="H37" i="37"/>
  <c r="H39" i="37" s="1"/>
  <c r="G39" i="37"/>
  <c r="G40" i="37" s="1"/>
  <c r="H36" i="37" s="1"/>
  <c r="H69" i="37"/>
  <c r="H71" i="37" s="1"/>
  <c r="G71" i="37"/>
  <c r="G72" i="37" s="1"/>
  <c r="H68" i="37" s="1"/>
  <c r="H13" i="37"/>
  <c r="H15" i="37" s="1"/>
  <c r="G15" i="37"/>
  <c r="G16" i="37" s="1"/>
  <c r="H12" i="37" s="1"/>
  <c r="H77" i="37"/>
  <c r="H79" i="37" s="1"/>
  <c r="G79" i="37"/>
  <c r="G80" i="37" s="1"/>
  <c r="H76" i="37" s="1"/>
  <c r="H29" i="37"/>
  <c r="H31" i="37" s="1"/>
  <c r="G31" i="37"/>
  <c r="G32" i="37" s="1"/>
  <c r="H28" i="37" s="1"/>
  <c r="K63" i="13"/>
  <c r="S60" i="13"/>
  <c r="AA40" i="13"/>
  <c r="P63" i="13"/>
  <c r="Q63" i="13" s="1"/>
  <c r="S15" i="10"/>
  <c r="O15" i="10"/>
  <c r="L114" i="13"/>
  <c r="T15" i="12"/>
  <c r="AC46" i="34"/>
  <c r="AB46" i="34" s="1"/>
  <c r="AB55" i="34" s="1"/>
  <c r="AC34" i="33"/>
  <c r="AB34" i="33" s="1"/>
  <c r="AB43" i="33" s="1"/>
  <c r="AC48" i="32"/>
  <c r="AB48" i="32" s="1"/>
  <c r="AB57" i="32" s="1"/>
  <c r="AC83" i="31"/>
  <c r="AB83" i="31" s="1"/>
  <c r="AB92" i="31" s="1"/>
  <c r="AB180" i="31" s="1"/>
  <c r="AC54" i="30"/>
  <c r="AB54" i="30" s="1"/>
  <c r="AB63" i="30" s="1"/>
  <c r="W83" i="31"/>
  <c r="X92" i="31"/>
  <c r="X180" i="31" s="1"/>
  <c r="AA48" i="32"/>
  <c r="X57" i="32"/>
  <c r="W34" i="33"/>
  <c r="X43" i="33"/>
  <c r="W54" i="30"/>
  <c r="X63" i="30"/>
  <c r="W46" i="34"/>
  <c r="X55" i="34"/>
  <c r="F35" i="36"/>
  <c r="F72" i="36" s="1"/>
  <c r="G11" i="28"/>
  <c r="S15" i="12"/>
  <c r="O15" i="12"/>
  <c r="AA11" i="12"/>
  <c r="X13" i="12"/>
  <c r="X15" i="12" s="1"/>
  <c r="W13" i="12"/>
  <c r="T103" i="12"/>
  <c r="AB13" i="12"/>
  <c r="AB103" i="12" s="1"/>
  <c r="W11" i="12"/>
  <c r="S15" i="11"/>
  <c r="AB13" i="11"/>
  <c r="AB96" i="11" s="1"/>
  <c r="T15" i="9"/>
  <c r="S15" i="9" s="1"/>
  <c r="AB30" i="12"/>
  <c r="X13" i="11"/>
  <c r="X15" i="11" s="1"/>
  <c r="W15" i="11" s="1"/>
  <c r="AA11" i="11"/>
  <c r="T96" i="11"/>
  <c r="AC44" i="23"/>
  <c r="AB44" i="23" s="1"/>
  <c r="AB53" i="23" s="1"/>
  <c r="AC44" i="24"/>
  <c r="AB44" i="24" s="1"/>
  <c r="AB53" i="24" s="1"/>
  <c r="AC44" i="25"/>
  <c r="AB44" i="25" s="1"/>
  <c r="AB53" i="25" s="1"/>
  <c r="AC44" i="20"/>
  <c r="AB44" i="20" s="1"/>
  <c r="AB53" i="20" s="1"/>
  <c r="AC44" i="19"/>
  <c r="AB44" i="19" s="1"/>
  <c r="AB53" i="19" s="1"/>
  <c r="AC44" i="17"/>
  <c r="AB44" i="17" s="1"/>
  <c r="AB53" i="17" s="1"/>
  <c r="AC44" i="18"/>
  <c r="AB44" i="18" s="1"/>
  <c r="AB53" i="18" s="1"/>
  <c r="AC44" i="21"/>
  <c r="AB44" i="21" s="1"/>
  <c r="AB53" i="21" s="1"/>
  <c r="AC44" i="15"/>
  <c r="AB44" i="15" s="1"/>
  <c r="AB53" i="15" s="1"/>
  <c r="AC44" i="14"/>
  <c r="AC54" i="13"/>
  <c r="AB54" i="13" s="1"/>
  <c r="AC44" i="9"/>
  <c r="AB44" i="9" s="1"/>
  <c r="AC44" i="12"/>
  <c r="AB44" i="12" s="1"/>
  <c r="AC44" i="11"/>
  <c r="AC44" i="10"/>
  <c r="L11" i="13"/>
  <c r="G36" i="36" s="1"/>
  <c r="G11" i="13"/>
  <c r="AA44" i="17"/>
  <c r="X53" i="17"/>
  <c r="X53" i="21"/>
  <c r="AA44" i="21"/>
  <c r="W44" i="19"/>
  <c r="AA44" i="19"/>
  <c r="X53" i="19"/>
  <c r="W53" i="19" s="1"/>
  <c r="AA44" i="23"/>
  <c r="X53" i="23"/>
  <c r="K9" i="15"/>
  <c r="G9" i="15"/>
  <c r="H11" i="15"/>
  <c r="AA44" i="20"/>
  <c r="X53" i="20"/>
  <c r="X53" i="24"/>
  <c r="AA44" i="24"/>
  <c r="L10" i="13"/>
  <c r="G10" i="13"/>
  <c r="H14" i="13"/>
  <c r="I14" i="13" s="1"/>
  <c r="AA44" i="18"/>
  <c r="X53" i="18"/>
  <c r="AA44" i="15"/>
  <c r="X53" i="15"/>
  <c r="AA44" i="25"/>
  <c r="X53" i="25"/>
  <c r="W9" i="15"/>
  <c r="T11" i="15"/>
  <c r="AB66" i="14"/>
  <c r="W94" i="13"/>
  <c r="O53" i="12"/>
  <c r="AA24" i="13"/>
  <c r="G65" i="13"/>
  <c r="AA47" i="13"/>
  <c r="T53" i="14"/>
  <c r="S53" i="14" s="1"/>
  <c r="S44" i="14"/>
  <c r="AB15" i="14"/>
  <c r="AA15" i="14" s="1"/>
  <c r="K55" i="14"/>
  <c r="X102" i="14"/>
  <c r="AA13" i="14"/>
  <c r="X49" i="14"/>
  <c r="W49" i="14" s="1"/>
  <c r="X46" i="14"/>
  <c r="X50" i="14"/>
  <c r="W50" i="14" s="1"/>
  <c r="X47" i="14"/>
  <c r="AA41" i="14"/>
  <c r="X45" i="14"/>
  <c r="W45" i="14" s="1"/>
  <c r="AB45" i="14"/>
  <c r="AB46" i="14"/>
  <c r="AB30" i="14"/>
  <c r="W46" i="14"/>
  <c r="S46" i="14"/>
  <c r="P55" i="14"/>
  <c r="Q55" i="14" s="1"/>
  <c r="X44" i="14"/>
  <c r="W44" i="14" s="1"/>
  <c r="O53" i="14"/>
  <c r="S45" i="14"/>
  <c r="X55" i="13"/>
  <c r="X59" i="13"/>
  <c r="W59" i="13" s="1"/>
  <c r="X56" i="13"/>
  <c r="W56" i="13" s="1"/>
  <c r="X60" i="13"/>
  <c r="X57" i="13"/>
  <c r="AA51" i="13"/>
  <c r="AB94" i="13"/>
  <c r="AB60" i="13"/>
  <c r="AB57" i="13"/>
  <c r="AB55" i="13"/>
  <c r="AB59" i="13"/>
  <c r="AB56" i="13"/>
  <c r="AB76" i="13"/>
  <c r="AA76" i="13" s="1"/>
  <c r="S57" i="13"/>
  <c r="X54" i="13"/>
  <c r="W54" i="13" s="1"/>
  <c r="S59" i="13"/>
  <c r="W51" i="13"/>
  <c r="T63" i="13"/>
  <c r="S54" i="13"/>
  <c r="K55" i="12"/>
  <c r="AB41" i="12"/>
  <c r="AB50" i="12" s="1"/>
  <c r="S49" i="12"/>
  <c r="AA33" i="12"/>
  <c r="S47" i="12"/>
  <c r="X49" i="12"/>
  <c r="X46" i="12"/>
  <c r="W46" i="12" s="1"/>
  <c r="X50" i="12"/>
  <c r="X47" i="12"/>
  <c r="X45" i="12"/>
  <c r="P55" i="12"/>
  <c r="Q55" i="12" s="1"/>
  <c r="X44" i="12"/>
  <c r="AA30" i="12"/>
  <c r="T53" i="12"/>
  <c r="W44" i="12"/>
  <c r="AB66" i="12"/>
  <c r="X50" i="11"/>
  <c r="W50" i="11" s="1"/>
  <c r="K55" i="10"/>
  <c r="X46" i="11"/>
  <c r="W46" i="11" s="1"/>
  <c r="X45" i="11"/>
  <c r="W45" i="11" s="1"/>
  <c r="AB41" i="11"/>
  <c r="S50" i="11"/>
  <c r="AB30" i="11"/>
  <c r="X47" i="11"/>
  <c r="W47" i="11" s="1"/>
  <c r="P55" i="11"/>
  <c r="T53" i="11"/>
  <c r="S49" i="11"/>
  <c r="K55" i="11"/>
  <c r="X44" i="11"/>
  <c r="W44" i="11" s="1"/>
  <c r="O53" i="11"/>
  <c r="X49" i="11"/>
  <c r="W49" i="11" s="1"/>
  <c r="S44" i="11"/>
  <c r="S50" i="10"/>
  <c r="S47" i="10"/>
  <c r="X49" i="10"/>
  <c r="X46" i="10"/>
  <c r="AA46" i="10" s="1"/>
  <c r="X50" i="10"/>
  <c r="W50" i="10" s="1"/>
  <c r="X47" i="10"/>
  <c r="AA41" i="10"/>
  <c r="X45" i="10"/>
  <c r="AA45" i="10" s="1"/>
  <c r="X44" i="10"/>
  <c r="W44" i="10" s="1"/>
  <c r="O55" i="10"/>
  <c r="AB30" i="10"/>
  <c r="AB41" i="10"/>
  <c r="T53" i="10"/>
  <c r="S53" i="10" s="1"/>
  <c r="AB67" i="10"/>
  <c r="AA67" i="10" s="1"/>
  <c r="AB15" i="9"/>
  <c r="AB96" i="9"/>
  <c r="W66" i="9"/>
  <c r="K15" i="9"/>
  <c r="G15" i="9"/>
  <c r="S13" i="9"/>
  <c r="O15" i="9"/>
  <c r="T53" i="9"/>
  <c r="AB46" i="9"/>
  <c r="AB50" i="9"/>
  <c r="AB49" i="9"/>
  <c r="AB47" i="9"/>
  <c r="AB45" i="9"/>
  <c r="X13" i="9"/>
  <c r="AA11" i="9"/>
  <c r="P55" i="9"/>
  <c r="S53" i="9"/>
  <c r="AA44" i="9"/>
  <c r="AB66" i="9"/>
  <c r="AA66" i="9" s="1"/>
  <c r="X46" i="9"/>
  <c r="AA46" i="9" s="1"/>
  <c r="X50" i="9"/>
  <c r="AA50" i="9" s="1"/>
  <c r="X49" i="9"/>
  <c r="AA49" i="9" s="1"/>
  <c r="X47" i="9"/>
  <c r="AA47" i="9" s="1"/>
  <c r="X45" i="9"/>
  <c r="AA45" i="9" s="1"/>
  <c r="AA41" i="9"/>
  <c r="K55" i="2"/>
  <c r="K62" i="2" s="1"/>
  <c r="O9" i="33" l="1"/>
  <c r="I9" i="42"/>
  <c r="V11" i="28"/>
  <c r="M11" i="28"/>
  <c r="N11" i="28" s="1"/>
  <c r="V9" i="28"/>
  <c r="M9" i="28"/>
  <c r="N9" i="28" s="1"/>
  <c r="W10" i="27"/>
  <c r="O9" i="27"/>
  <c r="P9" i="27" s="1"/>
  <c r="K11" i="20"/>
  <c r="M11" i="20"/>
  <c r="L13" i="20"/>
  <c r="M11" i="33"/>
  <c r="K11" i="33"/>
  <c r="L13" i="33"/>
  <c r="I5" i="27"/>
  <c r="Q5" i="27" s="1"/>
  <c r="R5" i="27" s="1"/>
  <c r="T9" i="13"/>
  <c r="S9" i="13" s="1"/>
  <c r="W15" i="12"/>
  <c r="F14" i="22"/>
  <c r="F8" i="22" s="1"/>
  <c r="F35" i="22" s="1"/>
  <c r="F36" i="22" s="1"/>
  <c r="G78" i="36"/>
  <c r="O9" i="13"/>
  <c r="G13" i="22"/>
  <c r="P11" i="20"/>
  <c r="H25" i="36"/>
  <c r="H71" i="36" s="1"/>
  <c r="T9" i="20"/>
  <c r="I9" i="27"/>
  <c r="Q9" i="27" s="1"/>
  <c r="R9" i="27" s="1"/>
  <c r="H9" i="28"/>
  <c r="I11" i="15"/>
  <c r="H13" i="15"/>
  <c r="M11" i="15"/>
  <c r="W13" i="11"/>
  <c r="I9" i="26"/>
  <c r="Q9" i="26" s="1"/>
  <c r="R9" i="26" s="1"/>
  <c r="H23" i="36"/>
  <c r="H64" i="36" s="1"/>
  <c r="H66" i="36" s="1"/>
  <c r="S9" i="33"/>
  <c r="P11" i="33"/>
  <c r="Q55" i="10"/>
  <c r="H55" i="37"/>
  <c r="H47" i="37"/>
  <c r="H48" i="37" s="1"/>
  <c r="AB44" i="10"/>
  <c r="AA44" i="10" s="1"/>
  <c r="O55" i="11"/>
  <c r="Q55" i="11"/>
  <c r="L16" i="13"/>
  <c r="L104" i="13" s="1"/>
  <c r="M104" i="13" s="1"/>
  <c r="M65" i="13"/>
  <c r="H11" i="27"/>
  <c r="O11" i="27" s="1"/>
  <c r="P11" i="27" s="1"/>
  <c r="X55" i="39"/>
  <c r="AA53" i="39"/>
  <c r="X55" i="40"/>
  <c r="AA53" i="40"/>
  <c r="AB55" i="40"/>
  <c r="AB55" i="39"/>
  <c r="H80" i="37"/>
  <c r="H72" i="37"/>
  <c r="H56" i="37"/>
  <c r="H32" i="37"/>
  <c r="H16" i="37"/>
  <c r="H40" i="37"/>
  <c r="AA34" i="33"/>
  <c r="P114" i="13"/>
  <c r="O63" i="13"/>
  <c r="P65" i="13"/>
  <c r="AB44" i="14"/>
  <c r="AA44" i="14" s="1"/>
  <c r="AB44" i="11"/>
  <c r="AA44" i="11" s="1"/>
  <c r="W63" i="30"/>
  <c r="X65" i="30"/>
  <c r="X108" i="30"/>
  <c r="X110" i="30" s="1"/>
  <c r="W43" i="33"/>
  <c r="X45" i="33"/>
  <c r="W45" i="33" s="1"/>
  <c r="X95" i="33"/>
  <c r="X97" i="33" s="1"/>
  <c r="AA43" i="33"/>
  <c r="W92" i="31"/>
  <c r="X94" i="31"/>
  <c r="AA92" i="31"/>
  <c r="AB94" i="31"/>
  <c r="AB170" i="31" s="1"/>
  <c r="AB172" i="31" s="1"/>
  <c r="W55" i="34"/>
  <c r="X57" i="34"/>
  <c r="AA54" i="30"/>
  <c r="AA57" i="32"/>
  <c r="AB59" i="32"/>
  <c r="AA46" i="34"/>
  <c r="W57" i="32"/>
  <c r="X59" i="32"/>
  <c r="AA83" i="31"/>
  <c r="AB45" i="33"/>
  <c r="AB85" i="33" s="1"/>
  <c r="AB87" i="33" s="1"/>
  <c r="AB95" i="33"/>
  <c r="AB97" i="33" s="1"/>
  <c r="AA63" i="30"/>
  <c r="AB65" i="30"/>
  <c r="AB98" i="30" s="1"/>
  <c r="AB108" i="30"/>
  <c r="AB110" i="30" s="1"/>
  <c r="AA55" i="34"/>
  <c r="AB57" i="34"/>
  <c r="G35" i="36"/>
  <c r="G72" i="36" s="1"/>
  <c r="G79" i="36" s="1"/>
  <c r="G9" i="36"/>
  <c r="F79" i="36"/>
  <c r="AB15" i="12"/>
  <c r="AA15" i="12" s="1"/>
  <c r="X103" i="12"/>
  <c r="AA13" i="12"/>
  <c r="AB15" i="11"/>
  <c r="AA15" i="11" s="1"/>
  <c r="AA13" i="11"/>
  <c r="X96" i="11"/>
  <c r="P10" i="13"/>
  <c r="L14" i="13"/>
  <c r="AA53" i="24"/>
  <c r="X55" i="24"/>
  <c r="X55" i="17"/>
  <c r="AA53" i="17"/>
  <c r="P11" i="13"/>
  <c r="O11" i="13" s="1"/>
  <c r="AB55" i="21"/>
  <c r="AB55" i="20"/>
  <c r="S11" i="15"/>
  <c r="T13" i="15"/>
  <c r="T15" i="15" s="1"/>
  <c r="W11" i="15"/>
  <c r="W53" i="15"/>
  <c r="X55" i="15"/>
  <c r="G14" i="13"/>
  <c r="X55" i="20"/>
  <c r="AA55" i="20" s="1"/>
  <c r="AA53" i="20"/>
  <c r="AA53" i="19"/>
  <c r="X55" i="19"/>
  <c r="AB55" i="18"/>
  <c r="AB55" i="25"/>
  <c r="K10" i="13"/>
  <c r="K11" i="13"/>
  <c r="AB55" i="17"/>
  <c r="AB55" i="24"/>
  <c r="X55" i="25"/>
  <c r="AA53" i="25"/>
  <c r="X55" i="18"/>
  <c r="AA53" i="18"/>
  <c r="G11" i="15"/>
  <c r="K11" i="15"/>
  <c r="X108" i="23"/>
  <c r="X55" i="23"/>
  <c r="W53" i="23"/>
  <c r="AA53" i="23"/>
  <c r="X55" i="21"/>
  <c r="AA53" i="21"/>
  <c r="AA53" i="15"/>
  <c r="AB55" i="15"/>
  <c r="AB55" i="19"/>
  <c r="AB55" i="23"/>
  <c r="AB13" i="23" s="1"/>
  <c r="AB108" i="23"/>
  <c r="H18" i="13"/>
  <c r="H115" i="13"/>
  <c r="H116" i="13" s="1"/>
  <c r="H117" i="13" s="1"/>
  <c r="S63" i="13"/>
  <c r="T114" i="13"/>
  <c r="AA94" i="13"/>
  <c r="S53" i="12"/>
  <c r="H106" i="13"/>
  <c r="AA57" i="13"/>
  <c r="AB63" i="13"/>
  <c r="AB65" i="13" s="1"/>
  <c r="AA55" i="13"/>
  <c r="AA30" i="14"/>
  <c r="AB50" i="14"/>
  <c r="AA50" i="14" s="1"/>
  <c r="AA45" i="14"/>
  <c r="AA46" i="14"/>
  <c r="X53" i="14"/>
  <c r="W53" i="14" s="1"/>
  <c r="AB49" i="14"/>
  <c r="AA49" i="14" s="1"/>
  <c r="W47" i="14"/>
  <c r="AB47" i="14"/>
  <c r="AA47" i="14" s="1"/>
  <c r="O55" i="14"/>
  <c r="T55" i="14"/>
  <c r="W55" i="13"/>
  <c r="AA54" i="13"/>
  <c r="X63" i="13"/>
  <c r="AA56" i="13"/>
  <c r="W57" i="13"/>
  <c r="T65" i="13"/>
  <c r="AA59" i="13"/>
  <c r="AA60" i="13"/>
  <c r="W60" i="13"/>
  <c r="AB46" i="12"/>
  <c r="AA46" i="12" s="1"/>
  <c r="O55" i="12"/>
  <c r="AB49" i="12"/>
  <c r="AA49" i="12" s="1"/>
  <c r="AA50" i="12"/>
  <c r="AB47" i="12"/>
  <c r="AA47" i="12" s="1"/>
  <c r="AB45" i="12"/>
  <c r="AA45" i="12" s="1"/>
  <c r="AA41" i="12"/>
  <c r="W50" i="12"/>
  <c r="W47" i="12"/>
  <c r="W45" i="12"/>
  <c r="W49" i="12"/>
  <c r="X53" i="12"/>
  <c r="AA44" i="12"/>
  <c r="T55" i="12"/>
  <c r="AB47" i="11"/>
  <c r="AA47" i="11" s="1"/>
  <c r="AA41" i="11"/>
  <c r="AB45" i="11"/>
  <c r="AA45" i="11" s="1"/>
  <c r="AB46" i="11"/>
  <c r="AA46" i="11" s="1"/>
  <c r="AB50" i="11"/>
  <c r="AA50" i="11" s="1"/>
  <c r="AA30" i="11"/>
  <c r="X53" i="11"/>
  <c r="T55" i="11"/>
  <c r="S55" i="11" s="1"/>
  <c r="S53" i="11"/>
  <c r="AB49" i="11"/>
  <c r="W49" i="10"/>
  <c r="AA30" i="10"/>
  <c r="W47" i="10"/>
  <c r="T55" i="10"/>
  <c r="S55" i="10" s="1"/>
  <c r="X53" i="10"/>
  <c r="W53" i="10" s="1"/>
  <c r="AB45" i="10"/>
  <c r="AB49" i="10"/>
  <c r="AA49" i="10" s="1"/>
  <c r="AB46" i="10"/>
  <c r="AB50" i="10"/>
  <c r="AA50" i="10" s="1"/>
  <c r="AB47" i="10"/>
  <c r="AA47" i="10" s="1"/>
  <c r="AA13" i="9"/>
  <c r="X96" i="9"/>
  <c r="X15" i="9"/>
  <c r="AA15" i="9" s="1"/>
  <c r="W13" i="9"/>
  <c r="X53" i="9"/>
  <c r="AB53" i="9"/>
  <c r="AB55" i="9" s="1"/>
  <c r="S55" i="9"/>
  <c r="W53" i="9"/>
  <c r="T55" i="9"/>
  <c r="C28" i="5"/>
  <c r="AF70" i="5"/>
  <c r="L70" i="3" s="1"/>
  <c r="P70" i="3" s="1"/>
  <c r="AF71" i="5"/>
  <c r="H71" i="3" s="1"/>
  <c r="L71" i="3" s="1"/>
  <c r="P71" i="3" s="1"/>
  <c r="AF73" i="5"/>
  <c r="L73" i="3" s="1"/>
  <c r="P73" i="3" s="1"/>
  <c r="AF74" i="5"/>
  <c r="H74" i="3" s="1"/>
  <c r="AF75" i="5"/>
  <c r="AF76" i="5"/>
  <c r="L76" i="3" s="1"/>
  <c r="P76" i="3" s="1"/>
  <c r="AF77" i="5"/>
  <c r="P77" i="3" s="1"/>
  <c r="AF78" i="5"/>
  <c r="AF79" i="5"/>
  <c r="P79" i="3" s="1"/>
  <c r="AF80" i="5"/>
  <c r="L80" i="3" s="1"/>
  <c r="P80" i="3" s="1"/>
  <c r="AF81" i="5"/>
  <c r="AF69" i="5"/>
  <c r="AF60" i="5"/>
  <c r="AF61" i="5"/>
  <c r="L61" i="3" s="1"/>
  <c r="AF63" i="5"/>
  <c r="AF65" i="5"/>
  <c r="D65" i="3" s="1"/>
  <c r="AF59" i="5"/>
  <c r="AF48" i="5"/>
  <c r="F41" i="27"/>
  <c r="F41" i="28" s="1"/>
  <c r="U41" i="28" s="1"/>
  <c r="AF34" i="5"/>
  <c r="AF35" i="5"/>
  <c r="AF36" i="5"/>
  <c r="L36" i="3" s="1"/>
  <c r="P36" i="3" s="1"/>
  <c r="AF37" i="5"/>
  <c r="P37" i="3" s="1"/>
  <c r="AF38" i="5"/>
  <c r="AF39" i="5"/>
  <c r="AF27" i="5"/>
  <c r="AF22" i="5"/>
  <c r="L23" i="3" s="1"/>
  <c r="P23" i="3" s="1"/>
  <c r="AF23" i="5"/>
  <c r="L24" i="3" s="1"/>
  <c r="P24" i="3" s="1"/>
  <c r="AF24" i="5"/>
  <c r="AF25" i="5"/>
  <c r="P26" i="3" s="1"/>
  <c r="AF26" i="5"/>
  <c r="AF28" i="5"/>
  <c r="O30" i="5"/>
  <c r="O64" i="5"/>
  <c r="K21" i="5"/>
  <c r="K30" i="5" s="1"/>
  <c r="K64" i="5"/>
  <c r="K62" i="5"/>
  <c r="G72" i="5"/>
  <c r="AF72" i="5" s="1"/>
  <c r="P72" i="3" s="1"/>
  <c r="G33" i="5"/>
  <c r="AF33" i="5" s="1"/>
  <c r="G64" i="5"/>
  <c r="G62" i="5"/>
  <c r="AF62" i="5" s="1"/>
  <c r="Q64" i="5"/>
  <c r="Q62" i="5"/>
  <c r="Q21" i="5"/>
  <c r="Q30" i="5" s="1"/>
  <c r="AC28" i="4"/>
  <c r="Y28" i="4"/>
  <c r="U28" i="4"/>
  <c r="Q28" i="4"/>
  <c r="M28" i="4"/>
  <c r="I28" i="4"/>
  <c r="H28" i="4"/>
  <c r="L28" i="4" s="1"/>
  <c r="O28" i="4" s="1"/>
  <c r="G28" i="4"/>
  <c r="D29" i="6"/>
  <c r="AD26" i="5"/>
  <c r="AE26" i="5"/>
  <c r="AD27" i="5"/>
  <c r="AE27" i="5"/>
  <c r="AD28" i="5"/>
  <c r="AE28" i="5"/>
  <c r="AA30" i="5"/>
  <c r="Y30" i="5"/>
  <c r="W30" i="5"/>
  <c r="U30" i="5"/>
  <c r="S30" i="5"/>
  <c r="M30" i="5"/>
  <c r="I30" i="5"/>
  <c r="G30" i="5"/>
  <c r="E30" i="5"/>
  <c r="C30" i="5"/>
  <c r="C136" i="5"/>
  <c r="C135" i="5"/>
  <c r="C134" i="5"/>
  <c r="C133" i="5"/>
  <c r="C44" i="5" s="1"/>
  <c r="C131" i="5"/>
  <c r="F15" i="22" l="1"/>
  <c r="G12" i="22" s="1"/>
  <c r="G15" i="22" s="1"/>
  <c r="H12" i="22" s="1"/>
  <c r="Q9" i="42"/>
  <c r="R9" i="42" s="1"/>
  <c r="J9" i="42"/>
  <c r="I13" i="42"/>
  <c r="Q13" i="42" s="1"/>
  <c r="R13" i="42" s="1"/>
  <c r="W9" i="28"/>
  <c r="O9" i="28"/>
  <c r="P9" i="28" s="1"/>
  <c r="H78" i="36"/>
  <c r="J9" i="26"/>
  <c r="I13" i="26"/>
  <c r="I9" i="28"/>
  <c r="J5" i="27"/>
  <c r="I5" i="28"/>
  <c r="O13" i="20"/>
  <c r="L92" i="20"/>
  <c r="O11" i="33"/>
  <c r="P13" i="33"/>
  <c r="S11" i="33"/>
  <c r="Q11" i="33"/>
  <c r="Q11" i="20"/>
  <c r="P13" i="20"/>
  <c r="O11" i="20"/>
  <c r="K28" i="4"/>
  <c r="X10" i="27"/>
  <c r="J9" i="27"/>
  <c r="K9" i="27" s="1"/>
  <c r="L9" i="27" s="1"/>
  <c r="S9" i="20"/>
  <c r="X9" i="20"/>
  <c r="T11" i="20"/>
  <c r="H13" i="22"/>
  <c r="I13" i="22" s="1"/>
  <c r="J13" i="22" s="1"/>
  <c r="X9" i="13"/>
  <c r="W9" i="13"/>
  <c r="L96" i="33"/>
  <c r="L97" i="33" s="1"/>
  <c r="O13" i="33"/>
  <c r="L85" i="33"/>
  <c r="L115" i="13"/>
  <c r="L116" i="13" s="1"/>
  <c r="L117" i="13" s="1"/>
  <c r="K16" i="13"/>
  <c r="K104" i="13"/>
  <c r="K14" i="13"/>
  <c r="M14" i="13"/>
  <c r="P16" i="13"/>
  <c r="O16" i="13" s="1"/>
  <c r="Q65" i="13"/>
  <c r="H11" i="28"/>
  <c r="AA55" i="40"/>
  <c r="AA55" i="39"/>
  <c r="O65" i="13"/>
  <c r="H35" i="36"/>
  <c r="I11" i="27"/>
  <c r="Q11" i="27" s="1"/>
  <c r="R11" i="27" s="1"/>
  <c r="AF21" i="5"/>
  <c r="L22" i="3" s="1"/>
  <c r="AF64" i="5"/>
  <c r="L18" i="13"/>
  <c r="L106" i="13"/>
  <c r="K106" i="13" s="1"/>
  <c r="AB98" i="33"/>
  <c r="W59" i="32"/>
  <c r="AA59" i="32"/>
  <c r="W57" i="34"/>
  <c r="AA57" i="34"/>
  <c r="W65" i="30"/>
  <c r="X98" i="30"/>
  <c r="AA65" i="30"/>
  <c r="AB111" i="30"/>
  <c r="AB100" i="30"/>
  <c r="W94" i="31"/>
  <c r="AA94" i="31"/>
  <c r="X170" i="31"/>
  <c r="AA45" i="33"/>
  <c r="X85" i="33"/>
  <c r="T11" i="13"/>
  <c r="H36" i="36"/>
  <c r="O10" i="13"/>
  <c r="P28" i="4"/>
  <c r="T28" i="4" s="1"/>
  <c r="F38" i="27"/>
  <c r="F38" i="28" s="1"/>
  <c r="U38" i="28" s="1"/>
  <c r="G13" i="15"/>
  <c r="AB13" i="15" s="1"/>
  <c r="H96" i="15"/>
  <c r="K13" i="15"/>
  <c r="AA55" i="25"/>
  <c r="W55" i="19"/>
  <c r="AA55" i="19"/>
  <c r="S15" i="15"/>
  <c r="W15" i="15"/>
  <c r="AA55" i="17"/>
  <c r="X13" i="23"/>
  <c r="W55" i="23"/>
  <c r="AA55" i="23"/>
  <c r="AA55" i="18"/>
  <c r="W55" i="15"/>
  <c r="AA55" i="15"/>
  <c r="AA55" i="24"/>
  <c r="AB98" i="23"/>
  <c r="AB10" i="23" s="1"/>
  <c r="AB11" i="23" s="1"/>
  <c r="AB109" i="23"/>
  <c r="AB110" i="23" s="1"/>
  <c r="AA55" i="21"/>
  <c r="H15" i="15"/>
  <c r="S13" i="15"/>
  <c r="W13" i="15"/>
  <c r="T96" i="15"/>
  <c r="T10" i="13"/>
  <c r="P14" i="13"/>
  <c r="Q14" i="13" s="1"/>
  <c r="AB114" i="13"/>
  <c r="S65" i="13"/>
  <c r="T16" i="13"/>
  <c r="W63" i="13"/>
  <c r="X114" i="13"/>
  <c r="AB16" i="13"/>
  <c r="W53" i="12"/>
  <c r="AB53" i="14"/>
  <c r="AB55" i="14" s="1"/>
  <c r="X55" i="14"/>
  <c r="W55" i="14" s="1"/>
  <c r="S55" i="14"/>
  <c r="X65" i="13"/>
  <c r="X16" i="13" s="1"/>
  <c r="AA63" i="13"/>
  <c r="S55" i="12"/>
  <c r="AB53" i="12"/>
  <c r="X55" i="12"/>
  <c r="AB53" i="11"/>
  <c r="AB55" i="11" s="1"/>
  <c r="AA49" i="11"/>
  <c r="X55" i="11"/>
  <c r="W55" i="11" s="1"/>
  <c r="W53" i="11"/>
  <c r="AB53" i="10"/>
  <c r="X55" i="10"/>
  <c r="W55" i="10" s="1"/>
  <c r="W15" i="9"/>
  <c r="AA53" i="9"/>
  <c r="X55" i="9"/>
  <c r="W55" i="9"/>
  <c r="AF41" i="5"/>
  <c r="AF82" i="5"/>
  <c r="W28" i="4"/>
  <c r="X28" i="4"/>
  <c r="C137" i="5"/>
  <c r="Q149" i="5"/>
  <c r="Q148" i="5"/>
  <c r="Q147" i="5"/>
  <c r="Q146" i="5"/>
  <c r="Q145" i="5"/>
  <c r="Q142" i="5"/>
  <c r="Q141" i="5"/>
  <c r="Q49" i="5" s="1"/>
  <c r="Q140" i="5"/>
  <c r="Q139" i="5"/>
  <c r="Q44" i="5" s="1"/>
  <c r="J13" i="42" l="1"/>
  <c r="K9" i="42"/>
  <c r="X5" i="28"/>
  <c r="X9" i="28"/>
  <c r="Q9" i="28"/>
  <c r="R9" i="28" s="1"/>
  <c r="W11" i="28"/>
  <c r="O11" i="28"/>
  <c r="P11" i="28" s="1"/>
  <c r="W9" i="20"/>
  <c r="AB9" i="20"/>
  <c r="AB11" i="20" s="1"/>
  <c r="X11" i="20"/>
  <c r="W11" i="20" s="1"/>
  <c r="S13" i="33"/>
  <c r="P96" i="33"/>
  <c r="P97" i="33" s="1"/>
  <c r="P85" i="33"/>
  <c r="O85" i="33" s="1"/>
  <c r="K9" i="26"/>
  <c r="J13" i="26"/>
  <c r="J9" i="28"/>
  <c r="M85" i="33"/>
  <c r="L98" i="33"/>
  <c r="K85" i="33"/>
  <c r="L87" i="33"/>
  <c r="AB9" i="13"/>
  <c r="AA9" i="13" s="1"/>
  <c r="K5" i="27"/>
  <c r="J5" i="28"/>
  <c r="S28" i="4"/>
  <c r="S13" i="20"/>
  <c r="P92" i="20"/>
  <c r="I15" i="15"/>
  <c r="M15" i="15"/>
  <c r="S11" i="20"/>
  <c r="T13" i="20"/>
  <c r="P22" i="3"/>
  <c r="K18" i="13"/>
  <c r="M18" i="13"/>
  <c r="P104" i="13"/>
  <c r="H72" i="36"/>
  <c r="H79" i="36" s="1"/>
  <c r="P115" i="13"/>
  <c r="P116" i="13" s="1"/>
  <c r="AF30" i="5"/>
  <c r="AF66" i="5"/>
  <c r="X98" i="33"/>
  <c r="W85" i="33"/>
  <c r="AA85" i="33"/>
  <c r="X87" i="33"/>
  <c r="W98" i="30"/>
  <c r="AA98" i="30"/>
  <c r="X100" i="30"/>
  <c r="X111" i="30"/>
  <c r="W170" i="31"/>
  <c r="AA170" i="31"/>
  <c r="X172" i="31"/>
  <c r="J11" i="27"/>
  <c r="I11" i="28"/>
  <c r="AB111" i="23"/>
  <c r="X109" i="23"/>
  <c r="X110" i="23" s="1"/>
  <c r="X98" i="23"/>
  <c r="AA13" i="23"/>
  <c r="O14" i="13"/>
  <c r="P18" i="13"/>
  <c r="AB100" i="23"/>
  <c r="AB15" i="23"/>
  <c r="T14" i="13"/>
  <c r="T18" i="13" s="1"/>
  <c r="AB96" i="15"/>
  <c r="AB15" i="15"/>
  <c r="G15" i="15"/>
  <c r="K15" i="15"/>
  <c r="X115" i="13"/>
  <c r="X116" i="13" s="1"/>
  <c r="AA16" i="13"/>
  <c r="AB115" i="13"/>
  <c r="AB116" i="13" s="1"/>
  <c r="T115" i="13"/>
  <c r="T116" i="13" s="1"/>
  <c r="W16" i="13"/>
  <c r="S16" i="13"/>
  <c r="T104" i="13"/>
  <c r="AB104" i="13"/>
  <c r="AA53" i="14"/>
  <c r="AA55" i="14"/>
  <c r="AA65" i="13"/>
  <c r="X104" i="13"/>
  <c r="W65" i="13"/>
  <c r="W55" i="12"/>
  <c r="AB55" i="12"/>
  <c r="AA53" i="12"/>
  <c r="AA53" i="11"/>
  <c r="AA55" i="11"/>
  <c r="AB55" i="10"/>
  <c r="AA53" i="10"/>
  <c r="AA55" i="9"/>
  <c r="AB28" i="4"/>
  <c r="AA28" i="4"/>
  <c r="Q153" i="5"/>
  <c r="O142" i="5"/>
  <c r="O50" i="5" s="1"/>
  <c r="O141" i="5"/>
  <c r="O49" i="5" s="1"/>
  <c r="O140" i="5"/>
  <c r="O139" i="5"/>
  <c r="O44" i="5" s="1"/>
  <c r="K142" i="5"/>
  <c r="K50" i="5" s="1"/>
  <c r="K141" i="5"/>
  <c r="K49" i="5" s="1"/>
  <c r="K140" i="5"/>
  <c r="K47" i="5" s="1"/>
  <c r="K139" i="5"/>
  <c r="K44" i="5" s="1"/>
  <c r="G142" i="5"/>
  <c r="G141" i="5"/>
  <c r="G140" i="5"/>
  <c r="O149" i="5"/>
  <c r="O148" i="5"/>
  <c r="O147" i="5"/>
  <c r="O146" i="5"/>
  <c r="O145" i="5"/>
  <c r="K149" i="5"/>
  <c r="K148" i="5"/>
  <c r="K147" i="5"/>
  <c r="K146" i="5"/>
  <c r="K145" i="5"/>
  <c r="G149" i="5"/>
  <c r="G148" i="5"/>
  <c r="G147" i="5"/>
  <c r="G146" i="5"/>
  <c r="G46" i="5" s="1"/>
  <c r="G145" i="5"/>
  <c r="G45" i="5" s="1"/>
  <c r="G139" i="5"/>
  <c r="G44" i="5" s="1"/>
  <c r="M21" i="7"/>
  <c r="T68" i="6"/>
  <c r="X68" i="6" s="1"/>
  <c r="L9" i="42" l="1"/>
  <c r="L13" i="42" s="1"/>
  <c r="K13" i="42"/>
  <c r="X11" i="28"/>
  <c r="Q11" i="28"/>
  <c r="R11" i="28" s="1"/>
  <c r="AB13" i="20"/>
  <c r="AB92" i="20" s="1"/>
  <c r="T92" i="20"/>
  <c r="W13" i="20"/>
  <c r="L5" i="27"/>
  <c r="L5" i="28" s="1"/>
  <c r="K5" i="28"/>
  <c r="K87" i="33"/>
  <c r="L9" i="26"/>
  <c r="K13" i="26"/>
  <c r="K9" i="28"/>
  <c r="AA9" i="20"/>
  <c r="T15" i="20"/>
  <c r="Q85" i="33"/>
  <c r="S85" i="33"/>
  <c r="P98" i="33"/>
  <c r="P87" i="33"/>
  <c r="S87" i="33" s="1"/>
  <c r="AA11" i="20"/>
  <c r="X13" i="20"/>
  <c r="X15" i="20" s="1"/>
  <c r="O18" i="13"/>
  <c r="Q18" i="13"/>
  <c r="P106" i="13"/>
  <c r="O106" i="13" s="1"/>
  <c r="Q104" i="13"/>
  <c r="O104" i="13"/>
  <c r="S104" i="13"/>
  <c r="P117" i="13"/>
  <c r="AA172" i="31"/>
  <c r="W172" i="31"/>
  <c r="AA87" i="33"/>
  <c r="W87" i="33"/>
  <c r="W100" i="30"/>
  <c r="AA100" i="30"/>
  <c r="K11" i="27"/>
  <c r="J11" i="28"/>
  <c r="AA98" i="23"/>
  <c r="W98" i="23"/>
  <c r="X10" i="23"/>
  <c r="S14" i="13"/>
  <c r="X111" i="23"/>
  <c r="T106" i="13"/>
  <c r="W104" i="13"/>
  <c r="T117" i="13"/>
  <c r="AB117" i="13"/>
  <c r="S18" i="13"/>
  <c r="X117" i="13"/>
  <c r="AA104" i="13"/>
  <c r="AA55" i="12"/>
  <c r="AA55" i="10"/>
  <c r="G49" i="5"/>
  <c r="O152" i="5"/>
  <c r="O151" i="5"/>
  <c r="O131" i="5"/>
  <c r="K131" i="5"/>
  <c r="G131" i="5"/>
  <c r="S106" i="13" l="1"/>
  <c r="W15" i="20"/>
  <c r="X92" i="20"/>
  <c r="AA13" i="20"/>
  <c r="L13" i="26"/>
  <c r="L9" i="28"/>
  <c r="O87" i="33"/>
  <c r="AB15" i="20"/>
  <c r="AA15" i="20" s="1"/>
  <c r="L11" i="27"/>
  <c r="L11" i="28" s="1"/>
  <c r="K11" i="28"/>
  <c r="AA10" i="23"/>
  <c r="X11" i="23"/>
  <c r="W10" i="23"/>
  <c r="O153" i="5"/>
  <c r="O155" i="5" s="1"/>
  <c r="G153" i="5"/>
  <c r="G155" i="5" s="1"/>
  <c r="K153" i="5"/>
  <c r="K155" i="5" s="1"/>
  <c r="X100" i="23" l="1"/>
  <c r="AA100" i="23" s="1"/>
  <c r="AA11" i="23"/>
  <c r="X15" i="23"/>
  <c r="W11" i="23"/>
  <c r="Q131" i="5"/>
  <c r="AA15" i="23" l="1"/>
  <c r="W15" i="23"/>
  <c r="Q155" i="5"/>
  <c r="G62" i="7" l="1"/>
  <c r="AC81" i="7"/>
  <c r="Y81" i="7"/>
  <c r="U81" i="7"/>
  <c r="Q81" i="7"/>
  <c r="M81" i="7"/>
  <c r="I81" i="7"/>
  <c r="AC80" i="7"/>
  <c r="Y80" i="7"/>
  <c r="U80" i="7"/>
  <c r="Q80" i="7"/>
  <c r="M80" i="7"/>
  <c r="I80" i="7"/>
  <c r="H80" i="7" s="1"/>
  <c r="G80" i="7"/>
  <c r="AC79" i="7"/>
  <c r="Y79" i="7"/>
  <c r="U79" i="7"/>
  <c r="Q79" i="7"/>
  <c r="M79" i="7"/>
  <c r="I79" i="7"/>
  <c r="H79" i="7" s="1"/>
  <c r="G79" i="7"/>
  <c r="AC78" i="7"/>
  <c r="Y78" i="7"/>
  <c r="U78" i="7"/>
  <c r="Q78" i="7"/>
  <c r="M78" i="7"/>
  <c r="I78" i="7"/>
  <c r="H78" i="7" s="1"/>
  <c r="G78" i="7"/>
  <c r="AC77" i="7"/>
  <c r="Y77" i="7"/>
  <c r="U77" i="7"/>
  <c r="Q77" i="7"/>
  <c r="M77" i="7"/>
  <c r="I77" i="7"/>
  <c r="H77" i="7" s="1"/>
  <c r="G77" i="7"/>
  <c r="AC76" i="7"/>
  <c r="Y76" i="7"/>
  <c r="U76" i="7"/>
  <c r="Q76" i="7"/>
  <c r="M76" i="7"/>
  <c r="I76" i="7"/>
  <c r="H76" i="7" s="1"/>
  <c r="G76" i="7"/>
  <c r="AC75" i="7"/>
  <c r="Y75" i="7"/>
  <c r="U75" i="7"/>
  <c r="Q75" i="7"/>
  <c r="M75" i="7"/>
  <c r="I75" i="7"/>
  <c r="H75" i="7" s="1"/>
  <c r="G75" i="7"/>
  <c r="AC74" i="7"/>
  <c r="Y74" i="7"/>
  <c r="U74" i="7"/>
  <c r="Q74" i="7"/>
  <c r="M74" i="7"/>
  <c r="I74" i="7"/>
  <c r="H74" i="7" s="1"/>
  <c r="G74" i="7"/>
  <c r="AC73" i="7"/>
  <c r="Y73" i="7"/>
  <c r="U73" i="7"/>
  <c r="Q73" i="7"/>
  <c r="M73" i="7"/>
  <c r="I73" i="7"/>
  <c r="H73" i="7" s="1"/>
  <c r="G73" i="7"/>
  <c r="AC72" i="7"/>
  <c r="Y72" i="7"/>
  <c r="U72" i="7"/>
  <c r="Q72" i="7"/>
  <c r="M72" i="7"/>
  <c r="I72" i="7"/>
  <c r="H72" i="7" s="1"/>
  <c r="G72" i="7"/>
  <c r="AC71" i="7"/>
  <c r="Y71" i="7"/>
  <c r="U71" i="7"/>
  <c r="Q71" i="7"/>
  <c r="M71" i="7"/>
  <c r="I71" i="7"/>
  <c r="H71" i="7" s="1"/>
  <c r="G71" i="7"/>
  <c r="AC70" i="7"/>
  <c r="Y70" i="7"/>
  <c r="U70" i="7"/>
  <c r="Q70" i="7"/>
  <c r="M70" i="7"/>
  <c r="I70" i="7"/>
  <c r="H70" i="7" s="1"/>
  <c r="G70" i="7"/>
  <c r="AC69" i="7"/>
  <c r="Y69" i="7"/>
  <c r="U69" i="7"/>
  <c r="D66" i="7"/>
  <c r="AC65" i="7"/>
  <c r="Y65" i="7"/>
  <c r="U65" i="7"/>
  <c r="Q65" i="7"/>
  <c r="M65" i="7"/>
  <c r="I65" i="7"/>
  <c r="H65" i="7" s="1"/>
  <c r="G65" i="7"/>
  <c r="AC64" i="7"/>
  <c r="Y64" i="7"/>
  <c r="U64" i="7"/>
  <c r="Q64" i="7"/>
  <c r="M64" i="7"/>
  <c r="I64" i="7"/>
  <c r="H64" i="7" s="1"/>
  <c r="K64" i="7" s="1"/>
  <c r="G64" i="7"/>
  <c r="AC63" i="7"/>
  <c r="Y63" i="7"/>
  <c r="U63" i="7"/>
  <c r="Q63" i="7"/>
  <c r="M63" i="7"/>
  <c r="I63" i="7"/>
  <c r="H63" i="7" s="1"/>
  <c r="G63" i="7"/>
  <c r="AC62" i="7"/>
  <c r="Y62" i="7"/>
  <c r="U62" i="7"/>
  <c r="Q62" i="7"/>
  <c r="M62" i="7"/>
  <c r="AC61" i="7"/>
  <c r="Y61" i="7"/>
  <c r="U61" i="7"/>
  <c r="Q61" i="7"/>
  <c r="M61" i="7"/>
  <c r="I61" i="7"/>
  <c r="H61" i="7" s="1"/>
  <c r="G61" i="7"/>
  <c r="AC60" i="7"/>
  <c r="Y60" i="7"/>
  <c r="U60" i="7"/>
  <c r="Q60" i="7"/>
  <c r="M60" i="7"/>
  <c r="I60" i="7"/>
  <c r="H60" i="7" s="1"/>
  <c r="K60" i="7" s="1"/>
  <c r="G60" i="7"/>
  <c r="AC59" i="7"/>
  <c r="Y59" i="7"/>
  <c r="U59" i="7"/>
  <c r="Q59" i="7"/>
  <c r="M59" i="7"/>
  <c r="I59" i="7"/>
  <c r="H59" i="7" s="1"/>
  <c r="K59" i="7" s="1"/>
  <c r="G59" i="7"/>
  <c r="D53" i="7"/>
  <c r="AC50" i="7"/>
  <c r="Y50" i="7"/>
  <c r="U50" i="7"/>
  <c r="Q50" i="7"/>
  <c r="M50" i="7"/>
  <c r="I50" i="7"/>
  <c r="AC49" i="7"/>
  <c r="Y49" i="7"/>
  <c r="U49" i="7"/>
  <c r="Q49" i="7"/>
  <c r="M49" i="7"/>
  <c r="I49" i="7"/>
  <c r="AC48" i="7"/>
  <c r="Y48" i="7"/>
  <c r="U48" i="7"/>
  <c r="Q48" i="7"/>
  <c r="M48" i="7"/>
  <c r="L48" i="7" s="1"/>
  <c r="G48" i="7"/>
  <c r="AC47" i="7"/>
  <c r="Y47" i="7"/>
  <c r="U47" i="7"/>
  <c r="Q47" i="7"/>
  <c r="M47" i="7"/>
  <c r="I47" i="7"/>
  <c r="AC46" i="7"/>
  <c r="Y46" i="7"/>
  <c r="U46" i="7"/>
  <c r="Q46" i="7"/>
  <c r="M46" i="7"/>
  <c r="L46" i="7" s="1"/>
  <c r="I46" i="7"/>
  <c r="G46" i="7"/>
  <c r="AC45" i="7"/>
  <c r="Y45" i="7"/>
  <c r="U45" i="7"/>
  <c r="Q45" i="7"/>
  <c r="M45" i="7"/>
  <c r="L45" i="7" s="1"/>
  <c r="G45" i="7"/>
  <c r="Y44" i="7"/>
  <c r="U44" i="7"/>
  <c r="Q44" i="7"/>
  <c r="M44" i="7"/>
  <c r="I44" i="7"/>
  <c r="D41" i="7"/>
  <c r="G41" i="7" s="1"/>
  <c r="AC39" i="7"/>
  <c r="Y39" i="7"/>
  <c r="U39" i="7"/>
  <c r="Q39" i="7"/>
  <c r="M39" i="7"/>
  <c r="I39" i="7"/>
  <c r="H39" i="7"/>
  <c r="L39" i="7" s="1"/>
  <c r="P39" i="7" s="1"/>
  <c r="T39" i="7" s="1"/>
  <c r="G39" i="7"/>
  <c r="AC38" i="7"/>
  <c r="Y38" i="7"/>
  <c r="U38" i="7"/>
  <c r="Q38" i="7"/>
  <c r="M38" i="7"/>
  <c r="I38" i="7"/>
  <c r="H38" i="7"/>
  <c r="L38" i="7" s="1"/>
  <c r="G38" i="7"/>
  <c r="AC37" i="7"/>
  <c r="Y37" i="7"/>
  <c r="U37" i="7"/>
  <c r="Q37" i="7"/>
  <c r="M37" i="7"/>
  <c r="I37" i="7"/>
  <c r="H37" i="7"/>
  <c r="K37" i="7" s="1"/>
  <c r="G37" i="7"/>
  <c r="AC36" i="7"/>
  <c r="Y36" i="7"/>
  <c r="U36" i="7"/>
  <c r="Q36" i="7"/>
  <c r="M36" i="7"/>
  <c r="I36" i="7"/>
  <c r="H36" i="7"/>
  <c r="L36" i="7" s="1"/>
  <c r="G36" i="7"/>
  <c r="AC35" i="7"/>
  <c r="Y35" i="7"/>
  <c r="U35" i="7"/>
  <c r="Q35" i="7"/>
  <c r="M35" i="7"/>
  <c r="L35" i="7"/>
  <c r="O35" i="7" s="1"/>
  <c r="I35" i="7"/>
  <c r="H35" i="7"/>
  <c r="K35" i="7" s="1"/>
  <c r="G35" i="7"/>
  <c r="AC34" i="7"/>
  <c r="Y34" i="7"/>
  <c r="U34" i="7"/>
  <c r="Q34" i="7"/>
  <c r="M34" i="7"/>
  <c r="I34" i="7"/>
  <c r="H34" i="7"/>
  <c r="L34" i="7" s="1"/>
  <c r="G34" i="7"/>
  <c r="AC33" i="7"/>
  <c r="Y33" i="7"/>
  <c r="U33" i="7"/>
  <c r="Q33" i="7"/>
  <c r="M33" i="7"/>
  <c r="I33" i="7"/>
  <c r="H33" i="7"/>
  <c r="L33" i="7" s="1"/>
  <c r="P33" i="7" s="1"/>
  <c r="G33" i="7"/>
  <c r="D30" i="7"/>
  <c r="AC28" i="7"/>
  <c r="Y28" i="7"/>
  <c r="U28" i="7"/>
  <c r="Q28" i="7"/>
  <c r="M28" i="7"/>
  <c r="I28" i="7"/>
  <c r="H28" i="7"/>
  <c r="K28" i="7" s="1"/>
  <c r="G28" i="7"/>
  <c r="AC27" i="7"/>
  <c r="Y27" i="7"/>
  <c r="U27" i="7"/>
  <c r="Q27" i="7"/>
  <c r="M27" i="7"/>
  <c r="I27" i="7"/>
  <c r="H27" i="7"/>
  <c r="L27" i="7" s="1"/>
  <c r="G27" i="7"/>
  <c r="AC26" i="7"/>
  <c r="Y26" i="7"/>
  <c r="U26" i="7"/>
  <c r="Q26" i="7"/>
  <c r="M26" i="7"/>
  <c r="I26" i="7"/>
  <c r="H26" i="7"/>
  <c r="G26" i="7"/>
  <c r="AC25" i="7"/>
  <c r="Y25" i="7"/>
  <c r="U25" i="7"/>
  <c r="Q25" i="7"/>
  <c r="M25" i="7"/>
  <c r="I25" i="7"/>
  <c r="H25" i="7"/>
  <c r="H30" i="7" s="1"/>
  <c r="G25" i="7"/>
  <c r="AC24" i="7"/>
  <c r="Y24" i="7"/>
  <c r="U24" i="7"/>
  <c r="Q24" i="7"/>
  <c r="M24" i="7"/>
  <c r="L24" i="7"/>
  <c r="P24" i="7" s="1"/>
  <c r="T24" i="7" s="1"/>
  <c r="K24" i="7"/>
  <c r="I24" i="7"/>
  <c r="G24" i="7"/>
  <c r="AC23" i="7"/>
  <c r="Y23" i="7"/>
  <c r="U23" i="7"/>
  <c r="T23" i="7"/>
  <c r="K23" i="7"/>
  <c r="AC21" i="7"/>
  <c r="Y21" i="7"/>
  <c r="U21" i="7"/>
  <c r="Q21" i="7"/>
  <c r="D11" i="7"/>
  <c r="AB10" i="7"/>
  <c r="X10" i="7"/>
  <c r="AA10" i="7" s="1"/>
  <c r="T10" i="7"/>
  <c r="W10" i="7" s="1"/>
  <c r="K10" i="7"/>
  <c r="G10" i="7"/>
  <c r="G9" i="7"/>
  <c r="L6" i="7"/>
  <c r="P6" i="7" s="1"/>
  <c r="T6" i="7" s="1"/>
  <c r="X6" i="7" s="1"/>
  <c r="AB6" i="7" s="1"/>
  <c r="H6" i="7"/>
  <c r="D13" i="7" l="1"/>
  <c r="L25" i="7"/>
  <c r="O25" i="7" s="1"/>
  <c r="K33" i="7"/>
  <c r="K27" i="7"/>
  <c r="I30" i="7"/>
  <c r="S10" i="7"/>
  <c r="H15" i="36"/>
  <c r="O10" i="7"/>
  <c r="G15" i="36"/>
  <c r="H8" i="27"/>
  <c r="F36" i="2" s="1"/>
  <c r="F41" i="2" s="1"/>
  <c r="H41" i="7"/>
  <c r="K25" i="7"/>
  <c r="L37" i="7"/>
  <c r="L41" i="7" s="1"/>
  <c r="K39" i="7"/>
  <c r="P35" i="7"/>
  <c r="T35" i="7" s="1"/>
  <c r="G14" i="36"/>
  <c r="O24" i="7"/>
  <c r="O33" i="7"/>
  <c r="O39" i="7"/>
  <c r="O23" i="7"/>
  <c r="L65" i="7"/>
  <c r="P65" i="7" s="1"/>
  <c r="P48" i="7"/>
  <c r="O48" i="7" s="1"/>
  <c r="L63" i="7"/>
  <c r="O63" i="7" s="1"/>
  <c r="L61" i="7"/>
  <c r="P61" i="7" s="1"/>
  <c r="X23" i="7"/>
  <c r="W23" i="7" s="1"/>
  <c r="W24" i="7"/>
  <c r="X24" i="7"/>
  <c r="L11" i="7"/>
  <c r="S24" i="7"/>
  <c r="P25" i="7"/>
  <c r="P27" i="7"/>
  <c r="O27" i="7"/>
  <c r="O34" i="7"/>
  <c r="P34" i="7"/>
  <c r="O36" i="7"/>
  <c r="P36" i="7"/>
  <c r="O38" i="7"/>
  <c r="P38" i="7"/>
  <c r="K9" i="7"/>
  <c r="H11" i="7"/>
  <c r="D96" i="7"/>
  <c r="L21" i="7"/>
  <c r="G21" i="7"/>
  <c r="K26" i="7"/>
  <c r="L26" i="7"/>
  <c r="T33" i="7"/>
  <c r="S33" i="7"/>
  <c r="W35" i="7"/>
  <c r="X35" i="7"/>
  <c r="W39" i="7"/>
  <c r="X39" i="7"/>
  <c r="S23" i="7"/>
  <c r="K46" i="7"/>
  <c r="K45" i="7"/>
  <c r="K41" i="7"/>
  <c r="D55" i="7"/>
  <c r="L28" i="7"/>
  <c r="K34" i="7"/>
  <c r="S35" i="7"/>
  <c r="K36" i="7"/>
  <c r="K38" i="7"/>
  <c r="S39" i="7"/>
  <c r="L70" i="7"/>
  <c r="K70" i="7"/>
  <c r="L74" i="7"/>
  <c r="K74" i="7"/>
  <c r="L78" i="7"/>
  <c r="K78" i="7"/>
  <c r="K48" i="7"/>
  <c r="K69" i="7"/>
  <c r="G69" i="7"/>
  <c r="L73" i="7"/>
  <c r="K73" i="7"/>
  <c r="L77" i="7"/>
  <c r="K77" i="7"/>
  <c r="H66" i="7"/>
  <c r="I66" i="7" s="1"/>
  <c r="L59" i="7"/>
  <c r="L72" i="7"/>
  <c r="K72" i="7"/>
  <c r="L76" i="7"/>
  <c r="K76" i="7"/>
  <c r="L80" i="7"/>
  <c r="K80" i="7"/>
  <c r="L71" i="7"/>
  <c r="K71" i="7"/>
  <c r="L75" i="7"/>
  <c r="K75" i="7"/>
  <c r="L79" i="7"/>
  <c r="K79" i="7"/>
  <c r="L60" i="7"/>
  <c r="L62" i="7"/>
  <c r="K62" i="7" s="1"/>
  <c r="L64" i="7"/>
  <c r="K61" i="7"/>
  <c r="K63" i="7"/>
  <c r="K65" i="7"/>
  <c r="AF10" i="5"/>
  <c r="M11" i="7" l="1"/>
  <c r="H8" i="28"/>
  <c r="H13" i="7"/>
  <c r="H96" i="7" s="1"/>
  <c r="I11" i="7"/>
  <c r="L13" i="7"/>
  <c r="O46" i="7"/>
  <c r="O41" i="7"/>
  <c r="O45" i="7"/>
  <c r="O37" i="7"/>
  <c r="P37" i="7"/>
  <c r="P41" i="7" s="1"/>
  <c r="O9" i="7"/>
  <c r="H14" i="36"/>
  <c r="P21" i="7"/>
  <c r="L30" i="7"/>
  <c r="G49" i="7"/>
  <c r="T48" i="7"/>
  <c r="S48" i="7" s="1"/>
  <c r="O65" i="7"/>
  <c r="O61" i="7"/>
  <c r="P63" i="7"/>
  <c r="S63" i="7" s="1"/>
  <c r="G66" i="7"/>
  <c r="P64" i="7"/>
  <c r="O64" i="7"/>
  <c r="O71" i="7"/>
  <c r="P71" i="7"/>
  <c r="S61" i="7"/>
  <c r="T61" i="7"/>
  <c r="P26" i="7"/>
  <c r="O26" i="7"/>
  <c r="P62" i="7"/>
  <c r="O62" i="7" s="1"/>
  <c r="P76" i="7"/>
  <c r="O76" i="7"/>
  <c r="O77" i="7"/>
  <c r="P77" i="7"/>
  <c r="AB35" i="7"/>
  <c r="AA35" i="7"/>
  <c r="P60" i="7"/>
  <c r="O60" i="7"/>
  <c r="O75" i="7"/>
  <c r="P75" i="7"/>
  <c r="O69" i="7"/>
  <c r="P78" i="7"/>
  <c r="O78" i="7"/>
  <c r="P70" i="7"/>
  <c r="O70" i="7"/>
  <c r="P28" i="7"/>
  <c r="O28" i="7"/>
  <c r="G30" i="7"/>
  <c r="W33" i="7"/>
  <c r="X33" i="7"/>
  <c r="K11" i="7"/>
  <c r="T36" i="7"/>
  <c r="S36" i="7"/>
  <c r="G11" i="7"/>
  <c r="O79" i="7"/>
  <c r="P79" i="7"/>
  <c r="L66" i="7"/>
  <c r="O59" i="7"/>
  <c r="P59" i="7"/>
  <c r="P74" i="7"/>
  <c r="O74" i="7"/>
  <c r="P80" i="7"/>
  <c r="O80" i="7"/>
  <c r="P72" i="7"/>
  <c r="O72" i="7"/>
  <c r="O73" i="7"/>
  <c r="P73" i="7"/>
  <c r="D15" i="7"/>
  <c r="K21" i="7"/>
  <c r="O21" i="7"/>
  <c r="S27" i="7"/>
  <c r="T27" i="7"/>
  <c r="T9" i="7"/>
  <c r="S9" i="7" s="1"/>
  <c r="P11" i="7"/>
  <c r="Q11" i="7" s="1"/>
  <c r="AB23" i="7"/>
  <c r="AA23" i="7" s="1"/>
  <c r="S65" i="7"/>
  <c r="T65" i="7"/>
  <c r="AB39" i="7"/>
  <c r="AA39" i="7"/>
  <c r="T38" i="7"/>
  <c r="S38" i="7"/>
  <c r="T34" i="7"/>
  <c r="S34" i="7"/>
  <c r="S25" i="7"/>
  <c r="T25" i="7"/>
  <c r="AA24" i="7"/>
  <c r="AB24" i="7"/>
  <c r="W8" i="28" l="1"/>
  <c r="L49" i="7"/>
  <c r="L44" i="7"/>
  <c r="K44" i="7" s="1"/>
  <c r="L47" i="7"/>
  <c r="L50" i="7"/>
  <c r="S41" i="7"/>
  <c r="P45" i="7"/>
  <c r="S45" i="7" s="1"/>
  <c r="P46" i="7"/>
  <c r="S46" i="7" s="1"/>
  <c r="M30" i="7"/>
  <c r="K66" i="7"/>
  <c r="M66" i="7"/>
  <c r="O11" i="7"/>
  <c r="P13" i="7"/>
  <c r="K30" i="7"/>
  <c r="T37" i="7"/>
  <c r="S37" i="7"/>
  <c r="L15" i="7"/>
  <c r="L96" i="7"/>
  <c r="X48" i="7"/>
  <c r="W48" i="7" s="1"/>
  <c r="T63" i="7"/>
  <c r="X63" i="7" s="1"/>
  <c r="X25" i="7"/>
  <c r="W25" i="7"/>
  <c r="X65" i="7"/>
  <c r="W65" i="7"/>
  <c r="T79" i="7"/>
  <c r="S79" i="7"/>
  <c r="X38" i="7"/>
  <c r="W38" i="7"/>
  <c r="T73" i="7"/>
  <c r="S73" i="7"/>
  <c r="K13" i="7"/>
  <c r="S28" i="7"/>
  <c r="T28" i="7"/>
  <c r="T78" i="7"/>
  <c r="S78" i="7"/>
  <c r="T75" i="7"/>
  <c r="S75" i="7"/>
  <c r="G13" i="7"/>
  <c r="T77" i="7"/>
  <c r="S77" i="7"/>
  <c r="K50" i="7"/>
  <c r="K47" i="7"/>
  <c r="T1" i="7"/>
  <c r="X36" i="7"/>
  <c r="W36" i="7"/>
  <c r="T69" i="7"/>
  <c r="T62" i="7"/>
  <c r="S62" i="7" s="1"/>
  <c r="T64" i="7"/>
  <c r="S64" i="7"/>
  <c r="X34" i="7"/>
  <c r="W34" i="7"/>
  <c r="H53" i="7"/>
  <c r="G44" i="7"/>
  <c r="X9" i="7"/>
  <c r="T11" i="7"/>
  <c r="S11" i="7" s="1"/>
  <c r="P30" i="7"/>
  <c r="T21" i="7"/>
  <c r="S21" i="7" s="1"/>
  <c r="H15" i="7"/>
  <c r="AB33" i="7"/>
  <c r="AA33" i="7"/>
  <c r="G47" i="7"/>
  <c r="T70" i="7"/>
  <c r="S70" i="7"/>
  <c r="T71" i="7"/>
  <c r="S71" i="7"/>
  <c r="T80" i="7"/>
  <c r="S80" i="7"/>
  <c r="T60" i="7"/>
  <c r="S60" i="7"/>
  <c r="G50" i="7"/>
  <c r="T76" i="7"/>
  <c r="S76" i="7"/>
  <c r="T26" i="7"/>
  <c r="S26" i="7"/>
  <c r="X61" i="7"/>
  <c r="W61" i="7"/>
  <c r="T74" i="7"/>
  <c r="S74" i="7"/>
  <c r="X27" i="7"/>
  <c r="W27" i="7"/>
  <c r="S59" i="7"/>
  <c r="P66" i="7"/>
  <c r="Q66" i="7" s="1"/>
  <c r="T59" i="7"/>
  <c r="T72" i="7"/>
  <c r="S72" i="7"/>
  <c r="AC80" i="6"/>
  <c r="Y80" i="6"/>
  <c r="U80" i="6"/>
  <c r="Q80" i="6"/>
  <c r="M80" i="6"/>
  <c r="I80" i="6"/>
  <c r="AC79" i="6"/>
  <c r="Y79" i="6"/>
  <c r="U79" i="6"/>
  <c r="Q79" i="6"/>
  <c r="M79" i="6"/>
  <c r="I79" i="6"/>
  <c r="H79" i="6" s="1"/>
  <c r="G79" i="6"/>
  <c r="AC78" i="6"/>
  <c r="Y78" i="6"/>
  <c r="U78" i="6"/>
  <c r="Q78" i="6"/>
  <c r="M78" i="6"/>
  <c r="I78" i="6"/>
  <c r="H78" i="6" s="1"/>
  <c r="G78" i="6"/>
  <c r="AC77" i="6"/>
  <c r="Y77" i="6"/>
  <c r="U77" i="6"/>
  <c r="Q77" i="6"/>
  <c r="M77" i="6"/>
  <c r="I77" i="6"/>
  <c r="H77" i="6" s="1"/>
  <c r="G77" i="6"/>
  <c r="AC76" i="6"/>
  <c r="Y76" i="6"/>
  <c r="U76" i="6"/>
  <c r="Q76" i="6"/>
  <c r="M76" i="6"/>
  <c r="I76" i="6"/>
  <c r="H76" i="6" s="1"/>
  <c r="G76" i="6"/>
  <c r="AC75" i="6"/>
  <c r="Y75" i="6"/>
  <c r="U75" i="6"/>
  <c r="Q75" i="6"/>
  <c r="M75" i="6"/>
  <c r="I75" i="6"/>
  <c r="H75" i="6" s="1"/>
  <c r="G75" i="6"/>
  <c r="AC74" i="6"/>
  <c r="Y74" i="6"/>
  <c r="U74" i="6"/>
  <c r="Q74" i="6"/>
  <c r="M74" i="6"/>
  <c r="I74" i="6"/>
  <c r="H74" i="6" s="1"/>
  <c r="G74" i="6"/>
  <c r="AC73" i="6"/>
  <c r="Y73" i="6"/>
  <c r="U73" i="6"/>
  <c r="Q73" i="6"/>
  <c r="M73" i="6"/>
  <c r="I73" i="6"/>
  <c r="H73" i="6" s="1"/>
  <c r="G73" i="6"/>
  <c r="AC72" i="6"/>
  <c r="Y72" i="6"/>
  <c r="U72" i="6"/>
  <c r="Q72" i="6"/>
  <c r="M72" i="6"/>
  <c r="I72" i="6"/>
  <c r="H72" i="6" s="1"/>
  <c r="G72" i="6"/>
  <c r="AC71" i="6"/>
  <c r="Y71" i="6"/>
  <c r="U71" i="6"/>
  <c r="Q71" i="6"/>
  <c r="M71" i="6"/>
  <c r="I71" i="6"/>
  <c r="H71" i="6" s="1"/>
  <c r="G71" i="6"/>
  <c r="AC70" i="6"/>
  <c r="Y70" i="6"/>
  <c r="U70" i="6"/>
  <c r="Q70" i="6"/>
  <c r="M70" i="6"/>
  <c r="I70" i="6"/>
  <c r="H70" i="6" s="1"/>
  <c r="G70" i="6"/>
  <c r="AC69" i="6"/>
  <c r="Y69" i="6"/>
  <c r="U69" i="6"/>
  <c r="Q69" i="6"/>
  <c r="M69" i="6"/>
  <c r="I69" i="6"/>
  <c r="H69" i="6" s="1"/>
  <c r="G69" i="6"/>
  <c r="AC68" i="6"/>
  <c r="G68" i="6"/>
  <c r="D65" i="6"/>
  <c r="G65" i="6" s="1"/>
  <c r="AC64" i="6"/>
  <c r="Y64" i="6"/>
  <c r="U64" i="6"/>
  <c r="Q64" i="6"/>
  <c r="M64" i="6"/>
  <c r="I64" i="6"/>
  <c r="H64" i="6" s="1"/>
  <c r="G64" i="6"/>
  <c r="AC63" i="6"/>
  <c r="Y63" i="6"/>
  <c r="U63" i="6"/>
  <c r="Q63" i="6"/>
  <c r="M63" i="6"/>
  <c r="I63" i="6"/>
  <c r="H63" i="6" s="1"/>
  <c r="K63" i="6" s="1"/>
  <c r="G63" i="6"/>
  <c r="AC62" i="6"/>
  <c r="Y62" i="6"/>
  <c r="U62" i="6"/>
  <c r="Q62" i="6"/>
  <c r="M62" i="6"/>
  <c r="I62" i="6"/>
  <c r="H62" i="6" s="1"/>
  <c r="G62" i="6"/>
  <c r="AC61" i="6"/>
  <c r="Y61" i="6"/>
  <c r="U61" i="6"/>
  <c r="Q61" i="6"/>
  <c r="M61" i="6"/>
  <c r="I61" i="6"/>
  <c r="H61" i="6" s="1"/>
  <c r="G61" i="6"/>
  <c r="AC60" i="6"/>
  <c r="Y60" i="6"/>
  <c r="U60" i="6"/>
  <c r="Q60" i="6"/>
  <c r="M60" i="6"/>
  <c r="I60" i="6"/>
  <c r="H60" i="6" s="1"/>
  <c r="G60" i="6"/>
  <c r="AC59" i="6"/>
  <c r="Y59" i="6"/>
  <c r="U59" i="6"/>
  <c r="Q59" i="6"/>
  <c r="M59" i="6"/>
  <c r="I59" i="6"/>
  <c r="H59" i="6" s="1"/>
  <c r="K59" i="6" s="1"/>
  <c r="G59" i="6"/>
  <c r="AC58" i="6"/>
  <c r="Y58" i="6"/>
  <c r="U58" i="6"/>
  <c r="Q58" i="6"/>
  <c r="M58" i="6"/>
  <c r="I58" i="6"/>
  <c r="H58" i="6" s="1"/>
  <c r="G58" i="6"/>
  <c r="D52" i="6"/>
  <c r="AC49" i="6"/>
  <c r="Y49" i="6"/>
  <c r="U49" i="6"/>
  <c r="Q49" i="6"/>
  <c r="P49" i="6" s="1"/>
  <c r="M49" i="6"/>
  <c r="I49" i="6"/>
  <c r="AC48" i="6"/>
  <c r="Y48" i="6"/>
  <c r="U48" i="6"/>
  <c r="Q48" i="6"/>
  <c r="P48" i="6" s="1"/>
  <c r="M48" i="6"/>
  <c r="I48" i="6"/>
  <c r="AC47" i="6"/>
  <c r="Y47" i="6"/>
  <c r="U47" i="6"/>
  <c r="Q47" i="6"/>
  <c r="M47" i="6"/>
  <c r="L47" i="6" s="1"/>
  <c r="G47" i="6"/>
  <c r="AC46" i="6"/>
  <c r="Y46" i="6"/>
  <c r="U46" i="6"/>
  <c r="Q46" i="6"/>
  <c r="P46" i="6" s="1"/>
  <c r="M46" i="6"/>
  <c r="L46" i="6" s="1"/>
  <c r="I46" i="6"/>
  <c r="AC45" i="6"/>
  <c r="Y45" i="6"/>
  <c r="U45" i="6"/>
  <c r="Q45" i="6"/>
  <c r="P45" i="6" s="1"/>
  <c r="M45" i="6"/>
  <c r="L45" i="6" s="1"/>
  <c r="I45" i="6"/>
  <c r="G45" i="6"/>
  <c r="AC44" i="6"/>
  <c r="Y44" i="6"/>
  <c r="U44" i="6"/>
  <c r="Q44" i="6"/>
  <c r="P44" i="6" s="1"/>
  <c r="M44" i="6"/>
  <c r="L44" i="6" s="1"/>
  <c r="I44" i="6"/>
  <c r="G44" i="6"/>
  <c r="U43" i="6"/>
  <c r="Q43" i="6"/>
  <c r="P43" i="6" s="1"/>
  <c r="M43" i="6"/>
  <c r="L43" i="6" s="1"/>
  <c r="I43" i="6"/>
  <c r="D40" i="6"/>
  <c r="G40" i="6" s="1"/>
  <c r="AC38" i="6"/>
  <c r="Y38" i="6"/>
  <c r="U38" i="6"/>
  <c r="Q38" i="6"/>
  <c r="M38" i="6"/>
  <c r="I38" i="6"/>
  <c r="H38" i="6"/>
  <c r="G38" i="6"/>
  <c r="AC37" i="6"/>
  <c r="Y37" i="6"/>
  <c r="U37" i="6"/>
  <c r="Q37" i="6"/>
  <c r="M37" i="6"/>
  <c r="I37" i="6"/>
  <c r="H37" i="6"/>
  <c r="L37" i="6" s="1"/>
  <c r="G37" i="6"/>
  <c r="AC36" i="6"/>
  <c r="Y36" i="6"/>
  <c r="U36" i="6"/>
  <c r="Q36" i="6"/>
  <c r="M36" i="6"/>
  <c r="I36" i="6"/>
  <c r="H36" i="6"/>
  <c r="G36" i="6"/>
  <c r="AC35" i="6"/>
  <c r="Y35" i="6"/>
  <c r="U35" i="6"/>
  <c r="Q35" i="6"/>
  <c r="M35" i="6"/>
  <c r="I35" i="6"/>
  <c r="H35" i="6"/>
  <c r="K35" i="6" s="1"/>
  <c r="G35" i="6"/>
  <c r="AC34" i="6"/>
  <c r="Y34" i="6"/>
  <c r="U34" i="6"/>
  <c r="Q34" i="6"/>
  <c r="M34" i="6"/>
  <c r="I34" i="6"/>
  <c r="H34" i="6"/>
  <c r="G34" i="6"/>
  <c r="AC33" i="6"/>
  <c r="Y33" i="6"/>
  <c r="U33" i="6"/>
  <c r="Q33" i="6"/>
  <c r="M33" i="6"/>
  <c r="I33" i="6"/>
  <c r="H33" i="6"/>
  <c r="K33" i="6" s="1"/>
  <c r="G33" i="6"/>
  <c r="AC32" i="6"/>
  <c r="Y32" i="6"/>
  <c r="U32" i="6"/>
  <c r="Q32" i="6"/>
  <c r="M32" i="6"/>
  <c r="I32" i="6"/>
  <c r="H32" i="6"/>
  <c r="G32" i="6"/>
  <c r="AC26" i="6"/>
  <c r="Y26" i="6"/>
  <c r="U26" i="6"/>
  <c r="Q26" i="6"/>
  <c r="M26" i="6"/>
  <c r="I26" i="6"/>
  <c r="H26" i="6"/>
  <c r="K26" i="6" s="1"/>
  <c r="G26" i="6"/>
  <c r="AC25" i="6"/>
  <c r="Y25" i="6"/>
  <c r="U25" i="6"/>
  <c r="Q25" i="6"/>
  <c r="M25" i="6"/>
  <c r="I25" i="6"/>
  <c r="H25" i="6"/>
  <c r="L25" i="6" s="1"/>
  <c r="O25" i="6" s="1"/>
  <c r="G25" i="6"/>
  <c r="AC24" i="6"/>
  <c r="Y24" i="6"/>
  <c r="U24" i="6"/>
  <c r="Q24" i="6"/>
  <c r="M24" i="6"/>
  <c r="I24" i="6"/>
  <c r="H24" i="6"/>
  <c r="K24" i="6" s="1"/>
  <c r="G24" i="6"/>
  <c r="AC23" i="6"/>
  <c r="Y23" i="6"/>
  <c r="U23" i="6"/>
  <c r="Q23" i="6"/>
  <c r="M23" i="6"/>
  <c r="I23" i="6"/>
  <c r="H23" i="6"/>
  <c r="H29" i="6" s="1"/>
  <c r="I29" i="6" s="1"/>
  <c r="G23" i="6"/>
  <c r="AC22" i="6"/>
  <c r="Y22" i="6"/>
  <c r="U22" i="6"/>
  <c r="AC21" i="6"/>
  <c r="Y21" i="6"/>
  <c r="U21" i="6"/>
  <c r="Q21" i="6"/>
  <c r="M21" i="6"/>
  <c r="AB10" i="6"/>
  <c r="X10" i="6"/>
  <c r="AA10" i="6" s="1"/>
  <c r="K10" i="6"/>
  <c r="G10" i="6"/>
  <c r="H6" i="6"/>
  <c r="L6" i="6" s="1"/>
  <c r="P6" i="6" s="1"/>
  <c r="T6" i="6" s="1"/>
  <c r="X6" i="6" s="1"/>
  <c r="AB6" i="6" s="1"/>
  <c r="D3" i="6"/>
  <c r="B87" i="3"/>
  <c r="B89" i="3"/>
  <c r="M35" i="3"/>
  <c r="G10" i="4"/>
  <c r="AF104" i="5"/>
  <c r="AF103" i="5"/>
  <c r="AE97" i="5"/>
  <c r="AE95" i="5"/>
  <c r="AD25" i="5"/>
  <c r="B26" i="3" s="1"/>
  <c r="B27" i="3"/>
  <c r="AE82" i="5"/>
  <c r="AE81" i="5"/>
  <c r="AD81" i="5"/>
  <c r="AE80" i="5"/>
  <c r="AD80" i="5"/>
  <c r="AE79" i="5"/>
  <c r="AD79" i="5"/>
  <c r="AE78" i="5"/>
  <c r="AD78" i="5"/>
  <c r="AE77" i="5"/>
  <c r="AD77" i="5"/>
  <c r="AE76" i="5"/>
  <c r="AD76" i="5"/>
  <c r="AE75" i="5"/>
  <c r="AD75" i="5"/>
  <c r="AE74" i="5"/>
  <c r="AD74" i="5"/>
  <c r="AE73" i="5"/>
  <c r="AD73" i="5"/>
  <c r="AE72" i="5"/>
  <c r="AD72" i="5"/>
  <c r="AE71" i="5"/>
  <c r="AD71" i="5"/>
  <c r="AE70" i="5"/>
  <c r="AD70" i="5"/>
  <c r="AE69" i="5"/>
  <c r="AD69" i="5"/>
  <c r="AE65" i="5"/>
  <c r="AD65" i="5"/>
  <c r="AE64" i="5"/>
  <c r="AD64" i="5"/>
  <c r="AE63" i="5"/>
  <c r="AD63" i="5"/>
  <c r="AE62" i="5"/>
  <c r="AD62" i="5"/>
  <c r="AE61" i="5"/>
  <c r="AD61" i="5"/>
  <c r="AE60" i="5"/>
  <c r="AD60" i="5"/>
  <c r="AE59" i="5"/>
  <c r="AD59" i="5"/>
  <c r="AE50" i="5"/>
  <c r="C50" i="3" s="1"/>
  <c r="AD50" i="5"/>
  <c r="B50" i="3" s="1"/>
  <c r="AE49" i="5"/>
  <c r="C49" i="3" s="1"/>
  <c r="AD49" i="5"/>
  <c r="B49" i="3" s="1"/>
  <c r="AE48" i="5"/>
  <c r="C48" i="3" s="1"/>
  <c r="AD48" i="5"/>
  <c r="B48" i="3" s="1"/>
  <c r="AE47" i="5"/>
  <c r="C47" i="3" s="1"/>
  <c r="AD47" i="5"/>
  <c r="B47" i="3" s="1"/>
  <c r="AE46" i="5"/>
  <c r="C46" i="3" s="1"/>
  <c r="AD46" i="5"/>
  <c r="B46" i="3" s="1"/>
  <c r="AE45" i="5"/>
  <c r="C45" i="3" s="1"/>
  <c r="AD45" i="5"/>
  <c r="B45" i="3" s="1"/>
  <c r="AE44" i="5"/>
  <c r="C44" i="3" s="1"/>
  <c r="AD44" i="5"/>
  <c r="B44" i="3" s="1"/>
  <c r="AE39" i="5"/>
  <c r="C39" i="3" s="1"/>
  <c r="AD39" i="5"/>
  <c r="B39" i="3" s="1"/>
  <c r="AE38" i="5"/>
  <c r="C38" i="3" s="1"/>
  <c r="AD38" i="5"/>
  <c r="B38" i="3" s="1"/>
  <c r="AE37" i="5"/>
  <c r="C37" i="3" s="1"/>
  <c r="AD37" i="5"/>
  <c r="B37" i="3" s="1"/>
  <c r="AE36" i="5"/>
  <c r="C36" i="3" s="1"/>
  <c r="AD36" i="5"/>
  <c r="B36" i="3" s="1"/>
  <c r="AE35" i="5"/>
  <c r="C35" i="3" s="1"/>
  <c r="AD35" i="5"/>
  <c r="B35" i="3" s="1"/>
  <c r="AE34" i="5"/>
  <c r="AD34" i="5"/>
  <c r="AE33" i="5"/>
  <c r="C33" i="3" s="1"/>
  <c r="AD33" i="5"/>
  <c r="B33" i="3" s="1"/>
  <c r="C28" i="3"/>
  <c r="B28" i="3"/>
  <c r="C27" i="3"/>
  <c r="AE25" i="5"/>
  <c r="C26" i="3" s="1"/>
  <c r="AE24" i="5"/>
  <c r="C25" i="3" s="1"/>
  <c r="AD24" i="5"/>
  <c r="B25" i="3" s="1"/>
  <c r="AE23" i="5"/>
  <c r="C24" i="3" s="1"/>
  <c r="AD23" i="5"/>
  <c r="B24" i="3" s="1"/>
  <c r="AE22" i="5"/>
  <c r="C23" i="3" s="1"/>
  <c r="AD22" i="5"/>
  <c r="B23" i="3" s="1"/>
  <c r="AE21" i="5"/>
  <c r="C22" i="3" s="1"/>
  <c r="AD21" i="5"/>
  <c r="B22" i="3" s="1"/>
  <c r="AE13" i="5"/>
  <c r="C14" i="3" s="1"/>
  <c r="AE10" i="5"/>
  <c r="C11" i="3" s="1"/>
  <c r="AE9" i="5"/>
  <c r="C10" i="3" s="1"/>
  <c r="AD13" i="5"/>
  <c r="AD20" i="5"/>
  <c r="B21" i="3" s="1"/>
  <c r="AD15" i="5"/>
  <c r="B16" i="3" s="1"/>
  <c r="AD11" i="5"/>
  <c r="B12" i="3" s="1"/>
  <c r="AD9" i="5"/>
  <c r="B10" i="3" s="1"/>
  <c r="AD7" i="5"/>
  <c r="B8" i="3" s="1"/>
  <c r="AA105" i="5"/>
  <c r="Y105" i="5"/>
  <c r="W105" i="5"/>
  <c r="U105" i="5"/>
  <c r="S105" i="5"/>
  <c r="Q105" i="5"/>
  <c r="M105" i="5"/>
  <c r="K105" i="5"/>
  <c r="I105" i="5"/>
  <c r="G105" i="5"/>
  <c r="AA95" i="5"/>
  <c r="Y95" i="5"/>
  <c r="W95" i="5"/>
  <c r="U95" i="5"/>
  <c r="S95" i="5"/>
  <c r="Q95" i="5"/>
  <c r="O95" i="5"/>
  <c r="M95" i="5"/>
  <c r="K95" i="5"/>
  <c r="I95" i="5"/>
  <c r="E95" i="5"/>
  <c r="C95" i="5"/>
  <c r="C102" i="5" s="1"/>
  <c r="B94" i="5"/>
  <c r="AE94" i="5" s="1"/>
  <c r="AD85" i="5"/>
  <c r="B85" i="3" s="1"/>
  <c r="AA82" i="5"/>
  <c r="Y82" i="5"/>
  <c r="W82" i="5"/>
  <c r="U82" i="5"/>
  <c r="S82" i="5"/>
  <c r="Q82" i="5"/>
  <c r="O82" i="5"/>
  <c r="M82" i="5"/>
  <c r="K82" i="5"/>
  <c r="I82" i="5"/>
  <c r="G82" i="5"/>
  <c r="E82" i="5"/>
  <c r="C82" i="5"/>
  <c r="AD68" i="5"/>
  <c r="B68" i="3" s="1"/>
  <c r="AA66" i="5"/>
  <c r="Y66" i="5"/>
  <c r="W66" i="5"/>
  <c r="U66" i="5"/>
  <c r="S66" i="5"/>
  <c r="Q66" i="5"/>
  <c r="O66" i="5"/>
  <c r="M66" i="5"/>
  <c r="K66" i="5"/>
  <c r="I66" i="5"/>
  <c r="G66" i="5"/>
  <c r="E66" i="5"/>
  <c r="C66" i="5"/>
  <c r="AD58" i="5"/>
  <c r="B58" i="3" s="1"/>
  <c r="AD55" i="5"/>
  <c r="B55" i="3" s="1"/>
  <c r="AA50" i="5"/>
  <c r="W50" i="5"/>
  <c r="U50" i="5"/>
  <c r="S50" i="5"/>
  <c r="M50" i="5"/>
  <c r="I50" i="5"/>
  <c r="E50" i="5"/>
  <c r="AA49" i="5"/>
  <c r="S49" i="5"/>
  <c r="M49" i="5"/>
  <c r="I49" i="5"/>
  <c r="E49" i="5"/>
  <c r="AA47" i="5"/>
  <c r="W47" i="5"/>
  <c r="U47" i="5"/>
  <c r="S47" i="5"/>
  <c r="I47" i="5"/>
  <c r="AA46" i="5"/>
  <c r="Y46" i="5"/>
  <c r="W46" i="5"/>
  <c r="U46" i="5"/>
  <c r="S46" i="5"/>
  <c r="Q46" i="5"/>
  <c r="O53" i="5"/>
  <c r="K46" i="5"/>
  <c r="U45" i="5"/>
  <c r="AF45" i="5" s="1"/>
  <c r="F35" i="27" s="1"/>
  <c r="U44" i="5"/>
  <c r="AF44" i="5" s="1"/>
  <c r="AD43" i="5"/>
  <c r="B43" i="3" s="1"/>
  <c r="AD42" i="5"/>
  <c r="AA41" i="5"/>
  <c r="Y41" i="5"/>
  <c r="W41" i="5"/>
  <c r="U41" i="5"/>
  <c r="S41" i="5"/>
  <c r="Q41" i="5"/>
  <c r="O41" i="5"/>
  <c r="M41" i="5"/>
  <c r="K41" i="5"/>
  <c r="I41" i="5"/>
  <c r="G41" i="5"/>
  <c r="E41" i="5"/>
  <c r="C41" i="5"/>
  <c r="AD32" i="5"/>
  <c r="B32" i="3" s="1"/>
  <c r="G12" i="5"/>
  <c r="E9" i="5"/>
  <c r="AF7" i="5"/>
  <c r="AC81" i="4"/>
  <c r="Y81" i="4"/>
  <c r="U81" i="4"/>
  <c r="Q81" i="4"/>
  <c r="M81" i="4"/>
  <c r="I81" i="4"/>
  <c r="AC80" i="4"/>
  <c r="Y80" i="4"/>
  <c r="U80" i="4"/>
  <c r="Q80" i="4"/>
  <c r="M80" i="4"/>
  <c r="I80" i="4"/>
  <c r="H80" i="4" s="1"/>
  <c r="AC79" i="4"/>
  <c r="Y79" i="4"/>
  <c r="U79" i="4"/>
  <c r="Q79" i="4"/>
  <c r="M79" i="4"/>
  <c r="I79" i="4"/>
  <c r="H79" i="4" s="1"/>
  <c r="K79" i="4" s="1"/>
  <c r="G79" i="4"/>
  <c r="AC78" i="4"/>
  <c r="Y78" i="4"/>
  <c r="U78" i="4"/>
  <c r="Q78" i="4"/>
  <c r="M78" i="4"/>
  <c r="I78" i="4"/>
  <c r="H78" i="4" s="1"/>
  <c r="AC77" i="4"/>
  <c r="Y77" i="4"/>
  <c r="U77" i="4"/>
  <c r="Q77" i="4"/>
  <c r="M77" i="4"/>
  <c r="I77" i="4"/>
  <c r="AC76" i="4"/>
  <c r="Y76" i="4"/>
  <c r="U76" i="4"/>
  <c r="Q76" i="4"/>
  <c r="M76" i="4"/>
  <c r="I76" i="4"/>
  <c r="H76" i="4" s="1"/>
  <c r="AC75" i="4"/>
  <c r="Y75" i="4"/>
  <c r="U75" i="4"/>
  <c r="Q75" i="4"/>
  <c r="M75" i="4"/>
  <c r="I75" i="4"/>
  <c r="H75" i="4" s="1"/>
  <c r="K75" i="4" s="1"/>
  <c r="G75" i="4"/>
  <c r="AC74" i="4"/>
  <c r="Y74" i="4"/>
  <c r="U74" i="4"/>
  <c r="Q74" i="4"/>
  <c r="M74" i="4"/>
  <c r="I74" i="4"/>
  <c r="H74" i="4" s="1"/>
  <c r="AC73" i="4"/>
  <c r="Y73" i="4"/>
  <c r="U73" i="4"/>
  <c r="Q73" i="4"/>
  <c r="M73" i="4"/>
  <c r="I73" i="4"/>
  <c r="AC72" i="4"/>
  <c r="Y72" i="4"/>
  <c r="U72" i="4"/>
  <c r="Q72" i="4"/>
  <c r="M72" i="4"/>
  <c r="I72" i="4"/>
  <c r="H72" i="4" s="1"/>
  <c r="AC71" i="4"/>
  <c r="Y71" i="4"/>
  <c r="U71" i="4"/>
  <c r="Q71" i="4"/>
  <c r="M71" i="4"/>
  <c r="I71" i="4"/>
  <c r="H71" i="4" s="1"/>
  <c r="K71" i="4" s="1"/>
  <c r="G71" i="4"/>
  <c r="AC70" i="4"/>
  <c r="Y70" i="4"/>
  <c r="U70" i="4"/>
  <c r="Q70" i="4"/>
  <c r="M70" i="4"/>
  <c r="I70" i="4"/>
  <c r="H70" i="4" s="1"/>
  <c r="AC69" i="4"/>
  <c r="Y69" i="4"/>
  <c r="U69" i="4"/>
  <c r="Q69" i="4"/>
  <c r="M69" i="4"/>
  <c r="I69" i="4"/>
  <c r="AC65" i="4"/>
  <c r="Y65" i="4"/>
  <c r="U65" i="4"/>
  <c r="Q65" i="4"/>
  <c r="M65" i="4"/>
  <c r="I65" i="4"/>
  <c r="G65" i="4"/>
  <c r="AC64" i="4"/>
  <c r="Y64" i="4"/>
  <c r="U64" i="4"/>
  <c r="Q64" i="4"/>
  <c r="M64" i="4"/>
  <c r="I64" i="4"/>
  <c r="H64" i="4" s="1"/>
  <c r="AC63" i="4"/>
  <c r="Y63" i="4"/>
  <c r="U63" i="4"/>
  <c r="Q63" i="4"/>
  <c r="M63" i="4"/>
  <c r="I63" i="4"/>
  <c r="H63" i="4" s="1"/>
  <c r="G63" i="4"/>
  <c r="AC62" i="4"/>
  <c r="Y62" i="4"/>
  <c r="U62" i="4"/>
  <c r="Q62" i="4"/>
  <c r="M62" i="4"/>
  <c r="I62" i="4"/>
  <c r="AC61" i="4"/>
  <c r="Y61" i="4"/>
  <c r="U61" i="4"/>
  <c r="Q61" i="4"/>
  <c r="M61" i="4"/>
  <c r="I61" i="4"/>
  <c r="AC60" i="4"/>
  <c r="Y60" i="4"/>
  <c r="U60" i="4"/>
  <c r="Q60" i="4"/>
  <c r="M60" i="4"/>
  <c r="I60" i="4"/>
  <c r="H60" i="4" s="1"/>
  <c r="AC59" i="4"/>
  <c r="Y59" i="4"/>
  <c r="U59" i="4"/>
  <c r="Q59" i="4"/>
  <c r="M59" i="4"/>
  <c r="I59" i="4"/>
  <c r="H59" i="4" s="1"/>
  <c r="H52" i="4"/>
  <c r="H51" i="4"/>
  <c r="G51" i="4"/>
  <c r="AC50" i="4"/>
  <c r="Y50" i="4"/>
  <c r="U50" i="4"/>
  <c r="Q50" i="4"/>
  <c r="M50" i="4"/>
  <c r="I50" i="4"/>
  <c r="AC49" i="4"/>
  <c r="Y49" i="4"/>
  <c r="U49" i="4"/>
  <c r="Q49" i="4"/>
  <c r="M49" i="4"/>
  <c r="I49" i="4"/>
  <c r="AC48" i="4"/>
  <c r="Y48" i="4"/>
  <c r="U48" i="4"/>
  <c r="Q48" i="4"/>
  <c r="M48" i="4"/>
  <c r="I48" i="4"/>
  <c r="H48" i="4" s="1"/>
  <c r="G48" i="4"/>
  <c r="AC47" i="4"/>
  <c r="Y47" i="4"/>
  <c r="U47" i="4"/>
  <c r="Q47" i="4"/>
  <c r="M47" i="4"/>
  <c r="I47" i="4"/>
  <c r="AC46" i="4"/>
  <c r="Y46" i="4"/>
  <c r="U46" i="4"/>
  <c r="Q46" i="4"/>
  <c r="M46" i="4"/>
  <c r="I46" i="4"/>
  <c r="AC45" i="4"/>
  <c r="Y45" i="4"/>
  <c r="U45" i="4"/>
  <c r="Q45" i="4"/>
  <c r="M45" i="4"/>
  <c r="I45" i="4"/>
  <c r="U44" i="4"/>
  <c r="Q44" i="4"/>
  <c r="M44" i="4"/>
  <c r="I44" i="4"/>
  <c r="AC39" i="4"/>
  <c r="Y39" i="4"/>
  <c r="U39" i="4"/>
  <c r="Q39" i="4"/>
  <c r="M39" i="4"/>
  <c r="I39" i="4"/>
  <c r="H39" i="4"/>
  <c r="AC38" i="4"/>
  <c r="Y38" i="4"/>
  <c r="U38" i="4"/>
  <c r="Q38" i="4"/>
  <c r="M38" i="4"/>
  <c r="I38" i="4"/>
  <c r="H38" i="4"/>
  <c r="L38" i="4" s="1"/>
  <c r="G38" i="4"/>
  <c r="AC37" i="4"/>
  <c r="Y37" i="4"/>
  <c r="U37" i="4"/>
  <c r="Q37" i="4"/>
  <c r="M37" i="4"/>
  <c r="I37" i="4"/>
  <c r="H37" i="4"/>
  <c r="K37" i="4" s="1"/>
  <c r="G37" i="4"/>
  <c r="AC36" i="4"/>
  <c r="Y36" i="4"/>
  <c r="U36" i="4"/>
  <c r="Q36" i="4"/>
  <c r="M36" i="4"/>
  <c r="I36" i="4"/>
  <c r="G36" i="4"/>
  <c r="H36" i="4"/>
  <c r="AC35" i="4"/>
  <c r="Y35" i="4"/>
  <c r="U35" i="4"/>
  <c r="Q35" i="4"/>
  <c r="M35" i="4"/>
  <c r="I35" i="4"/>
  <c r="AC34" i="4"/>
  <c r="Y34" i="4"/>
  <c r="U34" i="4"/>
  <c r="Q34" i="4"/>
  <c r="M34" i="4"/>
  <c r="I34" i="4"/>
  <c r="H34" i="4"/>
  <c r="K34" i="4" s="1"/>
  <c r="G34" i="4"/>
  <c r="AC33" i="4"/>
  <c r="Y33" i="4"/>
  <c r="U33" i="4"/>
  <c r="Q33" i="4"/>
  <c r="M33" i="4"/>
  <c r="I33" i="4"/>
  <c r="H33" i="4"/>
  <c r="D41" i="4"/>
  <c r="AC27" i="4"/>
  <c r="Y27" i="4"/>
  <c r="U27" i="4"/>
  <c r="Q27" i="4"/>
  <c r="M27" i="4"/>
  <c r="I27" i="4"/>
  <c r="AC26" i="4"/>
  <c r="Y26" i="4"/>
  <c r="U26" i="4"/>
  <c r="Q26" i="4"/>
  <c r="M26" i="4"/>
  <c r="I26" i="4"/>
  <c r="H26" i="4"/>
  <c r="L26" i="4" s="1"/>
  <c r="AC25" i="4"/>
  <c r="Y25" i="4"/>
  <c r="U25" i="4"/>
  <c r="Q25" i="4"/>
  <c r="M25" i="4"/>
  <c r="I25" i="4"/>
  <c r="H25" i="4"/>
  <c r="L25" i="4" s="1"/>
  <c r="O25" i="4" s="1"/>
  <c r="AC24" i="4"/>
  <c r="Y24" i="4"/>
  <c r="U24" i="4"/>
  <c r="Q24" i="4"/>
  <c r="M24" i="4"/>
  <c r="I24" i="4"/>
  <c r="H24" i="4"/>
  <c r="G24" i="4" s="1"/>
  <c r="AC23" i="4"/>
  <c r="Y23" i="4"/>
  <c r="U23" i="4"/>
  <c r="Q23" i="4"/>
  <c r="M23" i="4"/>
  <c r="I23" i="4"/>
  <c r="AC22" i="4"/>
  <c r="Y22" i="4"/>
  <c r="U22" i="4"/>
  <c r="Q22" i="4"/>
  <c r="M22" i="4"/>
  <c r="I22" i="4"/>
  <c r="H22" i="4"/>
  <c r="L22" i="4" s="1"/>
  <c r="AC21" i="4"/>
  <c r="Y21" i="4"/>
  <c r="U21" i="4"/>
  <c r="Q21" i="4"/>
  <c r="M21" i="4"/>
  <c r="I21" i="4"/>
  <c r="H21" i="4"/>
  <c r="L21" i="4" s="1"/>
  <c r="P21" i="4" s="1"/>
  <c r="G21" i="4"/>
  <c r="AB10" i="4"/>
  <c r="X10" i="4"/>
  <c r="AA10" i="4" s="1"/>
  <c r="T10" i="4"/>
  <c r="W10" i="4" s="1"/>
  <c r="P10" i="4"/>
  <c r="S10" i="4" s="1"/>
  <c r="H6" i="4"/>
  <c r="L6" i="4" s="1"/>
  <c r="P6" i="4" s="1"/>
  <c r="T6" i="4" s="1"/>
  <c r="X6" i="4" s="1"/>
  <c r="AB6" i="4" s="1"/>
  <c r="D3" i="4"/>
  <c r="D9" i="4" s="1"/>
  <c r="G9" i="4" s="1"/>
  <c r="L3" i="4"/>
  <c r="L9" i="4" s="1"/>
  <c r="P38" i="3"/>
  <c r="AB11" i="3"/>
  <c r="X11" i="3"/>
  <c r="AA11" i="3" s="1"/>
  <c r="T11" i="3"/>
  <c r="W11" i="3" s="1"/>
  <c r="H5" i="36"/>
  <c r="AC80" i="3"/>
  <c r="Y80" i="3"/>
  <c r="U80" i="3"/>
  <c r="AC79" i="3"/>
  <c r="Y79" i="3"/>
  <c r="U79" i="3"/>
  <c r="AC78" i="3"/>
  <c r="Y78" i="3"/>
  <c r="U78" i="3"/>
  <c r="AC77" i="3"/>
  <c r="Y77" i="3"/>
  <c r="U77" i="3"/>
  <c r="AC76" i="3"/>
  <c r="Y76" i="3"/>
  <c r="U76" i="3"/>
  <c r="AC75" i="3"/>
  <c r="Y75" i="3"/>
  <c r="U75" i="3"/>
  <c r="AC74" i="3"/>
  <c r="Y74" i="3"/>
  <c r="U74" i="3"/>
  <c r="AC73" i="3"/>
  <c r="Y73" i="3"/>
  <c r="U73" i="3"/>
  <c r="AC72" i="3"/>
  <c r="Y72" i="3"/>
  <c r="U72" i="3"/>
  <c r="AC71" i="3"/>
  <c r="Y71" i="3"/>
  <c r="U71" i="3"/>
  <c r="AC70" i="3"/>
  <c r="Y70" i="3"/>
  <c r="U70" i="3"/>
  <c r="AC69" i="3"/>
  <c r="Y69" i="3"/>
  <c r="U69" i="3"/>
  <c r="AC65" i="3"/>
  <c r="Y65" i="3"/>
  <c r="U65" i="3"/>
  <c r="G65" i="3"/>
  <c r="AC64" i="3"/>
  <c r="Y64" i="3"/>
  <c r="U64" i="3"/>
  <c r="AC63" i="3"/>
  <c r="Y63" i="3"/>
  <c r="U63" i="3"/>
  <c r="AC62" i="3"/>
  <c r="Y62" i="3"/>
  <c r="U62" i="3"/>
  <c r="AC61" i="3"/>
  <c r="Y61" i="3"/>
  <c r="U61" i="3"/>
  <c r="AC60" i="3"/>
  <c r="Y60" i="3"/>
  <c r="U60" i="3"/>
  <c r="G60" i="3"/>
  <c r="AC59" i="3"/>
  <c r="Y59" i="3"/>
  <c r="U59" i="3"/>
  <c r="AC50" i="3"/>
  <c r="Y50" i="3"/>
  <c r="U50" i="3"/>
  <c r="Q50" i="3"/>
  <c r="M50" i="3"/>
  <c r="I50" i="3"/>
  <c r="AC49" i="3"/>
  <c r="Y49" i="3"/>
  <c r="U49" i="3"/>
  <c r="Q49" i="3"/>
  <c r="M49" i="3"/>
  <c r="I49" i="3"/>
  <c r="AC48" i="3"/>
  <c r="Y48" i="3"/>
  <c r="U48" i="3"/>
  <c r="Q48" i="3"/>
  <c r="M48" i="3"/>
  <c r="L48" i="3" s="1"/>
  <c r="AC47" i="3"/>
  <c r="Y47" i="3"/>
  <c r="U47" i="3"/>
  <c r="Q47" i="3"/>
  <c r="M47" i="3"/>
  <c r="I47" i="3"/>
  <c r="AC46" i="3"/>
  <c r="Y46" i="3"/>
  <c r="U46" i="3"/>
  <c r="Q46" i="3"/>
  <c r="P46" i="3" s="1"/>
  <c r="M46" i="3"/>
  <c r="L46" i="3" s="1"/>
  <c r="I46" i="3"/>
  <c r="AC45" i="3"/>
  <c r="Y45" i="3"/>
  <c r="U45" i="3"/>
  <c r="Q45" i="3"/>
  <c r="P45" i="3" s="1"/>
  <c r="M45" i="3"/>
  <c r="L45" i="3" s="1"/>
  <c r="U44" i="3"/>
  <c r="Q44" i="3"/>
  <c r="M44" i="3"/>
  <c r="AC39" i="3"/>
  <c r="Y39" i="3"/>
  <c r="U39" i="3"/>
  <c r="AC38" i="3"/>
  <c r="Y38" i="3"/>
  <c r="U38" i="3"/>
  <c r="AC37" i="3"/>
  <c r="Y37" i="3"/>
  <c r="U37" i="3"/>
  <c r="AC36" i="3"/>
  <c r="Y36" i="3"/>
  <c r="U36" i="3"/>
  <c r="AC35" i="3"/>
  <c r="Y35" i="3"/>
  <c r="U35" i="3"/>
  <c r="Q35" i="3"/>
  <c r="AC34" i="3"/>
  <c r="Y34" i="3"/>
  <c r="U34" i="3"/>
  <c r="AC33" i="3"/>
  <c r="Y33" i="3"/>
  <c r="U33" i="3"/>
  <c r="Q33" i="3"/>
  <c r="AC28" i="3"/>
  <c r="Y28" i="3"/>
  <c r="U28" i="3"/>
  <c r="Q28" i="3"/>
  <c r="AC27" i="3"/>
  <c r="Y27" i="3"/>
  <c r="U27" i="3"/>
  <c r="Q27" i="3"/>
  <c r="AC26" i="3"/>
  <c r="Y26" i="3"/>
  <c r="U26" i="3"/>
  <c r="AC25" i="3"/>
  <c r="Y25" i="3"/>
  <c r="U25" i="3"/>
  <c r="Q25" i="3"/>
  <c r="AC24" i="3"/>
  <c r="Y24" i="3"/>
  <c r="U24" i="3"/>
  <c r="AC23" i="3"/>
  <c r="Y23" i="3"/>
  <c r="U23" i="3"/>
  <c r="G23" i="3"/>
  <c r="AC22" i="3"/>
  <c r="Y22" i="3"/>
  <c r="U22" i="3"/>
  <c r="H7" i="3"/>
  <c r="L7" i="3" s="1"/>
  <c r="P7" i="3" s="1"/>
  <c r="T7" i="3" s="1"/>
  <c r="X7" i="3" s="1"/>
  <c r="AB7" i="3" s="1"/>
  <c r="BD80" i="1"/>
  <c r="BD79" i="1"/>
  <c r="BD78" i="1"/>
  <c r="BD77" i="1"/>
  <c r="BD76" i="1"/>
  <c r="BD75" i="1"/>
  <c r="BD74" i="1"/>
  <c r="BD73" i="1"/>
  <c r="BD72" i="1"/>
  <c r="BD71" i="1"/>
  <c r="BD70" i="1"/>
  <c r="BD69" i="1"/>
  <c r="BD68" i="1"/>
  <c r="BD64" i="1"/>
  <c r="BD63" i="1"/>
  <c r="BD62" i="1"/>
  <c r="BD61" i="1"/>
  <c r="BD60" i="1"/>
  <c r="BD59" i="1"/>
  <c r="BD58" i="1"/>
  <c r="BD49" i="1"/>
  <c r="BD48" i="1"/>
  <c r="BD46" i="1"/>
  <c r="BD45" i="1"/>
  <c r="BD44" i="1"/>
  <c r="BD36" i="1"/>
  <c r="BD35" i="1"/>
  <c r="BD34" i="1"/>
  <c r="BD33" i="1"/>
  <c r="BD27" i="1"/>
  <c r="BD26" i="1"/>
  <c r="BD25" i="1"/>
  <c r="BD24" i="1"/>
  <c r="BD23" i="1"/>
  <c r="BD22" i="1"/>
  <c r="BD47" i="1"/>
  <c r="BD38" i="1"/>
  <c r="BD37" i="1"/>
  <c r="BD32" i="1"/>
  <c r="BD21" i="1"/>
  <c r="BC10" i="1"/>
  <c r="K74" i="2"/>
  <c r="AZ80" i="1"/>
  <c r="AZ79" i="1"/>
  <c r="AZ78" i="1"/>
  <c r="AZ77" i="1"/>
  <c r="AZ76" i="1"/>
  <c r="AZ75" i="1"/>
  <c r="AZ74" i="1"/>
  <c r="AZ73" i="1"/>
  <c r="AZ72" i="1"/>
  <c r="AZ71" i="1"/>
  <c r="AZ70" i="1"/>
  <c r="AZ69" i="1"/>
  <c r="AZ68" i="1"/>
  <c r="AZ64" i="1"/>
  <c r="AZ63" i="1"/>
  <c r="AZ62" i="1"/>
  <c r="AZ61" i="1"/>
  <c r="AZ60" i="1"/>
  <c r="AZ59" i="1"/>
  <c r="AZ58" i="1"/>
  <c r="AZ49" i="1"/>
  <c r="AZ48" i="1"/>
  <c r="AZ46" i="1"/>
  <c r="AZ45" i="1"/>
  <c r="AZ44" i="1"/>
  <c r="AZ37" i="1"/>
  <c r="AZ35" i="1"/>
  <c r="AZ25" i="1"/>
  <c r="AZ24" i="1"/>
  <c r="AZ23" i="1"/>
  <c r="AZ22" i="1"/>
  <c r="AZ21" i="1"/>
  <c r="AZ47" i="1"/>
  <c r="AZ38" i="1"/>
  <c r="AZ36" i="1"/>
  <c r="AZ34" i="1"/>
  <c r="AZ33" i="1"/>
  <c r="AZ32" i="1"/>
  <c r="AZ27" i="1"/>
  <c r="AZ26" i="1"/>
  <c r="AY10" i="1"/>
  <c r="BB10" i="1" s="1"/>
  <c r="AV80" i="1"/>
  <c r="AV79" i="1"/>
  <c r="AV78" i="1"/>
  <c r="AV77" i="1"/>
  <c r="AV76" i="1"/>
  <c r="AV75" i="1"/>
  <c r="AV74" i="1"/>
  <c r="AV73" i="1"/>
  <c r="AV72" i="1"/>
  <c r="AV71" i="1"/>
  <c r="AV70" i="1"/>
  <c r="AV69" i="1"/>
  <c r="AV68" i="1"/>
  <c r="AV64" i="1"/>
  <c r="AV63" i="1"/>
  <c r="AV62" i="1"/>
  <c r="AV61" i="1"/>
  <c r="AV60" i="1"/>
  <c r="AV59" i="1"/>
  <c r="AV58" i="1"/>
  <c r="AR80" i="1"/>
  <c r="AR79" i="1"/>
  <c r="AR78" i="1"/>
  <c r="AR77" i="1"/>
  <c r="AR76" i="1"/>
  <c r="AR75" i="1"/>
  <c r="AR74" i="1"/>
  <c r="AR73" i="1"/>
  <c r="AR72" i="1"/>
  <c r="AR71" i="1"/>
  <c r="AR70" i="1"/>
  <c r="AR69" i="1"/>
  <c r="AR68" i="1"/>
  <c r="AR64" i="1"/>
  <c r="AR63" i="1"/>
  <c r="AR62" i="1"/>
  <c r="AR61" i="1"/>
  <c r="AR60" i="1"/>
  <c r="AR59" i="1"/>
  <c r="AR58" i="1"/>
  <c r="AJ62" i="1"/>
  <c r="AV49" i="1"/>
  <c r="AV48" i="1"/>
  <c r="AV46" i="1"/>
  <c r="AV45" i="1"/>
  <c r="AV44" i="1"/>
  <c r="AV43" i="1"/>
  <c r="AV47" i="1"/>
  <c r="AV27" i="1"/>
  <c r="AV26" i="1"/>
  <c r="AV25" i="1"/>
  <c r="AV24" i="1"/>
  <c r="AV23" i="1"/>
  <c r="AV22" i="1"/>
  <c r="AV21" i="1"/>
  <c r="AR47" i="1"/>
  <c r="AR49" i="1"/>
  <c r="AR48" i="1"/>
  <c r="AR46" i="1"/>
  <c r="AR45" i="1"/>
  <c r="AR44" i="1"/>
  <c r="AR43" i="1"/>
  <c r="AN47" i="1"/>
  <c r="AJ47" i="1"/>
  <c r="AN49" i="1"/>
  <c r="AN48" i="1"/>
  <c r="AN46" i="1"/>
  <c r="AN45" i="1"/>
  <c r="AN44" i="1"/>
  <c r="AN43" i="1"/>
  <c r="AV38" i="1"/>
  <c r="AV37" i="1"/>
  <c r="AV36" i="1"/>
  <c r="AV35" i="1"/>
  <c r="AV34" i="1"/>
  <c r="AV33" i="1"/>
  <c r="AV32" i="1"/>
  <c r="AU10" i="1"/>
  <c r="AX10" i="1" s="1"/>
  <c r="AJ33" i="1"/>
  <c r="AR38" i="1"/>
  <c r="AR37" i="1"/>
  <c r="AR36" i="1"/>
  <c r="AR35" i="1"/>
  <c r="AR34" i="1"/>
  <c r="AR33" i="1"/>
  <c r="AR32" i="1"/>
  <c r="AR27" i="1"/>
  <c r="AR26" i="1"/>
  <c r="AR25" i="1"/>
  <c r="AR24" i="1"/>
  <c r="AR23" i="1"/>
  <c r="AR22" i="1"/>
  <c r="AR21" i="1"/>
  <c r="AQ10" i="1"/>
  <c r="AT10" i="1" s="1"/>
  <c r="AN80" i="1"/>
  <c r="AN79" i="1"/>
  <c r="AN78" i="1"/>
  <c r="AN77" i="1"/>
  <c r="AN76" i="1"/>
  <c r="AN75" i="1"/>
  <c r="AN74" i="1"/>
  <c r="AN73" i="1"/>
  <c r="AN72" i="1"/>
  <c r="AN71" i="1"/>
  <c r="AN70" i="1"/>
  <c r="AN69" i="1"/>
  <c r="AN68" i="1"/>
  <c r="AN64" i="1"/>
  <c r="AN63" i="1"/>
  <c r="AN62" i="1"/>
  <c r="AN61" i="1"/>
  <c r="AN60" i="1"/>
  <c r="AN59" i="1"/>
  <c r="AN58" i="1"/>
  <c r="AN38" i="1"/>
  <c r="AN37" i="1"/>
  <c r="AN36" i="1"/>
  <c r="AN35" i="1"/>
  <c r="AN34" i="1"/>
  <c r="AN33" i="1"/>
  <c r="AN32" i="1"/>
  <c r="AN27" i="1"/>
  <c r="AN26" i="1"/>
  <c r="AN25" i="1"/>
  <c r="AN24" i="1"/>
  <c r="AN23" i="1"/>
  <c r="AN22" i="1"/>
  <c r="AN21" i="1"/>
  <c r="AJ80" i="1"/>
  <c r="AJ79" i="1"/>
  <c r="AJ78" i="1"/>
  <c r="AJ77" i="1"/>
  <c r="AJ76" i="1"/>
  <c r="AJ75" i="1"/>
  <c r="AJ74" i="1"/>
  <c r="AJ73" i="1"/>
  <c r="AJ72" i="1"/>
  <c r="AJ71" i="1"/>
  <c r="AJ70" i="1"/>
  <c r="AJ69" i="1"/>
  <c r="AJ68" i="1"/>
  <c r="AJ64" i="1"/>
  <c r="AJ63" i="1"/>
  <c r="AJ61" i="1"/>
  <c r="AJ60" i="1"/>
  <c r="AJ59" i="1"/>
  <c r="AJ58" i="1"/>
  <c r="AM1" i="1"/>
  <c r="AQ1" i="1" s="1"/>
  <c r="AI2" i="1"/>
  <c r="AI3" i="1" s="1"/>
  <c r="AI9" i="1" s="1"/>
  <c r="AI1" i="1"/>
  <c r="AJ36" i="1"/>
  <c r="AJ44" i="1"/>
  <c r="AJ43" i="1"/>
  <c r="AJ48" i="1"/>
  <c r="AJ49" i="1"/>
  <c r="AJ46" i="1"/>
  <c r="AJ45" i="1"/>
  <c r="AJ38" i="1"/>
  <c r="AJ37" i="1"/>
  <c r="AJ35" i="1"/>
  <c r="AJ34" i="1"/>
  <c r="AJ32" i="1"/>
  <c r="AJ26" i="1"/>
  <c r="AJ25" i="1"/>
  <c r="AJ24" i="1"/>
  <c r="AJ23" i="1"/>
  <c r="AJ22" i="1"/>
  <c r="AJ21" i="1"/>
  <c r="AJ27" i="1"/>
  <c r="D82" i="2"/>
  <c r="E24" i="2"/>
  <c r="F24" i="2" s="1"/>
  <c r="G24" i="2" s="1"/>
  <c r="J16" i="2"/>
  <c r="K16" i="2" s="1"/>
  <c r="J15" i="2"/>
  <c r="F14" i="2"/>
  <c r="G14" i="2" s="1"/>
  <c r="H14" i="2" s="1"/>
  <c r="I14" i="2" s="1"/>
  <c r="J14" i="2" s="1"/>
  <c r="K14" i="2" s="1"/>
  <c r="P48" i="3" l="1"/>
  <c r="P47" i="6"/>
  <c r="K15" i="7"/>
  <c r="AQ3" i="1"/>
  <c r="AQ9" i="1" s="1"/>
  <c r="AU1" i="1"/>
  <c r="AM3" i="1"/>
  <c r="AM9" i="1" s="1"/>
  <c r="I15" i="7"/>
  <c r="O30" i="7"/>
  <c r="P33" i="30"/>
  <c r="I27" i="42" s="1"/>
  <c r="P44" i="7"/>
  <c r="O44" i="7" s="1"/>
  <c r="M15" i="7"/>
  <c r="I53" i="7"/>
  <c r="F35" i="28"/>
  <c r="U35" i="28" s="1"/>
  <c r="F8" i="27"/>
  <c r="F8" i="28" s="1"/>
  <c r="U8" i="28" s="1"/>
  <c r="E5" i="36"/>
  <c r="X37" i="7"/>
  <c r="W37" i="7"/>
  <c r="T41" i="7"/>
  <c r="AF46" i="5"/>
  <c r="F36" i="27" s="1"/>
  <c r="AF47" i="5"/>
  <c r="F37" i="27" s="1"/>
  <c r="AF49" i="5"/>
  <c r="F39" i="27" s="1"/>
  <c r="F39" i="28" s="1"/>
  <c r="U39" i="28" s="1"/>
  <c r="F34" i="27"/>
  <c r="AF50" i="5"/>
  <c r="F40" i="27" s="1"/>
  <c r="F40" i="28" s="1"/>
  <c r="U40" i="28" s="1"/>
  <c r="E14" i="3"/>
  <c r="E13" i="6"/>
  <c r="W63" i="7"/>
  <c r="P15" i="7"/>
  <c r="O15" i="7" s="1"/>
  <c r="P96" i="7"/>
  <c r="L35" i="6"/>
  <c r="O35" i="6" s="1"/>
  <c r="M33" i="3"/>
  <c r="S11" i="3"/>
  <c r="L28" i="3"/>
  <c r="P28" i="3" s="1"/>
  <c r="K23" i="6"/>
  <c r="L24" i="6"/>
  <c r="O24" i="6" s="1"/>
  <c r="AB48" i="7"/>
  <c r="AA48" i="7" s="1"/>
  <c r="K15" i="2"/>
  <c r="J47" i="2" s="1"/>
  <c r="I47" i="2"/>
  <c r="AC44" i="7"/>
  <c r="K53" i="5"/>
  <c r="K55" i="5" s="1"/>
  <c r="K85" i="5" s="1"/>
  <c r="L23" i="6"/>
  <c r="P23" i="6" s="1"/>
  <c r="T23" i="6" s="1"/>
  <c r="L71" i="6"/>
  <c r="P71" i="6" s="1"/>
  <c r="L33" i="6"/>
  <c r="O33" i="6" s="1"/>
  <c r="O66" i="7"/>
  <c r="O13" i="7"/>
  <c r="G15" i="7"/>
  <c r="T13" i="7"/>
  <c r="H55" i="7"/>
  <c r="G53" i="7"/>
  <c r="X64" i="7"/>
  <c r="W64" i="7"/>
  <c r="T3" i="7"/>
  <c r="X1" i="7"/>
  <c r="X28" i="7"/>
  <c r="W28" i="7"/>
  <c r="X73" i="7"/>
  <c r="W73" i="7"/>
  <c r="AB38" i="7"/>
  <c r="AA38" i="7"/>
  <c r="AB65" i="7"/>
  <c r="AA65" i="7"/>
  <c r="AB63" i="7"/>
  <c r="AA63" i="7"/>
  <c r="W76" i="7"/>
  <c r="X76" i="7"/>
  <c r="X60" i="7"/>
  <c r="W60" i="7"/>
  <c r="W80" i="7"/>
  <c r="X80" i="7"/>
  <c r="X21" i="7"/>
  <c r="T30" i="7"/>
  <c r="S30" i="7" s="1"/>
  <c r="AB9" i="7"/>
  <c r="AB11" i="7" s="1"/>
  <c r="X11" i="7"/>
  <c r="X69" i="7"/>
  <c r="W69" i="7" s="1"/>
  <c r="X75" i="7"/>
  <c r="W75" i="7"/>
  <c r="W72" i="7"/>
  <c r="X72" i="7"/>
  <c r="P50" i="7"/>
  <c r="O50" i="7" s="1"/>
  <c r="P49" i="7"/>
  <c r="O49" i="7" s="1"/>
  <c r="P47" i="7"/>
  <c r="AB34" i="7"/>
  <c r="AA34" i="7"/>
  <c r="X62" i="7"/>
  <c r="W62" i="7" s="1"/>
  <c r="K49" i="7"/>
  <c r="X77" i="7"/>
  <c r="W77" i="7"/>
  <c r="X79" i="7"/>
  <c r="W79" i="7"/>
  <c r="AA25" i="7"/>
  <c r="AB25" i="7"/>
  <c r="X59" i="7"/>
  <c r="W59" i="7"/>
  <c r="T66" i="7"/>
  <c r="S66" i="7" s="1"/>
  <c r="AA27" i="7"/>
  <c r="AB27" i="7"/>
  <c r="W74" i="7"/>
  <c r="X74" i="7"/>
  <c r="AB61" i="7"/>
  <c r="AA61" i="7"/>
  <c r="W26" i="7"/>
  <c r="X26" i="7"/>
  <c r="X71" i="7"/>
  <c r="W71" i="7"/>
  <c r="W70" i="7"/>
  <c r="X70" i="7"/>
  <c r="W9" i="7"/>
  <c r="S69" i="7"/>
  <c r="AB36" i="7"/>
  <c r="AA36" i="7"/>
  <c r="L53" i="7"/>
  <c r="M53" i="7" s="1"/>
  <c r="W78" i="7"/>
  <c r="X78" i="7"/>
  <c r="F28" i="2"/>
  <c r="BD43" i="1"/>
  <c r="Y44" i="3"/>
  <c r="AZ43" i="1"/>
  <c r="AC44" i="3"/>
  <c r="Y44" i="4"/>
  <c r="L75" i="6"/>
  <c r="P75" i="6" s="1"/>
  <c r="AC44" i="4"/>
  <c r="Y43" i="6"/>
  <c r="L79" i="6"/>
  <c r="O79" i="6" s="1"/>
  <c r="AC43" i="6"/>
  <c r="L73" i="6"/>
  <c r="O73" i="6" s="1"/>
  <c r="P25" i="6"/>
  <c r="S25" i="6" s="1"/>
  <c r="K25" i="6"/>
  <c r="O37" i="6"/>
  <c r="P37" i="6"/>
  <c r="T37" i="6" s="1"/>
  <c r="P35" i="6"/>
  <c r="T35" i="6" s="1"/>
  <c r="K37" i="6"/>
  <c r="L63" i="6"/>
  <c r="P63" i="6" s="1"/>
  <c r="T63" i="6" s="1"/>
  <c r="O22" i="6"/>
  <c r="G21" i="6"/>
  <c r="L21" i="6"/>
  <c r="K61" i="6"/>
  <c r="L61" i="6"/>
  <c r="O61" i="6" s="1"/>
  <c r="L69" i="6"/>
  <c r="O69" i="6" s="1"/>
  <c r="L77" i="6"/>
  <c r="P77" i="6" s="1"/>
  <c r="K63" i="4"/>
  <c r="L63" i="4"/>
  <c r="P63" i="4" s="1"/>
  <c r="D11" i="6"/>
  <c r="D13" i="6" s="1"/>
  <c r="T1" i="6"/>
  <c r="K34" i="6"/>
  <c r="L34" i="6"/>
  <c r="K32" i="6"/>
  <c r="H40" i="6"/>
  <c r="L32" i="6"/>
  <c r="K36" i="6"/>
  <c r="L36" i="6"/>
  <c r="K38" i="6"/>
  <c r="L38" i="6"/>
  <c r="K47" i="6"/>
  <c r="L26" i="6"/>
  <c r="P33" i="6"/>
  <c r="L62" i="6"/>
  <c r="K62" i="6"/>
  <c r="L64" i="6"/>
  <c r="K64" i="6"/>
  <c r="K68" i="6"/>
  <c r="L76" i="6"/>
  <c r="K76" i="6"/>
  <c r="D54" i="6"/>
  <c r="H65" i="6"/>
  <c r="L58" i="6"/>
  <c r="L74" i="6"/>
  <c r="K74" i="6"/>
  <c r="K58" i="6"/>
  <c r="L60" i="6"/>
  <c r="K60" i="6"/>
  <c r="L72" i="6"/>
  <c r="K72" i="6"/>
  <c r="L59" i="6"/>
  <c r="L70" i="6"/>
  <c r="K70" i="6"/>
  <c r="L78" i="6"/>
  <c r="K78" i="6"/>
  <c r="K69" i="6"/>
  <c r="K71" i="6"/>
  <c r="K73" i="6"/>
  <c r="K75" i="6"/>
  <c r="K77" i="6"/>
  <c r="K79" i="6"/>
  <c r="L34" i="4"/>
  <c r="P34" i="4" s="1"/>
  <c r="T34" i="4" s="1"/>
  <c r="X34" i="4" s="1"/>
  <c r="L79" i="4"/>
  <c r="O79" i="4" s="1"/>
  <c r="L75" i="4"/>
  <c r="O75" i="4" s="1"/>
  <c r="L71" i="4"/>
  <c r="P71" i="4" s="1"/>
  <c r="L37" i="4"/>
  <c r="O37" i="4" s="1"/>
  <c r="K25" i="4"/>
  <c r="P25" i="4"/>
  <c r="T25" i="4" s="1"/>
  <c r="Y53" i="5"/>
  <c r="Y55" i="5" s="1"/>
  <c r="Y85" i="5" s="1"/>
  <c r="Y97" i="5" s="1"/>
  <c r="Y108" i="5" s="1"/>
  <c r="Y113" i="5" s="1"/>
  <c r="G53" i="5"/>
  <c r="G55" i="5" s="1"/>
  <c r="G85" i="5" s="1"/>
  <c r="G97" i="5" s="1"/>
  <c r="G108" i="5" s="1"/>
  <c r="W53" i="5"/>
  <c r="W55" i="5" s="1"/>
  <c r="W85" i="5" s="1"/>
  <c r="W97" i="5" s="1"/>
  <c r="W108" i="5" s="1"/>
  <c r="W113" i="5" s="1"/>
  <c r="E53" i="5"/>
  <c r="E55" i="5" s="1"/>
  <c r="E85" i="5" s="1"/>
  <c r="E97" i="5" s="1"/>
  <c r="E108" i="5" s="1"/>
  <c r="S53" i="5"/>
  <c r="S55" i="5" s="1"/>
  <c r="S85" i="5" s="1"/>
  <c r="S97" i="5" s="1"/>
  <c r="S108" i="5" s="1"/>
  <c r="S113" i="5" s="1"/>
  <c r="AA53" i="5"/>
  <c r="AA55" i="5" s="1"/>
  <c r="AA85" i="5" s="1"/>
  <c r="AA97" i="5" s="1"/>
  <c r="AA108" i="5" s="1"/>
  <c r="AA113" i="5" s="1"/>
  <c r="I53" i="5"/>
  <c r="I55" i="5" s="1"/>
  <c r="I85" i="5" s="1"/>
  <c r="I97" i="5" s="1"/>
  <c r="I108" i="5" s="1"/>
  <c r="E10" i="5"/>
  <c r="C9" i="5" s="1"/>
  <c r="AF9" i="5" s="1"/>
  <c r="AF11" i="5" s="1"/>
  <c r="O55" i="5"/>
  <c r="O85" i="5" s="1"/>
  <c r="O97" i="5" s="1"/>
  <c r="O108" i="5" s="1"/>
  <c r="C53" i="5"/>
  <c r="C55" i="5" s="1"/>
  <c r="M53" i="5"/>
  <c r="M55" i="5" s="1"/>
  <c r="M85" i="5" s="1"/>
  <c r="M97" i="5" s="1"/>
  <c r="M108" i="5" s="1"/>
  <c r="U53" i="5"/>
  <c r="U55" i="5" s="1"/>
  <c r="U85" i="5" s="1"/>
  <c r="U97" i="5" s="1"/>
  <c r="U108" i="5" s="1"/>
  <c r="U113" i="5" s="1"/>
  <c r="Q53" i="5"/>
  <c r="Q55" i="5" s="1"/>
  <c r="Q85" i="5" s="1"/>
  <c r="Q88" i="5" s="1"/>
  <c r="T21" i="4"/>
  <c r="S21" i="4"/>
  <c r="D11" i="4"/>
  <c r="G11" i="4" s="1"/>
  <c r="H3" i="4"/>
  <c r="H9" i="4" s="1"/>
  <c r="L10" i="4"/>
  <c r="O10" i="4" s="1"/>
  <c r="P22" i="4"/>
  <c r="K22" i="4"/>
  <c r="P26" i="4"/>
  <c r="O26" i="4"/>
  <c r="D30" i="4"/>
  <c r="K21" i="4"/>
  <c r="H23" i="4"/>
  <c r="H27" i="4"/>
  <c r="K33" i="4"/>
  <c r="L36" i="4"/>
  <c r="K39" i="4"/>
  <c r="L39" i="4"/>
  <c r="L59" i="4"/>
  <c r="K24" i="4"/>
  <c r="K26" i="4"/>
  <c r="G33" i="4"/>
  <c r="L33" i="4"/>
  <c r="G35" i="4"/>
  <c r="P38" i="4"/>
  <c r="H35" i="4"/>
  <c r="H41" i="4" s="1"/>
  <c r="D53" i="4"/>
  <c r="K51" i="4"/>
  <c r="O21" i="4"/>
  <c r="G22" i="4"/>
  <c r="L24" i="4"/>
  <c r="G25" i="4"/>
  <c r="G26" i="4"/>
  <c r="O34" i="4"/>
  <c r="K38" i="4"/>
  <c r="G39" i="4"/>
  <c r="K48" i="4"/>
  <c r="L48" i="4"/>
  <c r="L52" i="4"/>
  <c r="K52" i="4"/>
  <c r="L51" i="4"/>
  <c r="L64" i="4"/>
  <c r="G64" i="4"/>
  <c r="H62" i="4"/>
  <c r="L70" i="4"/>
  <c r="K70" i="4"/>
  <c r="L74" i="4"/>
  <c r="L78" i="4"/>
  <c r="K78" i="4"/>
  <c r="G52" i="4"/>
  <c r="D66" i="4"/>
  <c r="G66" i="4" s="1"/>
  <c r="H61" i="4"/>
  <c r="G59" i="4"/>
  <c r="K60" i="4"/>
  <c r="L60" i="4"/>
  <c r="G60" i="4"/>
  <c r="K80" i="4"/>
  <c r="H65" i="4"/>
  <c r="H69" i="4"/>
  <c r="G69" i="4" s="1"/>
  <c r="G72" i="4"/>
  <c r="L72" i="4"/>
  <c r="H73" i="4"/>
  <c r="G76" i="4"/>
  <c r="L76" i="4"/>
  <c r="H77" i="4"/>
  <c r="G80" i="4"/>
  <c r="L80" i="4"/>
  <c r="G70" i="4"/>
  <c r="G74" i="4"/>
  <c r="G78" i="4"/>
  <c r="D30" i="3"/>
  <c r="F27" i="27" s="1"/>
  <c r="D41" i="3"/>
  <c r="P33" i="3"/>
  <c r="K36" i="3"/>
  <c r="G22" i="3"/>
  <c r="K34" i="3"/>
  <c r="G28" i="3"/>
  <c r="G34" i="3"/>
  <c r="D66" i="3"/>
  <c r="K64" i="3"/>
  <c r="G71" i="3"/>
  <c r="G75" i="3"/>
  <c r="G77" i="3"/>
  <c r="K23" i="3"/>
  <c r="G69" i="3"/>
  <c r="G73" i="3"/>
  <c r="K24" i="3"/>
  <c r="L27" i="3"/>
  <c r="H30" i="3"/>
  <c r="K26" i="3"/>
  <c r="G38" i="3"/>
  <c r="G24" i="3"/>
  <c r="G26" i="3"/>
  <c r="G27" i="3"/>
  <c r="K37" i="3"/>
  <c r="P39" i="3"/>
  <c r="G41" i="27"/>
  <c r="G59" i="3"/>
  <c r="K60" i="3"/>
  <c r="G61" i="3"/>
  <c r="G37" i="3"/>
  <c r="G62" i="3"/>
  <c r="G78" i="3"/>
  <c r="G72" i="3"/>
  <c r="D82" i="3"/>
  <c r="AQ11" i="1"/>
  <c r="AQ13" i="1" s="1"/>
  <c r="AP9" i="1"/>
  <c r="AL9" i="1"/>
  <c r="H24" i="2"/>
  <c r="D46" i="2"/>
  <c r="D54" i="2" s="1"/>
  <c r="D35" i="2"/>
  <c r="E28" i="2"/>
  <c r="I30" i="42" l="1"/>
  <c r="Q30" i="42" s="1"/>
  <c r="R30" i="42" s="1"/>
  <c r="I31" i="42"/>
  <c r="J27" i="42"/>
  <c r="Q27" i="42"/>
  <c r="R27" i="42" s="1"/>
  <c r="G41" i="28"/>
  <c r="M41" i="27"/>
  <c r="N41" i="27" s="1"/>
  <c r="AU3" i="1"/>
  <c r="AU9" i="1" s="1"/>
  <c r="AY1" i="1"/>
  <c r="P57" i="30"/>
  <c r="I37" i="42" s="1"/>
  <c r="Q37" i="42" s="1"/>
  <c r="R37" i="42" s="1"/>
  <c r="P54" i="30"/>
  <c r="I34" i="42" s="1"/>
  <c r="Q33" i="30"/>
  <c r="O33" i="30"/>
  <c r="P60" i="30"/>
  <c r="I40" i="42" s="1"/>
  <c r="Q40" i="42" s="1"/>
  <c r="R40" i="42" s="1"/>
  <c r="I27" i="26"/>
  <c r="P59" i="30"/>
  <c r="I39" i="42" s="1"/>
  <c r="Q39" i="42" s="1"/>
  <c r="R39" i="42" s="1"/>
  <c r="S33" i="30"/>
  <c r="U42" i="27"/>
  <c r="Q15" i="7"/>
  <c r="D95" i="6"/>
  <c r="F43" i="27"/>
  <c r="F28" i="27"/>
  <c r="F28" i="28" s="1"/>
  <c r="U28" i="28" s="1"/>
  <c r="T1" i="3"/>
  <c r="I55" i="7"/>
  <c r="F37" i="28"/>
  <c r="U37" i="28" s="1"/>
  <c r="F36" i="28"/>
  <c r="U36" i="28" s="1"/>
  <c r="F34" i="28"/>
  <c r="U34" i="28" s="1"/>
  <c r="I30" i="3"/>
  <c r="H2" i="3"/>
  <c r="H4" i="3" s="1"/>
  <c r="E36" i="2"/>
  <c r="E41" i="2" s="1"/>
  <c r="F4" i="36"/>
  <c r="H6" i="3"/>
  <c r="D12" i="3"/>
  <c r="K28" i="3"/>
  <c r="S37" i="6"/>
  <c r="S23" i="6"/>
  <c r="S35" i="6"/>
  <c r="O34" i="3"/>
  <c r="G4" i="36"/>
  <c r="G70" i="36" s="1"/>
  <c r="H7" i="27"/>
  <c r="W41" i="7"/>
  <c r="T46" i="7"/>
  <c r="W46" i="7" s="1"/>
  <c r="T45" i="7"/>
  <c r="W45" i="7" s="1"/>
  <c r="AB37" i="7"/>
  <c r="AB41" i="7" s="1"/>
  <c r="AA37" i="7"/>
  <c r="X41" i="7"/>
  <c r="AF53" i="5"/>
  <c r="AF55" i="5" s="1"/>
  <c r="C89" i="5"/>
  <c r="G27" i="27"/>
  <c r="P79" i="6"/>
  <c r="T79" i="6" s="1"/>
  <c r="T15" i="7"/>
  <c r="S15" i="7" s="1"/>
  <c r="T96" i="7"/>
  <c r="O23" i="6"/>
  <c r="F27" i="28"/>
  <c r="U27" i="28" s="1"/>
  <c r="AC10" i="13"/>
  <c r="AC11" i="13"/>
  <c r="Y10" i="13"/>
  <c r="X10" i="13" s="1"/>
  <c r="Y11" i="13"/>
  <c r="X11" i="13" s="1"/>
  <c r="L11" i="4"/>
  <c r="K53" i="7"/>
  <c r="L29" i="6"/>
  <c r="M29" i="6" s="1"/>
  <c r="G46" i="6"/>
  <c r="P24" i="6"/>
  <c r="P21" i="6"/>
  <c r="O21" i="6" s="1"/>
  <c r="K33" i="3"/>
  <c r="O63" i="4"/>
  <c r="O63" i="6"/>
  <c r="O71" i="6"/>
  <c r="S63" i="6"/>
  <c r="P61" i="6"/>
  <c r="T61" i="6" s="1"/>
  <c r="P73" i="6"/>
  <c r="S73" i="6" s="1"/>
  <c r="O75" i="6"/>
  <c r="K72" i="3"/>
  <c r="G63" i="3"/>
  <c r="P69" i="6"/>
  <c r="S69" i="6" s="1"/>
  <c r="O88" i="5"/>
  <c r="K97" i="5"/>
  <c r="K108" i="5" s="1"/>
  <c r="K88" i="5"/>
  <c r="G88" i="5"/>
  <c r="Q97" i="5"/>
  <c r="Q108" i="5" s="1"/>
  <c r="Q113" i="5" s="1"/>
  <c r="AA9" i="7"/>
  <c r="P53" i="7"/>
  <c r="Q53" i="7" s="1"/>
  <c r="X13" i="7"/>
  <c r="AA11" i="7"/>
  <c r="X30" i="7"/>
  <c r="W30" i="7" s="1"/>
  <c r="AB21" i="7"/>
  <c r="AA21" i="7" s="1"/>
  <c r="AA64" i="7"/>
  <c r="AB64" i="7"/>
  <c r="S13" i="7"/>
  <c r="X66" i="7"/>
  <c r="W66" i="7" s="1"/>
  <c r="AB59" i="7"/>
  <c r="AA59" i="7"/>
  <c r="AB79" i="7"/>
  <c r="AA79" i="7"/>
  <c r="AB62" i="7"/>
  <c r="AA62" i="7" s="1"/>
  <c r="AB72" i="7"/>
  <c r="AA72" i="7"/>
  <c r="AB13" i="7"/>
  <c r="W21" i="7"/>
  <c r="AA60" i="7"/>
  <c r="AB60" i="7"/>
  <c r="AA28" i="7"/>
  <c r="AB28" i="7"/>
  <c r="AB46" i="7"/>
  <c r="AB45" i="7"/>
  <c r="AB71" i="7"/>
  <c r="AA71" i="7"/>
  <c r="AB75" i="7"/>
  <c r="AA75" i="7"/>
  <c r="AB80" i="7"/>
  <c r="AA80" i="7"/>
  <c r="AB76" i="7"/>
  <c r="AA76" i="7"/>
  <c r="O47" i="7"/>
  <c r="W11" i="7"/>
  <c r="AB78" i="7"/>
  <c r="AA78" i="7"/>
  <c r="L55" i="7"/>
  <c r="AB70" i="7"/>
  <c r="AA70" i="7"/>
  <c r="AA26" i="7"/>
  <c r="AB26" i="7"/>
  <c r="AB74" i="7"/>
  <c r="AA74" i="7"/>
  <c r="AB77" i="7"/>
  <c r="AA77" i="7"/>
  <c r="AB69" i="7"/>
  <c r="T44" i="7"/>
  <c r="T49" i="7"/>
  <c r="S49" i="7" s="1"/>
  <c r="T50" i="7"/>
  <c r="T47" i="7"/>
  <c r="AB73" i="7"/>
  <c r="AA73" i="7"/>
  <c r="X3" i="7"/>
  <c r="AB1" i="7"/>
  <c r="AB3" i="7" s="1"/>
  <c r="G55" i="7"/>
  <c r="G76" i="3"/>
  <c r="D70" i="2"/>
  <c r="D74" i="2"/>
  <c r="O77" i="6"/>
  <c r="T25" i="6"/>
  <c r="W25" i="6" s="1"/>
  <c r="T22" i="6"/>
  <c r="X22" i="6" s="1"/>
  <c r="W22" i="6" s="1"/>
  <c r="G29" i="6"/>
  <c r="G48" i="6"/>
  <c r="K21" i="6"/>
  <c r="P75" i="4"/>
  <c r="T75" i="4" s="1"/>
  <c r="K65" i="3"/>
  <c r="K71" i="3"/>
  <c r="T75" i="6"/>
  <c r="S75" i="6"/>
  <c r="X35" i="6"/>
  <c r="W35" i="6"/>
  <c r="P64" i="6"/>
  <c r="O64" i="6"/>
  <c r="O26" i="6"/>
  <c r="P26" i="6"/>
  <c r="P36" i="6"/>
  <c r="O36" i="6"/>
  <c r="T3" i="6"/>
  <c r="X1" i="6"/>
  <c r="O72" i="6"/>
  <c r="P72" i="6"/>
  <c r="P60" i="6"/>
  <c r="O60" i="6"/>
  <c r="O74" i="6"/>
  <c r="P74" i="6"/>
  <c r="X63" i="6"/>
  <c r="W63" i="6"/>
  <c r="K65" i="6"/>
  <c r="P62" i="6"/>
  <c r="O62" i="6"/>
  <c r="S33" i="6"/>
  <c r="T33" i="6"/>
  <c r="P38" i="6"/>
  <c r="O38" i="6"/>
  <c r="P32" i="6"/>
  <c r="L40" i="6"/>
  <c r="O32" i="6"/>
  <c r="P34" i="6"/>
  <c r="O34" i="6"/>
  <c r="W23" i="6"/>
  <c r="X23" i="6"/>
  <c r="T77" i="6"/>
  <c r="S77" i="6"/>
  <c r="K44" i="6"/>
  <c r="G49" i="6"/>
  <c r="K45" i="6"/>
  <c r="K40" i="6"/>
  <c r="P59" i="6"/>
  <c r="O59" i="6"/>
  <c r="T71" i="6"/>
  <c r="S71" i="6"/>
  <c r="X37" i="6"/>
  <c r="W37" i="6"/>
  <c r="O78" i="6"/>
  <c r="P78" i="6"/>
  <c r="O70" i="6"/>
  <c r="P70" i="6"/>
  <c r="L65" i="6"/>
  <c r="P58" i="6"/>
  <c r="O58" i="6"/>
  <c r="O76" i="6"/>
  <c r="P76" i="6"/>
  <c r="O68" i="6"/>
  <c r="O47" i="6"/>
  <c r="T24" i="6"/>
  <c r="S24" i="6"/>
  <c r="K29" i="6"/>
  <c r="S34" i="4"/>
  <c r="W34" i="4"/>
  <c r="P79" i="4"/>
  <c r="T79" i="4" s="1"/>
  <c r="S79" i="4" s="1"/>
  <c r="P37" i="4"/>
  <c r="C11" i="5"/>
  <c r="H46" i="4"/>
  <c r="H45" i="4"/>
  <c r="G41" i="4"/>
  <c r="L77" i="4"/>
  <c r="L61" i="4"/>
  <c r="K61" i="4" s="1"/>
  <c r="P59" i="4"/>
  <c r="O59" i="4" s="1"/>
  <c r="S22" i="4"/>
  <c r="T22" i="4"/>
  <c r="P76" i="4"/>
  <c r="O76" i="4"/>
  <c r="T71" i="4"/>
  <c r="S71" i="4" s="1"/>
  <c r="T63" i="4"/>
  <c r="S63" i="4" s="1"/>
  <c r="P74" i="4"/>
  <c r="O74" i="4"/>
  <c r="L62" i="4"/>
  <c r="K62" i="4" s="1"/>
  <c r="K59" i="4"/>
  <c r="X25" i="4"/>
  <c r="S25" i="4"/>
  <c r="D13" i="4"/>
  <c r="AA34" i="4"/>
  <c r="AB34" i="4"/>
  <c r="L73" i="4"/>
  <c r="L23" i="4"/>
  <c r="K23" i="4"/>
  <c r="G61" i="4"/>
  <c r="L35" i="4"/>
  <c r="L41" i="4" s="1"/>
  <c r="K35" i="4"/>
  <c r="L69" i="4"/>
  <c r="P64" i="4"/>
  <c r="O64" i="4"/>
  <c r="D55" i="4"/>
  <c r="P36" i="4"/>
  <c r="O36" i="4"/>
  <c r="H11" i="4"/>
  <c r="K9" i="4"/>
  <c r="G23" i="4"/>
  <c r="P80" i="4"/>
  <c r="P72" i="4"/>
  <c r="O72" i="4"/>
  <c r="L65" i="4"/>
  <c r="K65" i="4"/>
  <c r="K76" i="4"/>
  <c r="G77" i="4"/>
  <c r="P78" i="4"/>
  <c r="O78" i="4" s="1"/>
  <c r="P70" i="4"/>
  <c r="O70" i="4"/>
  <c r="K64" i="4"/>
  <c r="P52" i="4"/>
  <c r="T38" i="4"/>
  <c r="S38" i="4"/>
  <c r="H66" i="4"/>
  <c r="T26" i="4"/>
  <c r="H30" i="4"/>
  <c r="H49" i="4" s="1"/>
  <c r="K36" i="4"/>
  <c r="L13" i="4"/>
  <c r="L96" i="4" s="1"/>
  <c r="X21" i="4"/>
  <c r="W21" i="4"/>
  <c r="K72" i="4"/>
  <c r="P60" i="4"/>
  <c r="O60" i="4"/>
  <c r="G73" i="4"/>
  <c r="K74" i="4"/>
  <c r="G62" i="4"/>
  <c r="O71" i="4"/>
  <c r="P51" i="4"/>
  <c r="O51" i="4" s="1"/>
  <c r="P48" i="4"/>
  <c r="O48" i="4"/>
  <c r="T37" i="4"/>
  <c r="S37" i="4" s="1"/>
  <c r="P24" i="4"/>
  <c r="O24" i="4"/>
  <c r="P3" i="4"/>
  <c r="P9" i="4" s="1"/>
  <c r="O38" i="4"/>
  <c r="P33" i="4"/>
  <c r="P39" i="4"/>
  <c r="O39" i="4"/>
  <c r="L27" i="4"/>
  <c r="K27" i="4" s="1"/>
  <c r="O22" i="4"/>
  <c r="K10" i="4"/>
  <c r="G27" i="4"/>
  <c r="K80" i="3"/>
  <c r="K73" i="3"/>
  <c r="G80" i="3"/>
  <c r="K77" i="3"/>
  <c r="G64" i="3"/>
  <c r="G79" i="3"/>
  <c r="K75" i="3"/>
  <c r="G36" i="3"/>
  <c r="G33" i="3"/>
  <c r="O23" i="3"/>
  <c r="L12" i="3"/>
  <c r="K76" i="3"/>
  <c r="K74" i="3"/>
  <c r="T72" i="3"/>
  <c r="S72" i="3" s="1"/>
  <c r="K62" i="3"/>
  <c r="O79" i="3"/>
  <c r="O60" i="3"/>
  <c r="K39" i="3"/>
  <c r="O22" i="3"/>
  <c r="T33" i="3"/>
  <c r="S33" i="3" s="1"/>
  <c r="P27" i="3"/>
  <c r="O27" i="3" s="1"/>
  <c r="T26" i="3"/>
  <c r="S26" i="3" s="1"/>
  <c r="G25" i="3"/>
  <c r="O72" i="3"/>
  <c r="H82" i="3"/>
  <c r="I82" i="3" s="1"/>
  <c r="K79" i="3"/>
  <c r="H66" i="3"/>
  <c r="G43" i="27" s="1"/>
  <c r="K59" i="3"/>
  <c r="G30" i="3"/>
  <c r="O38" i="3"/>
  <c r="O26" i="3"/>
  <c r="K78" i="3"/>
  <c r="T80" i="3"/>
  <c r="S80" i="3" s="1"/>
  <c r="T76" i="3"/>
  <c r="S76" i="3" s="1"/>
  <c r="L51" i="3"/>
  <c r="O36" i="3"/>
  <c r="T37" i="3"/>
  <c r="S37" i="3" s="1"/>
  <c r="G51" i="3"/>
  <c r="H41" i="3"/>
  <c r="I41" i="3" s="1"/>
  <c r="L35" i="3"/>
  <c r="L25" i="3"/>
  <c r="K22" i="3"/>
  <c r="O33" i="3"/>
  <c r="T28" i="3"/>
  <c r="S28" i="3" s="1"/>
  <c r="O24" i="3"/>
  <c r="K70" i="3"/>
  <c r="O63" i="3"/>
  <c r="O65" i="3"/>
  <c r="K63" i="3"/>
  <c r="O80" i="3"/>
  <c r="G74" i="3"/>
  <c r="O76" i="3"/>
  <c r="G70" i="3"/>
  <c r="K61" i="3"/>
  <c r="D53" i="3"/>
  <c r="O37" i="3"/>
  <c r="G39" i="3"/>
  <c r="K38" i="3"/>
  <c r="G35" i="3"/>
  <c r="K27" i="3"/>
  <c r="O28" i="3"/>
  <c r="T34" i="3"/>
  <c r="S34" i="3" s="1"/>
  <c r="AQ15" i="1"/>
  <c r="E46" i="2"/>
  <c r="E54" i="2" s="1"/>
  <c r="E35" i="2"/>
  <c r="I24" i="2"/>
  <c r="F35" i="2" s="1"/>
  <c r="D43" i="2" l="1"/>
  <c r="F43" i="2"/>
  <c r="X42" i="42"/>
  <c r="Q34" i="42"/>
  <c r="R34" i="42" s="1"/>
  <c r="J50" i="42"/>
  <c r="K27" i="42"/>
  <c r="Q31" i="42"/>
  <c r="R31" i="42" s="1"/>
  <c r="I32" i="42"/>
  <c r="Q27" i="26"/>
  <c r="R27" i="26" s="1"/>
  <c r="V41" i="28"/>
  <c r="M41" i="28"/>
  <c r="N41" i="28" s="1"/>
  <c r="G27" i="28"/>
  <c r="M27" i="27"/>
  <c r="N27" i="27" s="1"/>
  <c r="W7" i="27"/>
  <c r="V44" i="27"/>
  <c r="M43" i="27"/>
  <c r="N43" i="27" s="1"/>
  <c r="P4" i="3"/>
  <c r="BC1" i="1"/>
  <c r="BC3" i="1" s="1"/>
  <c r="BC9" i="1" s="1"/>
  <c r="BC11" i="1" s="1"/>
  <c r="AY3" i="1"/>
  <c r="AY9" i="1" s="1"/>
  <c r="AU11" i="1"/>
  <c r="AT9" i="1"/>
  <c r="AX9" i="1"/>
  <c r="I39" i="26"/>
  <c r="Q39" i="26" s="1"/>
  <c r="R39" i="26" s="1"/>
  <c r="O59" i="30"/>
  <c r="S59" i="30"/>
  <c r="J27" i="26"/>
  <c r="I34" i="26"/>
  <c r="S54" i="30"/>
  <c r="O54" i="30"/>
  <c r="P63" i="30"/>
  <c r="I40" i="26"/>
  <c r="Q40" i="26" s="1"/>
  <c r="R40" i="26" s="1"/>
  <c r="O60" i="30"/>
  <c r="S60" i="30"/>
  <c r="S57" i="30"/>
  <c r="I37" i="26"/>
  <c r="Q37" i="26" s="1"/>
  <c r="R37" i="26" s="1"/>
  <c r="O57" i="30"/>
  <c r="L30" i="3"/>
  <c r="K35" i="3"/>
  <c r="L41" i="3"/>
  <c r="M41" i="3" s="1"/>
  <c r="F43" i="28"/>
  <c r="U43" i="28" s="1"/>
  <c r="U44" i="27"/>
  <c r="I66" i="3"/>
  <c r="G7" i="27"/>
  <c r="M7" i="27" s="1"/>
  <c r="N7" i="27" s="1"/>
  <c r="D95" i="3"/>
  <c r="F5" i="36"/>
  <c r="F70" i="36" s="1"/>
  <c r="M55" i="7"/>
  <c r="D33" i="35"/>
  <c r="D14" i="35"/>
  <c r="D22" i="35" s="1"/>
  <c r="H7" i="28"/>
  <c r="L14" i="3"/>
  <c r="L96" i="3" s="1"/>
  <c r="H4" i="36"/>
  <c r="H12" i="3"/>
  <c r="G8" i="27"/>
  <c r="O65" i="6"/>
  <c r="T21" i="6"/>
  <c r="S21" i="6" s="1"/>
  <c r="H13" i="27"/>
  <c r="K10" i="3"/>
  <c r="G73" i="36"/>
  <c r="G77" i="36"/>
  <c r="G80" i="36" s="1"/>
  <c r="G84" i="36" s="1"/>
  <c r="G87" i="36" s="1"/>
  <c r="F7" i="27"/>
  <c r="U7" i="27" s="1"/>
  <c r="E4" i="36"/>
  <c r="E70" i="36" s="1"/>
  <c r="X46" i="7"/>
  <c r="AA46" i="7" s="1"/>
  <c r="X45" i="7"/>
  <c r="AA45" i="7" s="1"/>
  <c r="AA41" i="7"/>
  <c r="AF110" i="5"/>
  <c r="D7" i="35"/>
  <c r="S79" i="6"/>
  <c r="S61" i="6"/>
  <c r="AB11" i="13"/>
  <c r="W13" i="7"/>
  <c r="X96" i="7"/>
  <c r="AB15" i="7"/>
  <c r="AB96" i="7"/>
  <c r="T73" i="6"/>
  <c r="X73" i="6" s="1"/>
  <c r="O10" i="3"/>
  <c r="G36" i="27"/>
  <c r="M36" i="27" s="1"/>
  <c r="N36" i="27" s="1"/>
  <c r="G28" i="27"/>
  <c r="M28" i="27" s="1"/>
  <c r="N28" i="27" s="1"/>
  <c r="G66" i="3"/>
  <c r="G43" i="28"/>
  <c r="G44" i="3"/>
  <c r="G34" i="27"/>
  <c r="M34" i="27" s="1"/>
  <c r="N34" i="27" s="1"/>
  <c r="G11" i="3"/>
  <c r="G48" i="3"/>
  <c r="G38" i="27"/>
  <c r="K51" i="3"/>
  <c r="H41" i="27"/>
  <c r="AB10" i="13"/>
  <c r="X14" i="13"/>
  <c r="D15" i="4"/>
  <c r="G15" i="4" s="1"/>
  <c r="D96" i="4"/>
  <c r="G13" i="4"/>
  <c r="O53" i="7"/>
  <c r="G82" i="3"/>
  <c r="P29" i="6"/>
  <c r="Q29" i="6" s="1"/>
  <c r="T69" i="6"/>
  <c r="W69" i="6" s="1"/>
  <c r="O71" i="3"/>
  <c r="K69" i="3"/>
  <c r="G43" i="6"/>
  <c r="H52" i="6"/>
  <c r="AA69" i="7"/>
  <c r="T53" i="7"/>
  <c r="P55" i="7"/>
  <c r="Q55" i="7" s="1"/>
  <c r="AB30" i="7"/>
  <c r="AA30" i="7" s="1"/>
  <c r="AA13" i="7"/>
  <c r="S47" i="7"/>
  <c r="S50" i="7"/>
  <c r="X44" i="7"/>
  <c r="X50" i="7"/>
  <c r="X49" i="7"/>
  <c r="W49" i="7" s="1"/>
  <c r="X47" i="7"/>
  <c r="K55" i="7"/>
  <c r="AB66" i="7"/>
  <c r="AA66" i="7" s="1"/>
  <c r="X15" i="7"/>
  <c r="S44" i="7"/>
  <c r="E70" i="2"/>
  <c r="E74" i="2"/>
  <c r="S75" i="4"/>
  <c r="X25" i="6"/>
  <c r="AB25" i="6" s="1"/>
  <c r="S22" i="6"/>
  <c r="D15" i="6"/>
  <c r="O77" i="3"/>
  <c r="O75" i="3"/>
  <c r="G10" i="3"/>
  <c r="S68" i="6"/>
  <c r="S36" i="6"/>
  <c r="T36" i="6"/>
  <c r="W79" i="6"/>
  <c r="X79" i="6"/>
  <c r="T47" i="6"/>
  <c r="S47" i="6" s="1"/>
  <c r="W71" i="6"/>
  <c r="X71" i="6"/>
  <c r="P40" i="6"/>
  <c r="S32" i="6"/>
  <c r="T32" i="6"/>
  <c r="S62" i="6"/>
  <c r="T62" i="6"/>
  <c r="T74" i="6"/>
  <c r="S74" i="6"/>
  <c r="X3" i="6"/>
  <c r="AB1" i="6"/>
  <c r="AB3" i="6" s="1"/>
  <c r="K43" i="6"/>
  <c r="T76" i="6"/>
  <c r="S76" i="6"/>
  <c r="T59" i="6"/>
  <c r="S59" i="6"/>
  <c r="AB23" i="6"/>
  <c r="AA23" i="6"/>
  <c r="T38" i="6"/>
  <c r="S38" i="6"/>
  <c r="AB22" i="6"/>
  <c r="AA22" i="6" s="1"/>
  <c r="AA63" i="6"/>
  <c r="AB63" i="6"/>
  <c r="T70" i="6"/>
  <c r="S70" i="6"/>
  <c r="AB37" i="6"/>
  <c r="AA37" i="6"/>
  <c r="W77" i="6"/>
  <c r="X77" i="6"/>
  <c r="L49" i="6"/>
  <c r="O45" i="6"/>
  <c r="O40" i="6"/>
  <c r="O44" i="6"/>
  <c r="L48" i="6"/>
  <c r="S60" i="6"/>
  <c r="T60" i="6"/>
  <c r="S64" i="6"/>
  <c r="T64" i="6"/>
  <c r="W75" i="6"/>
  <c r="X75" i="6"/>
  <c r="X24" i="6"/>
  <c r="W24" i="6"/>
  <c r="T72" i="6"/>
  <c r="S72" i="6"/>
  <c r="T26" i="6"/>
  <c r="S26" i="6"/>
  <c r="S58" i="6"/>
  <c r="P65" i="6"/>
  <c r="T58" i="6"/>
  <c r="T78" i="6"/>
  <c r="S78" i="6"/>
  <c r="X21" i="6"/>
  <c r="W21" i="6" s="1"/>
  <c r="T34" i="6"/>
  <c r="S34" i="6"/>
  <c r="X33" i="6"/>
  <c r="W33" i="6"/>
  <c r="X61" i="6"/>
  <c r="W61" i="6"/>
  <c r="AB35" i="6"/>
  <c r="AA35" i="6"/>
  <c r="C13" i="5"/>
  <c r="G49" i="4"/>
  <c r="T33" i="4"/>
  <c r="T80" i="4"/>
  <c r="S80" i="4" s="1"/>
  <c r="L45" i="4"/>
  <c r="K45" i="4" s="1"/>
  <c r="L46" i="4"/>
  <c r="K46" i="4" s="1"/>
  <c r="T3" i="4"/>
  <c r="T9" i="4" s="1"/>
  <c r="T52" i="4"/>
  <c r="S52" i="4" s="1"/>
  <c r="O80" i="4"/>
  <c r="H13" i="4"/>
  <c r="K11" i="4"/>
  <c r="P69" i="4"/>
  <c r="P73" i="4"/>
  <c r="O73" i="4"/>
  <c r="X22" i="4"/>
  <c r="W22" i="4"/>
  <c r="P77" i="4"/>
  <c r="O77" i="4" s="1"/>
  <c r="P11" i="4"/>
  <c r="S9" i="4"/>
  <c r="O9" i="4"/>
  <c r="H44" i="4"/>
  <c r="P65" i="4"/>
  <c r="O65" i="4"/>
  <c r="AB25" i="4"/>
  <c r="AA25" i="4" s="1"/>
  <c r="P62" i="4"/>
  <c r="X63" i="4"/>
  <c r="X71" i="4"/>
  <c r="W71" i="4"/>
  <c r="X79" i="4"/>
  <c r="W79" i="4" s="1"/>
  <c r="H47" i="4"/>
  <c r="P27" i="4"/>
  <c r="S51" i="4"/>
  <c r="T51" i="4"/>
  <c r="T78" i="4"/>
  <c r="O33" i="4"/>
  <c r="L15" i="4"/>
  <c r="T59" i="4"/>
  <c r="S59" i="4" s="1"/>
  <c r="K41" i="4"/>
  <c r="X37" i="4"/>
  <c r="AB21" i="4"/>
  <c r="AA21" i="4"/>
  <c r="X26" i="4"/>
  <c r="W26" i="4" s="1"/>
  <c r="X38" i="4"/>
  <c r="W38" i="4"/>
  <c r="S36" i="4"/>
  <c r="T36" i="4"/>
  <c r="T64" i="4"/>
  <c r="S64" i="4"/>
  <c r="O23" i="4"/>
  <c r="P23" i="4"/>
  <c r="L30" i="4"/>
  <c r="L50" i="4" s="1"/>
  <c r="W25" i="4"/>
  <c r="P61" i="4"/>
  <c r="G46" i="4"/>
  <c r="G30" i="4"/>
  <c r="T39" i="4"/>
  <c r="S39" i="4"/>
  <c r="S24" i="4"/>
  <c r="T24" i="4"/>
  <c r="T48" i="4"/>
  <c r="S48" i="4"/>
  <c r="T60" i="4"/>
  <c r="S26" i="4"/>
  <c r="O52" i="4"/>
  <c r="S70" i="4"/>
  <c r="T70" i="4"/>
  <c r="T72" i="4"/>
  <c r="S72" i="4"/>
  <c r="K69" i="4"/>
  <c r="P35" i="4"/>
  <c r="K73" i="4"/>
  <c r="S74" i="4"/>
  <c r="T74" i="4"/>
  <c r="X75" i="4"/>
  <c r="T76" i="4"/>
  <c r="S76" i="4"/>
  <c r="L66" i="4"/>
  <c r="K77" i="4"/>
  <c r="G45" i="4"/>
  <c r="H50" i="4"/>
  <c r="O73" i="3"/>
  <c r="T23" i="3"/>
  <c r="S23" i="3" s="1"/>
  <c r="O11" i="3"/>
  <c r="K11" i="3"/>
  <c r="D55" i="3"/>
  <c r="P35" i="3"/>
  <c r="O35" i="3" s="1"/>
  <c r="X37" i="3"/>
  <c r="W37" i="3" s="1"/>
  <c r="I41" i="27"/>
  <c r="O39" i="3"/>
  <c r="T79" i="3"/>
  <c r="S79" i="3" s="1"/>
  <c r="T69" i="3"/>
  <c r="S69" i="3" s="1"/>
  <c r="X1" i="3"/>
  <c r="T3" i="3"/>
  <c r="T10" i="3" s="1"/>
  <c r="S10" i="3" s="1"/>
  <c r="T63" i="3"/>
  <c r="G37" i="27"/>
  <c r="M37" i="27" s="1"/>
  <c r="N37" i="27" s="1"/>
  <c r="G40" i="27"/>
  <c r="G39" i="27"/>
  <c r="G35" i="27"/>
  <c r="M35" i="27" s="1"/>
  <c r="N35" i="27" s="1"/>
  <c r="G41" i="3"/>
  <c r="T64" i="3"/>
  <c r="S64" i="3" s="1"/>
  <c r="O78" i="3"/>
  <c r="L66" i="3"/>
  <c r="M66" i="3" s="1"/>
  <c r="O59" i="3"/>
  <c r="X33" i="3"/>
  <c r="L82" i="3"/>
  <c r="M82" i="3" s="1"/>
  <c r="P12" i="3"/>
  <c r="S65" i="3"/>
  <c r="T65" i="3"/>
  <c r="T24" i="3"/>
  <c r="X28" i="3"/>
  <c r="W28" i="3" s="1"/>
  <c r="P25" i="3"/>
  <c r="P30" i="3" s="1"/>
  <c r="T36" i="3"/>
  <c r="S36" i="3" s="1"/>
  <c r="O64" i="3"/>
  <c r="X76" i="3"/>
  <c r="W76" i="3" s="1"/>
  <c r="T38" i="3"/>
  <c r="T27" i="3"/>
  <c r="T60" i="3"/>
  <c r="S60" i="3" s="1"/>
  <c r="O62" i="3"/>
  <c r="X34" i="3"/>
  <c r="W34" i="3" s="1"/>
  <c r="O70" i="3"/>
  <c r="X80" i="3"/>
  <c r="W80" i="3" s="1"/>
  <c r="X26" i="3"/>
  <c r="W26" i="3" s="1"/>
  <c r="T22" i="3"/>
  <c r="S22" i="3" s="1"/>
  <c r="X72" i="3"/>
  <c r="J24" i="2"/>
  <c r="F46" i="2"/>
  <c r="F54" i="2" s="1"/>
  <c r="L27" i="42" l="1"/>
  <c r="L50" i="42" s="1"/>
  <c r="K50" i="42"/>
  <c r="Q32" i="42"/>
  <c r="R32" i="42" s="1"/>
  <c r="Q30" i="26"/>
  <c r="R30" i="26" s="1"/>
  <c r="I30" i="28"/>
  <c r="X42" i="26"/>
  <c r="Q34" i="26"/>
  <c r="R34" i="26" s="1"/>
  <c r="Q31" i="26"/>
  <c r="R31" i="26" s="1"/>
  <c r="I31" i="28"/>
  <c r="W7" i="28"/>
  <c r="V27" i="28"/>
  <c r="M27" i="28"/>
  <c r="N27" i="28" s="1"/>
  <c r="V43" i="28"/>
  <c r="M43" i="28"/>
  <c r="N43" i="28" s="1"/>
  <c r="I41" i="28"/>
  <c r="Q41" i="27"/>
  <c r="R41" i="27" s="1"/>
  <c r="G38" i="28"/>
  <c r="M38" i="27"/>
  <c r="N38" i="27" s="1"/>
  <c r="M8" i="27"/>
  <c r="N8" i="27" s="1"/>
  <c r="O8" i="27"/>
  <c r="P8" i="27" s="1"/>
  <c r="O7" i="27"/>
  <c r="P7" i="27" s="1"/>
  <c r="G40" i="28"/>
  <c r="M40" i="27"/>
  <c r="N40" i="27" s="1"/>
  <c r="G39" i="28"/>
  <c r="M39" i="27"/>
  <c r="N39" i="27" s="1"/>
  <c r="H41" i="28"/>
  <c r="O41" i="27"/>
  <c r="P41" i="27" s="1"/>
  <c r="E7" i="35"/>
  <c r="P44" i="3"/>
  <c r="P47" i="3"/>
  <c r="P49" i="3"/>
  <c r="P50" i="3"/>
  <c r="M30" i="3"/>
  <c r="L44" i="3"/>
  <c r="H34" i="27" s="1"/>
  <c r="O34" i="27" s="1"/>
  <c r="P34" i="27" s="1"/>
  <c r="L47" i="3"/>
  <c r="L49" i="3"/>
  <c r="H39" i="27" s="1"/>
  <c r="L50" i="3"/>
  <c r="H27" i="27"/>
  <c r="H27" i="28" s="1"/>
  <c r="AU13" i="1"/>
  <c r="AX11" i="1"/>
  <c r="AT11" i="1"/>
  <c r="Q30" i="3"/>
  <c r="K30" i="3"/>
  <c r="BB9" i="1"/>
  <c r="AY11" i="1"/>
  <c r="K27" i="26"/>
  <c r="J50" i="26"/>
  <c r="Q63" i="30"/>
  <c r="S63" i="30"/>
  <c r="O63" i="30"/>
  <c r="P108" i="30"/>
  <c r="P110" i="30" s="1"/>
  <c r="P65" i="30"/>
  <c r="M12" i="3"/>
  <c r="H14" i="3"/>
  <c r="H16" i="3" s="1"/>
  <c r="V7" i="27"/>
  <c r="V42" i="27"/>
  <c r="L16" i="3"/>
  <c r="I12" i="3"/>
  <c r="G52" i="6"/>
  <c r="I52" i="6"/>
  <c r="G37" i="28"/>
  <c r="G34" i="28"/>
  <c r="G36" i="28"/>
  <c r="G35" i="28"/>
  <c r="F13" i="27"/>
  <c r="P14" i="3"/>
  <c r="Q12" i="3"/>
  <c r="O29" i="6"/>
  <c r="O43" i="6"/>
  <c r="H36" i="27"/>
  <c r="O36" i="27" s="1"/>
  <c r="P36" i="27" s="1"/>
  <c r="H43" i="27"/>
  <c r="O43" i="27" s="1"/>
  <c r="P43" i="27" s="1"/>
  <c r="S65" i="6"/>
  <c r="F7" i="28"/>
  <c r="U7" i="28" s="1"/>
  <c r="F77" i="36"/>
  <c r="F80" i="36" s="1"/>
  <c r="F84" i="36" s="1"/>
  <c r="F87" i="36" s="1"/>
  <c r="F73" i="36"/>
  <c r="E77" i="36"/>
  <c r="E80" i="36" s="1"/>
  <c r="E84" i="36" s="1"/>
  <c r="E87" i="36" s="1"/>
  <c r="E73" i="36"/>
  <c r="I27" i="27"/>
  <c r="X69" i="6"/>
  <c r="AB69" i="6" s="1"/>
  <c r="W73" i="6"/>
  <c r="AB14" i="13"/>
  <c r="AA14" i="13" s="1"/>
  <c r="G28" i="28"/>
  <c r="K66" i="3"/>
  <c r="K41" i="3"/>
  <c r="H28" i="27"/>
  <c r="D96" i="3"/>
  <c r="D97" i="3" s="1"/>
  <c r="F49" i="27"/>
  <c r="K48" i="3"/>
  <c r="H38" i="27"/>
  <c r="D85" i="3"/>
  <c r="D87" i="3" s="1"/>
  <c r="G8" i="28"/>
  <c r="X18" i="13"/>
  <c r="X106" i="13"/>
  <c r="W14" i="13"/>
  <c r="K13" i="4"/>
  <c r="H96" i="4"/>
  <c r="O55" i="7"/>
  <c r="S53" i="7"/>
  <c r="AA25" i="6"/>
  <c r="T29" i="6"/>
  <c r="S29" i="6" s="1"/>
  <c r="G12" i="3"/>
  <c r="P66" i="4"/>
  <c r="T77" i="3"/>
  <c r="S77" i="3" s="1"/>
  <c r="T71" i="3"/>
  <c r="S71" i="3" s="1"/>
  <c r="T75" i="3"/>
  <c r="S75" i="3" s="1"/>
  <c r="K12" i="3"/>
  <c r="AF13" i="5"/>
  <c r="AF85" i="5" s="1"/>
  <c r="AF97" i="5" s="1"/>
  <c r="C85" i="5"/>
  <c r="C88" i="5" s="1"/>
  <c r="X53" i="7"/>
  <c r="AB44" i="7"/>
  <c r="AB49" i="7"/>
  <c r="AA49" i="7" s="1"/>
  <c r="AB47" i="7"/>
  <c r="AA47" i="7" s="1"/>
  <c r="AB50" i="7"/>
  <c r="AA50" i="7" s="1"/>
  <c r="W47" i="7"/>
  <c r="W50" i="7"/>
  <c r="W44" i="7"/>
  <c r="T55" i="7"/>
  <c r="AA15" i="7"/>
  <c r="W15" i="7"/>
  <c r="F70" i="2"/>
  <c r="F74" i="2"/>
  <c r="K46" i="6"/>
  <c r="K49" i="6"/>
  <c r="K48" i="6"/>
  <c r="AB77" i="6"/>
  <c r="AA77" i="6"/>
  <c r="AA61" i="6"/>
  <c r="AB61" i="6"/>
  <c r="AB33" i="6"/>
  <c r="AA33" i="6"/>
  <c r="X26" i="6"/>
  <c r="W26" i="6"/>
  <c r="X59" i="6"/>
  <c r="W59" i="6"/>
  <c r="W34" i="6"/>
  <c r="X34" i="6"/>
  <c r="AB21" i="6"/>
  <c r="X58" i="6"/>
  <c r="W58" i="6"/>
  <c r="T65" i="6"/>
  <c r="W65" i="6" s="1"/>
  <c r="X72" i="6"/>
  <c r="W72" i="6"/>
  <c r="AA24" i="6"/>
  <c r="AB24" i="6"/>
  <c r="X70" i="6"/>
  <c r="W70" i="6"/>
  <c r="X62" i="6"/>
  <c r="W62" i="6"/>
  <c r="O49" i="6"/>
  <c r="S45" i="6"/>
  <c r="O46" i="6"/>
  <c r="S44" i="6"/>
  <c r="S40" i="6"/>
  <c r="X60" i="6"/>
  <c r="W60" i="6"/>
  <c r="AB71" i="6"/>
  <c r="AA71" i="6"/>
  <c r="AB79" i="6"/>
  <c r="AA79" i="6"/>
  <c r="W68" i="6"/>
  <c r="AB75" i="6"/>
  <c r="AA75" i="6"/>
  <c r="T40" i="6"/>
  <c r="W32" i="6"/>
  <c r="X32" i="6"/>
  <c r="H54" i="6"/>
  <c r="I54" i="6" s="1"/>
  <c r="X29" i="6"/>
  <c r="W38" i="6"/>
  <c r="X38" i="6"/>
  <c r="X78" i="6"/>
  <c r="W78" i="6"/>
  <c r="X64" i="6"/>
  <c r="W64" i="6"/>
  <c r="AB73" i="6"/>
  <c r="AA73" i="6"/>
  <c r="X76" i="6"/>
  <c r="W76" i="6"/>
  <c r="L52" i="6"/>
  <c r="M52" i="6" s="1"/>
  <c r="X74" i="6"/>
  <c r="W74" i="6"/>
  <c r="X47" i="6"/>
  <c r="W47" i="6" s="1"/>
  <c r="W36" i="6"/>
  <c r="X36" i="6"/>
  <c r="L47" i="4"/>
  <c r="K47" i="4" s="1"/>
  <c r="H15" i="4"/>
  <c r="C15" i="5"/>
  <c r="W60" i="4"/>
  <c r="X60" i="4"/>
  <c r="X78" i="4"/>
  <c r="AA63" i="4"/>
  <c r="AB63" i="4"/>
  <c r="K50" i="4"/>
  <c r="G50" i="4"/>
  <c r="O66" i="4"/>
  <c r="AB75" i="4"/>
  <c r="AA75" i="4"/>
  <c r="T35" i="4"/>
  <c r="T41" i="4" s="1"/>
  <c r="S35" i="4"/>
  <c r="X70" i="4"/>
  <c r="W70" i="4"/>
  <c r="S60" i="4"/>
  <c r="X24" i="4"/>
  <c r="S61" i="4"/>
  <c r="T61" i="4"/>
  <c r="T23" i="4"/>
  <c r="P30" i="4"/>
  <c r="O30" i="4" s="1"/>
  <c r="X36" i="4"/>
  <c r="W36" i="4"/>
  <c r="W63" i="4"/>
  <c r="H53" i="4"/>
  <c r="G44" i="4"/>
  <c r="AB3" i="4"/>
  <c r="AB9" i="4" s="1"/>
  <c r="AB11" i="4" s="1"/>
  <c r="X3" i="4"/>
  <c r="X9" i="4" s="1"/>
  <c r="X33" i="4"/>
  <c r="AB37" i="4"/>
  <c r="AA37" i="4"/>
  <c r="AB79" i="4"/>
  <c r="AA79" i="4"/>
  <c r="T77" i="4"/>
  <c r="S77" i="4"/>
  <c r="T69" i="4"/>
  <c r="X52" i="4"/>
  <c r="W52" i="4" s="1"/>
  <c r="T11" i="4"/>
  <c r="W9" i="4"/>
  <c r="X80" i="4"/>
  <c r="W80" i="4" s="1"/>
  <c r="P41" i="4"/>
  <c r="AB26" i="4"/>
  <c r="AA26" i="4" s="1"/>
  <c r="X76" i="4"/>
  <c r="W76" i="4"/>
  <c r="W37" i="4"/>
  <c r="S78" i="4"/>
  <c r="X59" i="4"/>
  <c r="W59" i="4" s="1"/>
  <c r="T27" i="4"/>
  <c r="O27" i="4"/>
  <c r="S62" i="4"/>
  <c r="T62" i="4"/>
  <c r="T65" i="4"/>
  <c r="S65" i="4"/>
  <c r="T73" i="4"/>
  <c r="K66" i="4"/>
  <c r="W75" i="4"/>
  <c r="X74" i="4"/>
  <c r="W74" i="4"/>
  <c r="O35" i="4"/>
  <c r="X72" i="4"/>
  <c r="X48" i="4"/>
  <c r="W48" i="4" s="1"/>
  <c r="W39" i="4"/>
  <c r="X39" i="4"/>
  <c r="O61" i="4"/>
  <c r="L44" i="4"/>
  <c r="X64" i="4"/>
  <c r="W64" i="4"/>
  <c r="AB38" i="4"/>
  <c r="AA38" i="4" s="1"/>
  <c r="X51" i="4"/>
  <c r="W51" i="4" s="1"/>
  <c r="G47" i="4"/>
  <c r="AB71" i="4"/>
  <c r="AA71" i="4" s="1"/>
  <c r="O62" i="4"/>
  <c r="K30" i="4"/>
  <c r="P13" i="4"/>
  <c r="P96" i="4" s="1"/>
  <c r="O11" i="4"/>
  <c r="AB22" i="4"/>
  <c r="O69" i="4"/>
  <c r="L49" i="4"/>
  <c r="S33" i="4"/>
  <c r="T73" i="3"/>
  <c r="S73" i="3" s="1"/>
  <c r="X23" i="3"/>
  <c r="W23" i="3" s="1"/>
  <c r="T74" i="3"/>
  <c r="S74" i="3" s="1"/>
  <c r="X38" i="3"/>
  <c r="W38" i="3" s="1"/>
  <c r="AB72" i="3"/>
  <c r="AA72" i="3" s="1"/>
  <c r="T62" i="3"/>
  <c r="X65" i="3"/>
  <c r="W65" i="3"/>
  <c r="O74" i="3"/>
  <c r="AB33" i="3"/>
  <c r="AA33" i="3" s="1"/>
  <c r="G45" i="3"/>
  <c r="G46" i="3"/>
  <c r="X69" i="3"/>
  <c r="W69" i="3" s="1"/>
  <c r="X79" i="3"/>
  <c r="W79" i="3" s="1"/>
  <c r="AB28" i="3"/>
  <c r="AA28" i="3" s="1"/>
  <c r="G47" i="3"/>
  <c r="AB37" i="3"/>
  <c r="AA37" i="3" s="1"/>
  <c r="AB26" i="3"/>
  <c r="AA26" i="3" s="1"/>
  <c r="AB34" i="3"/>
  <c r="AA34" i="3" s="1"/>
  <c r="X27" i="3"/>
  <c r="W27" i="3" s="1"/>
  <c r="X24" i="3"/>
  <c r="W24" i="3" s="1"/>
  <c r="T78" i="3"/>
  <c r="S78" i="3" s="1"/>
  <c r="G49" i="3"/>
  <c r="X63" i="3"/>
  <c r="W63" i="3" s="1"/>
  <c r="T12" i="3"/>
  <c r="P82" i="3"/>
  <c r="Q82" i="3" s="1"/>
  <c r="T39" i="3"/>
  <c r="T51" i="3"/>
  <c r="S51" i="3" s="1"/>
  <c r="O30" i="3"/>
  <c r="AB80" i="3"/>
  <c r="AA80" i="3" s="1"/>
  <c r="X36" i="3"/>
  <c r="W36" i="3" s="1"/>
  <c r="AB76" i="3"/>
  <c r="AA76" i="3" s="1"/>
  <c r="T25" i="3"/>
  <c r="T30" i="3" s="1"/>
  <c r="S30" i="3" s="1"/>
  <c r="T61" i="3"/>
  <c r="S61" i="3" s="1"/>
  <c r="X64" i="3"/>
  <c r="W64" i="3" s="1"/>
  <c r="W72" i="3"/>
  <c r="X22" i="3"/>
  <c r="W22" i="3" s="1"/>
  <c r="T70" i="3"/>
  <c r="H53" i="3"/>
  <c r="X60" i="3"/>
  <c r="S27" i="3"/>
  <c r="S38" i="3"/>
  <c r="O25" i="3"/>
  <c r="S24" i="3"/>
  <c r="D16" i="3"/>
  <c r="O61" i="3"/>
  <c r="W33" i="3"/>
  <c r="P66" i="3"/>
  <c r="Q66" i="3" s="1"/>
  <c r="T59" i="3"/>
  <c r="S59" i="3" s="1"/>
  <c r="G50" i="3"/>
  <c r="S63" i="3"/>
  <c r="AB1" i="3"/>
  <c r="AB3" i="3" s="1"/>
  <c r="AB10" i="3" s="1"/>
  <c r="AB12" i="3" s="1"/>
  <c r="X3" i="3"/>
  <c r="X10" i="3" s="1"/>
  <c r="K82" i="3"/>
  <c r="I38" i="27"/>
  <c r="O51" i="3"/>
  <c r="T35" i="3"/>
  <c r="S35" i="3" s="1"/>
  <c r="P41" i="3"/>
  <c r="Q41" i="3" s="1"/>
  <c r="O12" i="3"/>
  <c r="K24" i="2"/>
  <c r="G46" i="2"/>
  <c r="G54" i="2" s="1"/>
  <c r="E8" i="35" l="1"/>
  <c r="E9" i="35" s="1"/>
  <c r="E22" i="35"/>
  <c r="E23" i="35" s="1"/>
  <c r="E24" i="35" s="1"/>
  <c r="X31" i="28"/>
  <c r="Q31" i="28"/>
  <c r="R31" i="28" s="1"/>
  <c r="X30" i="28"/>
  <c r="Q30" i="28"/>
  <c r="R30" i="28" s="1"/>
  <c r="Q32" i="26"/>
  <c r="R32" i="26" s="1"/>
  <c r="I32" i="28"/>
  <c r="V35" i="28"/>
  <c r="M35" i="28"/>
  <c r="N35" i="28" s="1"/>
  <c r="V39" i="28"/>
  <c r="M39" i="28"/>
  <c r="N39" i="28" s="1"/>
  <c r="V8" i="28"/>
  <c r="M8" i="28"/>
  <c r="N8" i="28" s="1"/>
  <c r="O8" i="28"/>
  <c r="P8" i="28" s="1"/>
  <c r="V36" i="28"/>
  <c r="M36" i="28"/>
  <c r="N36" i="28" s="1"/>
  <c r="X41" i="28"/>
  <c r="Q41" i="28"/>
  <c r="R41" i="28" s="1"/>
  <c r="V28" i="28"/>
  <c r="M28" i="28"/>
  <c r="N28" i="28" s="1"/>
  <c r="V34" i="28"/>
  <c r="M34" i="28"/>
  <c r="N34" i="28" s="1"/>
  <c r="W41" i="28"/>
  <c r="O41" i="28"/>
  <c r="P41" i="28" s="1"/>
  <c r="V40" i="28"/>
  <c r="M40" i="28"/>
  <c r="N40" i="28" s="1"/>
  <c r="V37" i="28"/>
  <c r="M37" i="28"/>
  <c r="N37" i="28" s="1"/>
  <c r="W27" i="28"/>
  <c r="O27" i="28"/>
  <c r="P27" i="28" s="1"/>
  <c r="V38" i="28"/>
  <c r="M38" i="28"/>
  <c r="N38" i="28" s="1"/>
  <c r="H39" i="28"/>
  <c r="O39" i="27"/>
  <c r="P39" i="27" s="1"/>
  <c r="H38" i="28"/>
  <c r="O38" i="27"/>
  <c r="P38" i="27" s="1"/>
  <c r="O28" i="27"/>
  <c r="P28" i="27" s="1"/>
  <c r="I27" i="28"/>
  <c r="G7" i="35" s="1"/>
  <c r="G22" i="35" s="1"/>
  <c r="Q27" i="27"/>
  <c r="R27" i="27" s="1"/>
  <c r="I38" i="28"/>
  <c r="Q38" i="27"/>
  <c r="R38" i="27" s="1"/>
  <c r="O27" i="27"/>
  <c r="P27" i="27" s="1"/>
  <c r="AA69" i="6"/>
  <c r="K44" i="3"/>
  <c r="H96" i="3"/>
  <c r="F7" i="35"/>
  <c r="F22" i="35" s="1"/>
  <c r="AT13" i="1"/>
  <c r="AX13" i="1"/>
  <c r="AU15" i="1"/>
  <c r="AY13" i="1"/>
  <c r="BB11" i="1"/>
  <c r="AY15" i="1"/>
  <c r="O65" i="30"/>
  <c r="S65" i="30"/>
  <c r="P98" i="30"/>
  <c r="Q65" i="30"/>
  <c r="L27" i="26"/>
  <c r="L50" i="26" s="1"/>
  <c r="K50" i="26"/>
  <c r="H95" i="3"/>
  <c r="H97" i="3" s="1"/>
  <c r="I53" i="3"/>
  <c r="H43" i="28"/>
  <c r="W44" i="27"/>
  <c r="M16" i="3"/>
  <c r="G14" i="3"/>
  <c r="AB14" i="3" s="1"/>
  <c r="K14" i="3"/>
  <c r="I16" i="3"/>
  <c r="E14" i="35"/>
  <c r="E40" i="35"/>
  <c r="H34" i="28"/>
  <c r="H28" i="28"/>
  <c r="F24" i="27"/>
  <c r="H36" i="28"/>
  <c r="F13" i="28"/>
  <c r="U13" i="28" s="1"/>
  <c r="E33" i="35"/>
  <c r="I43" i="27"/>
  <c r="AB106" i="13"/>
  <c r="AA106" i="13" s="1"/>
  <c r="AB18" i="13"/>
  <c r="AA18" i="13" s="1"/>
  <c r="AF87" i="5"/>
  <c r="AF89" i="5" s="1"/>
  <c r="AF15" i="5"/>
  <c r="I28" i="27"/>
  <c r="J27" i="27"/>
  <c r="J27" i="28" s="1"/>
  <c r="J50" i="28" s="1"/>
  <c r="K47" i="3"/>
  <c r="H37" i="27"/>
  <c r="O37" i="27" s="1"/>
  <c r="P37" i="27" s="1"/>
  <c r="O66" i="3"/>
  <c r="K50" i="3"/>
  <c r="H40" i="27"/>
  <c r="O44" i="3"/>
  <c r="I34" i="27"/>
  <c r="Q34" i="27" s="1"/>
  <c r="R34" i="27" s="1"/>
  <c r="K45" i="3"/>
  <c r="H35" i="27"/>
  <c r="O35" i="27" s="1"/>
  <c r="P35" i="27" s="1"/>
  <c r="D98" i="3"/>
  <c r="F49" i="28"/>
  <c r="U49" i="28" s="1"/>
  <c r="W106" i="13"/>
  <c r="W18" i="13"/>
  <c r="W53" i="7"/>
  <c r="S55" i="7"/>
  <c r="P16" i="3"/>
  <c r="P96" i="3"/>
  <c r="K52" i="6"/>
  <c r="AA21" i="6"/>
  <c r="X75" i="3"/>
  <c r="W75" i="3" s="1"/>
  <c r="S12" i="3"/>
  <c r="X71" i="3"/>
  <c r="W71" i="3" s="1"/>
  <c r="X77" i="3"/>
  <c r="AB77" i="3" s="1"/>
  <c r="AA77" i="3" s="1"/>
  <c r="X73" i="3"/>
  <c r="W73" i="3" s="1"/>
  <c r="C90" i="5"/>
  <c r="C91" i="5" s="1"/>
  <c r="C97" i="5"/>
  <c r="AG85" i="5"/>
  <c r="G54" i="6"/>
  <c r="AB53" i="7"/>
  <c r="AA44" i="7"/>
  <c r="X55" i="7"/>
  <c r="G70" i="2"/>
  <c r="G74" i="2"/>
  <c r="W29" i="6"/>
  <c r="T43" i="6"/>
  <c r="S43" i="6" s="1"/>
  <c r="O48" i="6"/>
  <c r="AB47" i="6"/>
  <c r="AA47" i="6" s="1"/>
  <c r="P52" i="6"/>
  <c r="Q52" i="6" s="1"/>
  <c r="AB78" i="6"/>
  <c r="AA78" i="6"/>
  <c r="AB74" i="6"/>
  <c r="AA74" i="6"/>
  <c r="AB76" i="6"/>
  <c r="AA76" i="6"/>
  <c r="AB64" i="6"/>
  <c r="AA64" i="6"/>
  <c r="AA32" i="6"/>
  <c r="X40" i="6"/>
  <c r="AB32" i="6"/>
  <c r="AA59" i="6"/>
  <c r="AB59" i="6"/>
  <c r="AB60" i="6"/>
  <c r="AA60" i="6"/>
  <c r="L54" i="6"/>
  <c r="M54" i="6" s="1"/>
  <c r="AA38" i="6"/>
  <c r="AB38" i="6"/>
  <c r="T48" i="6"/>
  <c r="S48" i="6" s="1"/>
  <c r="T46" i="6"/>
  <c r="T44" i="6"/>
  <c r="W44" i="6" s="1"/>
  <c r="W40" i="6"/>
  <c r="T49" i="6"/>
  <c r="T45" i="6"/>
  <c r="W45" i="6" s="1"/>
  <c r="AB62" i="6"/>
  <c r="AA62" i="6"/>
  <c r="X65" i="6"/>
  <c r="AA65" i="6" s="1"/>
  <c r="AB58" i="6"/>
  <c r="AA58" i="6"/>
  <c r="AA34" i="6"/>
  <c r="AB34" i="6"/>
  <c r="AA36" i="6"/>
  <c r="AB36" i="6"/>
  <c r="AB68" i="6"/>
  <c r="AA68" i="6" s="1"/>
  <c r="AB70" i="6"/>
  <c r="AA70" i="6"/>
  <c r="AB72" i="6"/>
  <c r="AA72" i="6"/>
  <c r="AA26" i="6"/>
  <c r="AB26" i="6"/>
  <c r="AB23" i="3"/>
  <c r="AA23" i="3" s="1"/>
  <c r="K15" i="4"/>
  <c r="AA72" i="4"/>
  <c r="AB72" i="4"/>
  <c r="X27" i="4"/>
  <c r="P49" i="4"/>
  <c r="O49" i="4" s="1"/>
  <c r="P50" i="4"/>
  <c r="P47" i="4"/>
  <c r="P45" i="4"/>
  <c r="S41" i="4"/>
  <c r="P46" i="4"/>
  <c r="O41" i="4"/>
  <c r="X69" i="4"/>
  <c r="AB33" i="4"/>
  <c r="AA33" i="4"/>
  <c r="AB13" i="4"/>
  <c r="H55" i="4"/>
  <c r="G53" i="4"/>
  <c r="X23" i="4"/>
  <c r="W23" i="4"/>
  <c r="T30" i="4"/>
  <c r="T49" i="4" s="1"/>
  <c r="AA24" i="4"/>
  <c r="AB24" i="4"/>
  <c r="AB78" i="4"/>
  <c r="AA78" i="4" s="1"/>
  <c r="O13" i="4"/>
  <c r="W73" i="4"/>
  <c r="X73" i="4"/>
  <c r="T13" i="4"/>
  <c r="K49" i="4"/>
  <c r="AA22" i="4"/>
  <c r="P15" i="4"/>
  <c r="L53" i="4"/>
  <c r="AA76" i="4"/>
  <c r="AB76" i="4"/>
  <c r="W33" i="4"/>
  <c r="K44" i="4"/>
  <c r="AB36" i="4"/>
  <c r="AA36" i="4"/>
  <c r="X61" i="4"/>
  <c r="X35" i="4"/>
  <c r="X41" i="4" s="1"/>
  <c r="AB60" i="4"/>
  <c r="AA60" i="4" s="1"/>
  <c r="AB80" i="4"/>
  <c r="AA80" i="4" s="1"/>
  <c r="AB51" i="4"/>
  <c r="AA51" i="4" s="1"/>
  <c r="AB48" i="4"/>
  <c r="AA48" i="4" s="1"/>
  <c r="W65" i="4"/>
  <c r="X65" i="4"/>
  <c r="AA59" i="4"/>
  <c r="AB59" i="4"/>
  <c r="AB52" i="4"/>
  <c r="AA52" i="4" s="1"/>
  <c r="T46" i="4"/>
  <c r="T45" i="4"/>
  <c r="P44" i="4"/>
  <c r="S30" i="4"/>
  <c r="S11" i="4"/>
  <c r="AB64" i="4"/>
  <c r="AA64" i="4" s="1"/>
  <c r="AB39" i="4"/>
  <c r="AA39" i="4" s="1"/>
  <c r="W72" i="4"/>
  <c r="AB74" i="4"/>
  <c r="AA74" i="4" s="1"/>
  <c r="S73" i="4"/>
  <c r="X62" i="4"/>
  <c r="W62" i="4"/>
  <c r="S27" i="4"/>
  <c r="T66" i="4"/>
  <c r="S69" i="4"/>
  <c r="W77" i="4"/>
  <c r="X77" i="4"/>
  <c r="X11" i="4"/>
  <c r="AA9" i="4"/>
  <c r="S23" i="4"/>
  <c r="W24" i="4"/>
  <c r="AB70" i="4"/>
  <c r="AA70" i="4" s="1"/>
  <c r="W78" i="4"/>
  <c r="S25" i="3"/>
  <c r="D89" i="3"/>
  <c r="H8" i="3" s="1"/>
  <c r="L53" i="3"/>
  <c r="M53" i="3" s="1"/>
  <c r="O14" i="3"/>
  <c r="X70" i="3"/>
  <c r="W70" i="3" s="1"/>
  <c r="T48" i="3"/>
  <c r="S48" i="3" s="1"/>
  <c r="S70" i="3"/>
  <c r="AB22" i="3"/>
  <c r="AA22" i="3" s="1"/>
  <c r="AB64" i="3"/>
  <c r="AA64" i="3" s="1"/>
  <c r="X61" i="3"/>
  <c r="W61" i="3" s="1"/>
  <c r="X39" i="3"/>
  <c r="W39" i="3" s="1"/>
  <c r="AB63" i="3"/>
  <c r="AA63" i="3" s="1"/>
  <c r="AB27" i="3"/>
  <c r="AA27" i="3" s="1"/>
  <c r="T82" i="3"/>
  <c r="AB65" i="3"/>
  <c r="AA65" i="3"/>
  <c r="X74" i="3"/>
  <c r="W74" i="3" s="1"/>
  <c r="X35" i="3"/>
  <c r="T41" i="3"/>
  <c r="S41" i="3" s="1"/>
  <c r="X62" i="3"/>
  <c r="W62" i="3" s="1"/>
  <c r="X51" i="3"/>
  <c r="T14" i="3"/>
  <c r="AB69" i="3"/>
  <c r="AA69" i="3" s="1"/>
  <c r="S62" i="3"/>
  <c r="AB38" i="3"/>
  <c r="AA38" i="3" s="1"/>
  <c r="T66" i="3"/>
  <c r="S66" i="3" s="1"/>
  <c r="X59" i="3"/>
  <c r="W59" i="3" s="1"/>
  <c r="AB60" i="3"/>
  <c r="AA60" i="3" s="1"/>
  <c r="X78" i="3"/>
  <c r="AA10" i="3"/>
  <c r="X12" i="3"/>
  <c r="W60" i="3"/>
  <c r="T44" i="3"/>
  <c r="I37" i="27"/>
  <c r="I40" i="27"/>
  <c r="O48" i="3"/>
  <c r="H55" i="3"/>
  <c r="G53" i="3"/>
  <c r="O82" i="3"/>
  <c r="X25" i="3"/>
  <c r="X30" i="3" s="1"/>
  <c r="AB36" i="3"/>
  <c r="AA36" i="3" s="1"/>
  <c r="O41" i="3"/>
  <c r="S39" i="3"/>
  <c r="W10" i="3"/>
  <c r="K49" i="3"/>
  <c r="AB24" i="3"/>
  <c r="AA24" i="3" s="1"/>
  <c r="AB79" i="3"/>
  <c r="AA79" i="3" s="1"/>
  <c r="K46" i="3"/>
  <c r="L24" i="2"/>
  <c r="H46" i="2"/>
  <c r="H54" i="2" s="1"/>
  <c r="F23" i="35" l="1"/>
  <c r="F24" i="35" s="1"/>
  <c r="E34" i="35"/>
  <c r="E35" i="35" s="1"/>
  <c r="E48" i="35"/>
  <c r="E49" i="35" s="1"/>
  <c r="E50" i="35" s="1"/>
  <c r="G23" i="35"/>
  <c r="G24" i="35" s="1"/>
  <c r="E41" i="35"/>
  <c r="E27" i="35"/>
  <c r="E15" i="35"/>
  <c r="E16" i="35" s="1"/>
  <c r="G8" i="35"/>
  <c r="G9" i="35" s="1"/>
  <c r="F8" i="35"/>
  <c r="F9" i="35" s="1"/>
  <c r="J57" i="28"/>
  <c r="J76" i="42"/>
  <c r="J62" i="42"/>
  <c r="X32" i="28"/>
  <c r="Q32" i="28"/>
  <c r="R32" i="28" s="1"/>
  <c r="X38" i="28"/>
  <c r="Q38" i="28"/>
  <c r="R38" i="28" s="1"/>
  <c r="W28" i="28"/>
  <c r="O28" i="28"/>
  <c r="P28" i="28" s="1"/>
  <c r="W39" i="28"/>
  <c r="O39" i="28"/>
  <c r="P39" i="28" s="1"/>
  <c r="W34" i="28"/>
  <c r="O34" i="28"/>
  <c r="P34" i="28" s="1"/>
  <c r="W43" i="28"/>
  <c r="O43" i="28"/>
  <c r="P43" i="28" s="1"/>
  <c r="W36" i="28"/>
  <c r="O36" i="28"/>
  <c r="P36" i="28" s="1"/>
  <c r="X27" i="28"/>
  <c r="Q27" i="28"/>
  <c r="R27" i="28" s="1"/>
  <c r="W38" i="28"/>
  <c r="O38" i="28"/>
  <c r="P38" i="28" s="1"/>
  <c r="H40" i="28"/>
  <c r="O40" i="27"/>
  <c r="P40" i="27" s="1"/>
  <c r="X44" i="27"/>
  <c r="Q43" i="27"/>
  <c r="R43" i="27" s="1"/>
  <c r="I40" i="28"/>
  <c r="Q40" i="27"/>
  <c r="R40" i="27" s="1"/>
  <c r="Q37" i="27"/>
  <c r="R37" i="27" s="1"/>
  <c r="Q28" i="27"/>
  <c r="R28" i="27" s="1"/>
  <c r="AT15" i="1"/>
  <c r="AX15" i="1"/>
  <c r="T47" i="4"/>
  <c r="O98" i="30"/>
  <c r="P100" i="30"/>
  <c r="P111" i="30"/>
  <c r="S98" i="30"/>
  <c r="W42" i="27"/>
  <c r="K16" i="3"/>
  <c r="G16" i="3"/>
  <c r="I37" i="28"/>
  <c r="H37" i="28"/>
  <c r="F14" i="35"/>
  <c r="F15" i="35" s="1"/>
  <c r="F33" i="35"/>
  <c r="F48" i="35" s="1"/>
  <c r="H35" i="28"/>
  <c r="I34" i="28"/>
  <c r="J28" i="27"/>
  <c r="K28" i="27" s="1"/>
  <c r="F24" i="28"/>
  <c r="U24" i="28" s="1"/>
  <c r="H85" i="3"/>
  <c r="H98" i="3" s="1"/>
  <c r="I55" i="3"/>
  <c r="O16" i="3"/>
  <c r="Q16" i="3"/>
  <c r="I28" i="28"/>
  <c r="K27" i="27"/>
  <c r="K49" i="27" s="1"/>
  <c r="K49" i="28" s="1"/>
  <c r="J49" i="27"/>
  <c r="J49" i="28" s="1"/>
  <c r="J18" i="26"/>
  <c r="J76" i="26"/>
  <c r="J76" i="28"/>
  <c r="J77" i="28" s="1"/>
  <c r="O49" i="3"/>
  <c r="I39" i="27"/>
  <c r="O46" i="3"/>
  <c r="I36" i="27"/>
  <c r="Q36" i="27" s="1"/>
  <c r="R36" i="27" s="1"/>
  <c r="J50" i="27"/>
  <c r="I43" i="28"/>
  <c r="O45" i="3"/>
  <c r="I35" i="27"/>
  <c r="Q35" i="27" s="1"/>
  <c r="R35" i="27" s="1"/>
  <c r="S13" i="4"/>
  <c r="T96" i="4"/>
  <c r="AB15" i="4"/>
  <c r="AB96" i="4"/>
  <c r="AB16" i="3"/>
  <c r="AB96" i="3"/>
  <c r="K53" i="3"/>
  <c r="L95" i="3"/>
  <c r="L97" i="3" s="1"/>
  <c r="O52" i="6"/>
  <c r="S14" i="3"/>
  <c r="T96" i="3"/>
  <c r="AB55" i="7"/>
  <c r="W77" i="3"/>
  <c r="S82" i="3"/>
  <c r="AB29" i="6"/>
  <c r="AB43" i="6" s="1"/>
  <c r="K54" i="6"/>
  <c r="AB75" i="3"/>
  <c r="AA75" i="3" s="1"/>
  <c r="AB71" i="3"/>
  <c r="AA71" i="3" s="1"/>
  <c r="T50" i="4"/>
  <c r="AB73" i="3"/>
  <c r="AA73" i="3" s="1"/>
  <c r="AA53" i="7"/>
  <c r="W55" i="7"/>
  <c r="H70" i="2"/>
  <c r="H74" i="2"/>
  <c r="X43" i="6"/>
  <c r="W43" i="6" s="1"/>
  <c r="S46" i="6"/>
  <c r="S49" i="6"/>
  <c r="T52" i="6"/>
  <c r="AB65" i="6"/>
  <c r="AB40" i="6"/>
  <c r="P54" i="6"/>
  <c r="Q54" i="6" s="1"/>
  <c r="X48" i="6"/>
  <c r="X46" i="6"/>
  <c r="X44" i="6"/>
  <c r="AA44" i="6" s="1"/>
  <c r="X49" i="6"/>
  <c r="W49" i="6" s="1"/>
  <c r="X45" i="6"/>
  <c r="AA45" i="6" s="1"/>
  <c r="AA40" i="6"/>
  <c r="X46" i="4"/>
  <c r="W46" i="4" s="1"/>
  <c r="X45" i="4"/>
  <c r="W45" i="4" s="1"/>
  <c r="W41" i="4"/>
  <c r="X13" i="4"/>
  <c r="AA11" i="4"/>
  <c r="AB65" i="4"/>
  <c r="AA65" i="4"/>
  <c r="AB61" i="4"/>
  <c r="AA61" i="4" s="1"/>
  <c r="L55" i="4"/>
  <c r="S47" i="4"/>
  <c r="O47" i="4"/>
  <c r="AB27" i="4"/>
  <c r="AA27" i="4"/>
  <c r="P53" i="4"/>
  <c r="AB62" i="4"/>
  <c r="W61" i="4"/>
  <c r="O15" i="4"/>
  <c r="W11" i="4"/>
  <c r="AB73" i="4"/>
  <c r="AA73" i="4" s="1"/>
  <c r="T44" i="4"/>
  <c r="K53" i="4"/>
  <c r="AB69" i="4"/>
  <c r="S46" i="4"/>
  <c r="O46" i="4"/>
  <c r="S50" i="4"/>
  <c r="O50" i="4"/>
  <c r="AB35" i="4"/>
  <c r="AB41" i="4" s="1"/>
  <c r="AA41" i="4" s="1"/>
  <c r="AA35" i="4"/>
  <c r="S66" i="4"/>
  <c r="G55" i="4"/>
  <c r="S49" i="4"/>
  <c r="AB77" i="4"/>
  <c r="AA77" i="4" s="1"/>
  <c r="X66" i="4"/>
  <c r="W35" i="4"/>
  <c r="O44" i="4"/>
  <c r="T15" i="4"/>
  <c r="S15" i="4" s="1"/>
  <c r="AB23" i="4"/>
  <c r="X30" i="4"/>
  <c r="W69" i="4"/>
  <c r="S45" i="4"/>
  <c r="O45" i="4"/>
  <c r="W27" i="4"/>
  <c r="W25" i="3"/>
  <c r="L55" i="3"/>
  <c r="L85" i="3" s="1"/>
  <c r="T16" i="3"/>
  <c r="S16" i="3" s="1"/>
  <c r="X82" i="3"/>
  <c r="X44" i="3"/>
  <c r="W30" i="3"/>
  <c r="AB51" i="3"/>
  <c r="AA51" i="3" s="1"/>
  <c r="AA12" i="3"/>
  <c r="X14" i="3"/>
  <c r="X66" i="3"/>
  <c r="W66" i="3" s="1"/>
  <c r="AB59" i="3"/>
  <c r="AA59" i="3" s="1"/>
  <c r="AB62" i="3"/>
  <c r="AA62" i="3" s="1"/>
  <c r="AB74" i="3"/>
  <c r="AB61" i="3"/>
  <c r="AA61" i="3" s="1"/>
  <c r="AB70" i="3"/>
  <c r="AA70" i="3" s="1"/>
  <c r="T50" i="3"/>
  <c r="S50" i="3" s="1"/>
  <c r="T49" i="3"/>
  <c r="T45" i="3"/>
  <c r="T47" i="3"/>
  <c r="S47" i="3" s="1"/>
  <c r="T46" i="3"/>
  <c r="S46" i="3" s="1"/>
  <c r="AB78" i="3"/>
  <c r="AA78" i="3" s="1"/>
  <c r="W51" i="3"/>
  <c r="P53" i="3"/>
  <c r="AB35" i="3"/>
  <c r="AA35" i="3" s="1"/>
  <c r="X41" i="3"/>
  <c r="O50" i="3"/>
  <c r="AB25" i="3"/>
  <c r="AB30" i="3" s="1"/>
  <c r="G55" i="3"/>
  <c r="W78" i="3"/>
  <c r="W12" i="3"/>
  <c r="O47" i="3"/>
  <c r="S44" i="3"/>
  <c r="W35" i="3"/>
  <c r="AB39" i="3"/>
  <c r="AA39" i="3" s="1"/>
  <c r="X48" i="3"/>
  <c r="I46" i="2"/>
  <c r="I54" i="2" s="1"/>
  <c r="M24" i="2"/>
  <c r="J46" i="2" s="1"/>
  <c r="J54" i="2" s="1"/>
  <c r="E42" i="35" l="1"/>
  <c r="F49" i="35"/>
  <c r="F50" i="35" s="1"/>
  <c r="E53" i="35"/>
  <c r="F34" i="35"/>
  <c r="F35" i="35" s="1"/>
  <c r="F27" i="35"/>
  <c r="J77" i="42"/>
  <c r="J78" i="42"/>
  <c r="J79" i="42" s="1"/>
  <c r="J80" i="42"/>
  <c r="J81" i="42" s="1"/>
  <c r="X28" i="28"/>
  <c r="Q28" i="28"/>
  <c r="R28" i="28" s="1"/>
  <c r="X37" i="28"/>
  <c r="Q37" i="28"/>
  <c r="R37" i="28" s="1"/>
  <c r="X43" i="28"/>
  <c r="Q43" i="28"/>
  <c r="R43" i="28" s="1"/>
  <c r="W35" i="28"/>
  <c r="O35" i="28"/>
  <c r="P35" i="28" s="1"/>
  <c r="X34" i="28"/>
  <c r="Q34" i="28"/>
  <c r="R34" i="28" s="1"/>
  <c r="W37" i="28"/>
  <c r="O37" i="28"/>
  <c r="P37" i="28" s="1"/>
  <c r="X40" i="28"/>
  <c r="Q40" i="28"/>
  <c r="R40" i="28" s="1"/>
  <c r="W40" i="28"/>
  <c r="O40" i="28"/>
  <c r="P40" i="28" s="1"/>
  <c r="I39" i="28"/>
  <c r="Q39" i="27"/>
  <c r="R39" i="27" s="1"/>
  <c r="P102" i="30"/>
  <c r="S100" i="30"/>
  <c r="O100" i="30"/>
  <c r="X42" i="27"/>
  <c r="J28" i="28"/>
  <c r="P95" i="3"/>
  <c r="P97" i="3" s="1"/>
  <c r="Q53" i="3"/>
  <c r="M55" i="3"/>
  <c r="G14" i="35"/>
  <c r="F16" i="35"/>
  <c r="F40" i="35"/>
  <c r="F53" i="35" s="1"/>
  <c r="I35" i="28"/>
  <c r="I36" i="28"/>
  <c r="G33" i="35"/>
  <c r="G48" i="35" s="1"/>
  <c r="G49" i="35" s="1"/>
  <c r="G50" i="35" s="1"/>
  <c r="H87" i="3"/>
  <c r="H89" i="3" s="1"/>
  <c r="M85" i="3"/>
  <c r="I85" i="3"/>
  <c r="K50" i="27"/>
  <c r="K27" i="28"/>
  <c r="K50" i="28" s="1"/>
  <c r="L27" i="27"/>
  <c r="L27" i="28" s="1"/>
  <c r="L50" i="28" s="1"/>
  <c r="L28" i="27"/>
  <c r="L28" i="28" s="1"/>
  <c r="K28" i="28"/>
  <c r="J77" i="26"/>
  <c r="J80" i="26"/>
  <c r="J81" i="26" s="1"/>
  <c r="K18" i="26"/>
  <c r="J43" i="28"/>
  <c r="J55" i="26"/>
  <c r="J60" i="26" s="1"/>
  <c r="J18" i="28"/>
  <c r="AA13" i="4"/>
  <c r="X96" i="4"/>
  <c r="K55" i="4"/>
  <c r="O54" i="6"/>
  <c r="S52" i="6"/>
  <c r="L98" i="3"/>
  <c r="AA14" i="3"/>
  <c r="X96" i="3"/>
  <c r="O53" i="4"/>
  <c r="AA55" i="7"/>
  <c r="K55" i="3"/>
  <c r="L87" i="3"/>
  <c r="W82" i="3"/>
  <c r="G85" i="3"/>
  <c r="T54" i="6"/>
  <c r="I70" i="2"/>
  <c r="I74" i="2"/>
  <c r="J70" i="2"/>
  <c r="J74" i="2"/>
  <c r="AA29" i="6"/>
  <c r="AA43" i="6"/>
  <c r="W48" i="6"/>
  <c r="W46" i="6"/>
  <c r="X52" i="6"/>
  <c r="AB49" i="6"/>
  <c r="AA49" i="6" s="1"/>
  <c r="AB45" i="6"/>
  <c r="AB48" i="6"/>
  <c r="AA48" i="6" s="1"/>
  <c r="AB46" i="6"/>
  <c r="AA46" i="6" s="1"/>
  <c r="AB44" i="6"/>
  <c r="AB66" i="4"/>
  <c r="AB30" i="4"/>
  <c r="AB44" i="4" s="1"/>
  <c r="X44" i="4"/>
  <c r="AA30" i="4"/>
  <c r="T53" i="4"/>
  <c r="W44" i="4"/>
  <c r="P55" i="4"/>
  <c r="X49" i="4"/>
  <c r="AA23" i="4"/>
  <c r="W13" i="4"/>
  <c r="AA62" i="4"/>
  <c r="X47" i="4"/>
  <c r="AB45" i="4"/>
  <c r="AA45" i="4" s="1"/>
  <c r="AB46" i="4"/>
  <c r="AA46" i="4" s="1"/>
  <c r="W15" i="4"/>
  <c r="AA66" i="4"/>
  <c r="W66" i="4"/>
  <c r="AA69" i="4"/>
  <c r="W30" i="4"/>
  <c r="S44" i="4"/>
  <c r="X15" i="4"/>
  <c r="AA15" i="4" s="1"/>
  <c r="X50" i="4"/>
  <c r="AA25" i="3"/>
  <c r="T53" i="3"/>
  <c r="AB82" i="3"/>
  <c r="W14" i="3"/>
  <c r="AB44" i="3"/>
  <c r="AA44" i="3" s="1"/>
  <c r="AA30" i="3"/>
  <c r="AB48" i="3"/>
  <c r="AA48" i="3" s="1"/>
  <c r="G87" i="3"/>
  <c r="X47" i="3"/>
  <c r="X46" i="3"/>
  <c r="W46" i="3" s="1"/>
  <c r="X50" i="3"/>
  <c r="W50" i="3" s="1"/>
  <c r="X49" i="3"/>
  <c r="W49" i="3" s="1"/>
  <c r="X45" i="3"/>
  <c r="W45" i="3" s="1"/>
  <c r="W41" i="3"/>
  <c r="AA74" i="3"/>
  <c r="X16" i="3"/>
  <c r="AB66" i="3"/>
  <c r="AA66" i="3" s="1"/>
  <c r="S49" i="3"/>
  <c r="AB41" i="3"/>
  <c r="AA41" i="3" s="1"/>
  <c r="W48" i="3"/>
  <c r="W44" i="3"/>
  <c r="P55" i="3"/>
  <c r="O53" i="3"/>
  <c r="S45" i="3"/>
  <c r="F41" i="35" l="1"/>
  <c r="G27" i="35"/>
  <c r="G15" i="35"/>
  <c r="G18" i="35" s="1"/>
  <c r="L57" i="28"/>
  <c r="L76" i="42"/>
  <c r="L62" i="42"/>
  <c r="K76" i="42"/>
  <c r="K62" i="42"/>
  <c r="X36" i="28"/>
  <c r="Q36" i="28"/>
  <c r="R36" i="28" s="1"/>
  <c r="X35" i="28"/>
  <c r="Q35" i="28"/>
  <c r="R35" i="28" s="1"/>
  <c r="X39" i="28"/>
  <c r="Q39" i="28"/>
  <c r="R39" i="28" s="1"/>
  <c r="O102" i="30"/>
  <c r="T7" i="30"/>
  <c r="T102" i="30" s="1"/>
  <c r="X7" i="30" s="1"/>
  <c r="X102" i="30" s="1"/>
  <c r="J55" i="28"/>
  <c r="J22" i="28"/>
  <c r="K76" i="28"/>
  <c r="K77" i="28" s="1"/>
  <c r="K57" i="28"/>
  <c r="G40" i="35"/>
  <c r="G53" i="35" s="1"/>
  <c r="P85" i="3"/>
  <c r="Q85" i="3" s="1"/>
  <c r="Q55" i="3"/>
  <c r="G34" i="35"/>
  <c r="G35" i="35" s="1"/>
  <c r="L50" i="27"/>
  <c r="L49" i="27"/>
  <c r="L49" i="28" s="1"/>
  <c r="K76" i="26"/>
  <c r="K80" i="26" s="1"/>
  <c r="K81" i="26" s="1"/>
  <c r="L43" i="28"/>
  <c r="K43" i="28"/>
  <c r="L76" i="28"/>
  <c r="L77" i="28" s="1"/>
  <c r="L76" i="26"/>
  <c r="L18" i="26"/>
  <c r="K55" i="26"/>
  <c r="K60" i="26" s="1"/>
  <c r="K18" i="28"/>
  <c r="T55" i="3"/>
  <c r="T85" i="3" s="1"/>
  <c r="T87" i="3" s="1"/>
  <c r="T95" i="3"/>
  <c r="T97" i="3" s="1"/>
  <c r="W52" i="6"/>
  <c r="S53" i="4"/>
  <c r="S54" i="6"/>
  <c r="O55" i="4"/>
  <c r="AA82" i="3"/>
  <c r="K85" i="3"/>
  <c r="K87" i="3"/>
  <c r="AB52" i="6"/>
  <c r="X54" i="6"/>
  <c r="AB49" i="4"/>
  <c r="AB47" i="4"/>
  <c r="AB50" i="4"/>
  <c r="AA49" i="4"/>
  <c r="W49" i="4"/>
  <c r="T55" i="4"/>
  <c r="W50" i="4"/>
  <c r="AA47" i="4"/>
  <c r="W47" i="4"/>
  <c r="AA44" i="4"/>
  <c r="X53" i="4"/>
  <c r="S53" i="3"/>
  <c r="W47" i="3"/>
  <c r="X53" i="3"/>
  <c r="X95" i="3" s="1"/>
  <c r="X97" i="3" s="1"/>
  <c r="O55" i="3"/>
  <c r="AA16" i="3"/>
  <c r="W16" i="3"/>
  <c r="AB45" i="3"/>
  <c r="AA45" i="3" s="1"/>
  <c r="AB47" i="3"/>
  <c r="AA47" i="3" s="1"/>
  <c r="AB46" i="3"/>
  <c r="AA46" i="3" s="1"/>
  <c r="AB50" i="3"/>
  <c r="AA50" i="3" s="1"/>
  <c r="AB49" i="3"/>
  <c r="AA49" i="3" s="1"/>
  <c r="G89" i="3"/>
  <c r="F42" i="35" l="1"/>
  <c r="G41" i="35"/>
  <c r="G42" i="35" s="1"/>
  <c r="G16" i="35"/>
  <c r="K77" i="42"/>
  <c r="K78" i="42"/>
  <c r="K79" i="42" s="1"/>
  <c r="K80" i="42"/>
  <c r="K81" i="42" s="1"/>
  <c r="L77" i="42"/>
  <c r="L78" i="42"/>
  <c r="L79" i="42" s="1"/>
  <c r="L80" i="42"/>
  <c r="L81" i="42" s="1"/>
  <c r="S102" i="30"/>
  <c r="W102" i="30"/>
  <c r="AB7" i="30"/>
  <c r="AB102" i="30" s="1"/>
  <c r="AA102" i="30" s="1"/>
  <c r="K55" i="28"/>
  <c r="K22" i="28"/>
  <c r="P98" i="3"/>
  <c r="P87" i="3"/>
  <c r="K77" i="26"/>
  <c r="L77" i="26"/>
  <c r="L80" i="26"/>
  <c r="L81" i="26" s="1"/>
  <c r="L55" i="26"/>
  <c r="L60" i="26" s="1"/>
  <c r="L18" i="28"/>
  <c r="S55" i="3"/>
  <c r="T98" i="3"/>
  <c r="AB54" i="6"/>
  <c r="AA54" i="6" s="1"/>
  <c r="W54" i="6"/>
  <c r="S55" i="4"/>
  <c r="AA52" i="6"/>
  <c r="AB53" i="4"/>
  <c r="AA50" i="4"/>
  <c r="AA53" i="4"/>
  <c r="X55" i="4"/>
  <c r="W53" i="4"/>
  <c r="AB53" i="3"/>
  <c r="L8" i="3"/>
  <c r="L89" i="3" s="1"/>
  <c r="S85" i="3"/>
  <c r="O85" i="3"/>
  <c r="X55" i="3"/>
  <c r="X85" i="3" s="1"/>
  <c r="W53" i="3"/>
  <c r="G44" i="35" l="1"/>
  <c r="L55" i="28"/>
  <c r="L22" i="28"/>
  <c r="AB55" i="3"/>
  <c r="AB85" i="3" s="1"/>
  <c r="AB95" i="3"/>
  <c r="AB97" i="3" s="1"/>
  <c r="X87" i="3"/>
  <c r="X98" i="3"/>
  <c r="AB55" i="4"/>
  <c r="K89" i="3"/>
  <c r="AA55" i="4"/>
  <c r="W55" i="4"/>
  <c r="AA53" i="3"/>
  <c r="W55" i="3"/>
  <c r="S87" i="3"/>
  <c r="O87" i="3"/>
  <c r="AA55" i="3" l="1"/>
  <c r="AB87" i="3"/>
  <c r="AB98" i="3"/>
  <c r="P8" i="3"/>
  <c r="AA85" i="3"/>
  <c r="W85" i="3"/>
  <c r="G28" i="2"/>
  <c r="K26" i="2"/>
  <c r="P89" i="3" l="1"/>
  <c r="O89" i="3" s="1"/>
  <c r="AA87" i="3"/>
  <c r="W87" i="3"/>
  <c r="L26" i="2"/>
  <c r="H28" i="2"/>
  <c r="T8" i="3" l="1"/>
  <c r="T89" i="3" s="1"/>
  <c r="M26" i="2"/>
  <c r="I28" i="2"/>
  <c r="J28" i="2"/>
  <c r="S89" i="3" l="1"/>
  <c r="X8" i="3"/>
  <c r="X89" i="3" s="1"/>
  <c r="AB8" i="3" s="1"/>
  <c r="AB89" i="3" s="1"/>
  <c r="K28" i="2"/>
  <c r="L28" i="2"/>
  <c r="AA89" i="3" l="1"/>
  <c r="W89" i="3"/>
  <c r="M28" i="2"/>
  <c r="AM10" i="1" l="1"/>
  <c r="AF21" i="1"/>
  <c r="AF10" i="1"/>
  <c r="AF7" i="1"/>
  <c r="C29" i="1"/>
  <c r="AD88" i="1"/>
  <c r="AD86" i="1"/>
  <c r="AI6" i="1"/>
  <c r="AM6" i="1" s="1"/>
  <c r="AQ6" i="1" s="1"/>
  <c r="AU6" i="1" s="1"/>
  <c r="AY6" i="1" s="1"/>
  <c r="BC6" i="1" s="1"/>
  <c r="AE80" i="1"/>
  <c r="AD84" i="1"/>
  <c r="AD80" i="1"/>
  <c r="AE79" i="1"/>
  <c r="AD79" i="1"/>
  <c r="AE78" i="1"/>
  <c r="AD78" i="1"/>
  <c r="AE77" i="1"/>
  <c r="AD77" i="1"/>
  <c r="AE76" i="1"/>
  <c r="AD76" i="1"/>
  <c r="AE75" i="1"/>
  <c r="AD75" i="1"/>
  <c r="AE74" i="1"/>
  <c r="AD74" i="1"/>
  <c r="AE73" i="1"/>
  <c r="AD73" i="1"/>
  <c r="AE72" i="1"/>
  <c r="AD72" i="1"/>
  <c r="AE71" i="1"/>
  <c r="AD71" i="1"/>
  <c r="AE70" i="1"/>
  <c r="AD70" i="1"/>
  <c r="AE69" i="1"/>
  <c r="AD69" i="1"/>
  <c r="AE68" i="1"/>
  <c r="AD68" i="1"/>
  <c r="AD67" i="1"/>
  <c r="AE64" i="1"/>
  <c r="AD64" i="1"/>
  <c r="AE63" i="1"/>
  <c r="AD63" i="1"/>
  <c r="AE62" i="1"/>
  <c r="AD62" i="1"/>
  <c r="AE61" i="1"/>
  <c r="AD61" i="1"/>
  <c r="AE60" i="1"/>
  <c r="AD60" i="1"/>
  <c r="AE59" i="1"/>
  <c r="AD59" i="1"/>
  <c r="AE58" i="1"/>
  <c r="AD58" i="1"/>
  <c r="AD57" i="1"/>
  <c r="AD54" i="1"/>
  <c r="AE51" i="1"/>
  <c r="AD51" i="1"/>
  <c r="AE50" i="1"/>
  <c r="AD50" i="1"/>
  <c r="AE49" i="1"/>
  <c r="AD49" i="1"/>
  <c r="AE48" i="1"/>
  <c r="AD48" i="1"/>
  <c r="AE47" i="1"/>
  <c r="AD47" i="1"/>
  <c r="AE46" i="1"/>
  <c r="AD46" i="1"/>
  <c r="AE45" i="1"/>
  <c r="AD45" i="1"/>
  <c r="AE44" i="1"/>
  <c r="AD44" i="1"/>
  <c r="AE43" i="1"/>
  <c r="AD43" i="1"/>
  <c r="AD42" i="1"/>
  <c r="AD41" i="1"/>
  <c r="AE38" i="1"/>
  <c r="AD38" i="1"/>
  <c r="AE37" i="1"/>
  <c r="AD37" i="1"/>
  <c r="AE36" i="1"/>
  <c r="AD36" i="1"/>
  <c r="AE35" i="1"/>
  <c r="AD35" i="1"/>
  <c r="AE34" i="1"/>
  <c r="AD34" i="1"/>
  <c r="AE33" i="1"/>
  <c r="AD33" i="1"/>
  <c r="AE32" i="1"/>
  <c r="AD32" i="1"/>
  <c r="AD31" i="1"/>
  <c r="AE27" i="1"/>
  <c r="AD27" i="1"/>
  <c r="AE26" i="1"/>
  <c r="AD26" i="1"/>
  <c r="AE25" i="1"/>
  <c r="AD25" i="1"/>
  <c r="AE24" i="1"/>
  <c r="AD24" i="1"/>
  <c r="AE23" i="1"/>
  <c r="AD23" i="1"/>
  <c r="AE22" i="1"/>
  <c r="AD22" i="1"/>
  <c r="AE21" i="1"/>
  <c r="AD21" i="1"/>
  <c r="AD20" i="1"/>
  <c r="AI21" i="1" l="1"/>
  <c r="AM21" i="1" s="1"/>
  <c r="AP10" i="1"/>
  <c r="AL21" i="1" l="1"/>
  <c r="AQ21" i="1"/>
  <c r="AP21" i="1" s="1"/>
  <c r="AH21" i="1"/>
  <c r="AF103" i="1"/>
  <c r="AF102" i="1"/>
  <c r="AF101" i="1"/>
  <c r="AF100" i="1"/>
  <c r="AF99" i="1"/>
  <c r="AA104" i="1"/>
  <c r="Y104" i="1"/>
  <c r="W104" i="1"/>
  <c r="U104" i="1"/>
  <c r="S104" i="1"/>
  <c r="Q104" i="1"/>
  <c r="O104" i="1"/>
  <c r="M104" i="1"/>
  <c r="K104" i="1"/>
  <c r="I104" i="1"/>
  <c r="G104" i="1"/>
  <c r="E104" i="1"/>
  <c r="C104" i="1"/>
  <c r="AU21" i="1" l="1"/>
  <c r="AT21" i="1" s="1"/>
  <c r="AF104" i="1"/>
  <c r="AF93" i="1"/>
  <c r="AF92" i="1"/>
  <c r="AF77" i="1"/>
  <c r="AI77" i="1" s="1"/>
  <c r="AF78" i="1"/>
  <c r="AI78" i="1" s="1"/>
  <c r="AF79" i="1"/>
  <c r="AF80" i="1"/>
  <c r="AF64" i="1"/>
  <c r="AF76" i="1"/>
  <c r="AI76" i="1" s="1"/>
  <c r="AF75" i="1"/>
  <c r="AI75" i="1" s="1"/>
  <c r="AF74" i="1"/>
  <c r="AI74" i="1" s="1"/>
  <c r="AF73" i="1"/>
  <c r="AI73" i="1" s="1"/>
  <c r="AF72" i="1"/>
  <c r="AI72" i="1" s="1"/>
  <c r="AF71" i="1"/>
  <c r="AI71" i="1" s="1"/>
  <c r="AF70" i="1"/>
  <c r="AI70" i="1" s="1"/>
  <c r="AF69" i="1"/>
  <c r="AI69" i="1" s="1"/>
  <c r="AF68" i="1"/>
  <c r="AF63" i="1"/>
  <c r="AI63" i="1" s="1"/>
  <c r="AF62" i="1"/>
  <c r="AF61" i="1"/>
  <c r="AF60" i="1"/>
  <c r="AF59" i="1"/>
  <c r="AF58" i="1"/>
  <c r="AF51" i="1"/>
  <c r="AF38" i="1"/>
  <c r="AF37" i="1"/>
  <c r="AF36" i="1"/>
  <c r="AF35" i="1"/>
  <c r="AF34" i="1"/>
  <c r="AF33" i="1"/>
  <c r="AF32" i="1"/>
  <c r="AF27" i="1"/>
  <c r="AF26" i="1"/>
  <c r="AF25" i="1"/>
  <c r="AF24" i="1"/>
  <c r="AF23" i="1"/>
  <c r="AF22" i="1"/>
  <c r="AA49" i="1"/>
  <c r="AA48" i="1"/>
  <c r="AA46" i="1"/>
  <c r="AA45" i="1"/>
  <c r="Y81" i="1"/>
  <c r="Y50" i="1"/>
  <c r="Y49" i="1"/>
  <c r="Y45" i="1"/>
  <c r="W49" i="1"/>
  <c r="W46" i="1"/>
  <c r="W45" i="1"/>
  <c r="U44" i="1"/>
  <c r="U43" i="1"/>
  <c r="U49" i="1"/>
  <c r="U46" i="1"/>
  <c r="U45" i="1"/>
  <c r="S49" i="1"/>
  <c r="S48" i="1"/>
  <c r="S46" i="1"/>
  <c r="S45" i="1"/>
  <c r="Q48" i="1"/>
  <c r="Q47" i="1"/>
  <c r="Q46" i="1"/>
  <c r="Q45" i="1"/>
  <c r="O49" i="1"/>
  <c r="O46" i="1"/>
  <c r="O45" i="1"/>
  <c r="M49" i="1"/>
  <c r="M48" i="1"/>
  <c r="M47" i="1"/>
  <c r="K48" i="1"/>
  <c r="K47" i="1"/>
  <c r="K46" i="1"/>
  <c r="K45" i="1"/>
  <c r="I49" i="1"/>
  <c r="I48" i="1"/>
  <c r="I46" i="1"/>
  <c r="G49" i="1"/>
  <c r="G48" i="1"/>
  <c r="G46" i="1"/>
  <c r="E94" i="1"/>
  <c r="E49" i="1"/>
  <c r="E48" i="1"/>
  <c r="E46" i="1"/>
  <c r="E45" i="1"/>
  <c r="AA94" i="1"/>
  <c r="AA81" i="1"/>
  <c r="AA65" i="1"/>
  <c r="AA40" i="1"/>
  <c r="AA29" i="1"/>
  <c r="Y94" i="1"/>
  <c r="Y65" i="1"/>
  <c r="Y40" i="1"/>
  <c r="Y29" i="1"/>
  <c r="W94" i="1"/>
  <c r="W81" i="1"/>
  <c r="W65" i="1"/>
  <c r="W40" i="1"/>
  <c r="W29" i="1"/>
  <c r="U94" i="1"/>
  <c r="U81" i="1"/>
  <c r="U65" i="1"/>
  <c r="U40" i="1"/>
  <c r="U29" i="1"/>
  <c r="S94" i="1"/>
  <c r="S81" i="1"/>
  <c r="S65" i="1"/>
  <c r="S40" i="1"/>
  <c r="S29" i="1"/>
  <c r="Q94" i="1"/>
  <c r="Q81" i="1"/>
  <c r="Q65" i="1"/>
  <c r="Q40" i="1"/>
  <c r="Q29" i="1"/>
  <c r="O94" i="1"/>
  <c r="O81" i="1"/>
  <c r="O65" i="1"/>
  <c r="O40" i="1"/>
  <c r="O29" i="1"/>
  <c r="M94" i="1"/>
  <c r="M81" i="1"/>
  <c r="M65" i="1"/>
  <c r="M40" i="1"/>
  <c r="M29" i="1"/>
  <c r="K94" i="1"/>
  <c r="K81" i="1"/>
  <c r="K65" i="1"/>
  <c r="K40" i="1"/>
  <c r="K29" i="1"/>
  <c r="I94" i="1"/>
  <c r="I81" i="1"/>
  <c r="I65" i="1"/>
  <c r="I40" i="1"/>
  <c r="I29" i="1"/>
  <c r="G94" i="1"/>
  <c r="G81" i="1"/>
  <c r="G65" i="1"/>
  <c r="G40" i="1"/>
  <c r="G29" i="1"/>
  <c r="C94" i="1"/>
  <c r="B93" i="1"/>
  <c r="B92" i="1"/>
  <c r="C45" i="1"/>
  <c r="C46" i="1"/>
  <c r="C49" i="1"/>
  <c r="C48" i="1"/>
  <c r="AF48" i="1" s="1"/>
  <c r="C47" i="1"/>
  <c r="C81" i="1"/>
  <c r="C65" i="1"/>
  <c r="E29" i="1"/>
  <c r="E40" i="1"/>
  <c r="C40" i="1"/>
  <c r="G12" i="1"/>
  <c r="AI24" i="1" l="1"/>
  <c r="AI36" i="1"/>
  <c r="AM36" i="1" s="1"/>
  <c r="AI62" i="1"/>
  <c r="AM62" i="1" s="1"/>
  <c r="AH74" i="1"/>
  <c r="AM74" i="1"/>
  <c r="AQ74" i="1" s="1"/>
  <c r="AI25" i="1"/>
  <c r="AH25" i="1" s="1"/>
  <c r="AI33" i="1"/>
  <c r="AH33" i="1"/>
  <c r="AI37" i="1"/>
  <c r="AH37" i="1" s="1"/>
  <c r="AI59" i="1"/>
  <c r="AH59" i="1" s="1"/>
  <c r="AH63" i="1"/>
  <c r="AM63" i="1"/>
  <c r="AH71" i="1"/>
  <c r="AM71" i="1"/>
  <c r="AQ71" i="1" s="1"/>
  <c r="AH75" i="1"/>
  <c r="AM75" i="1"/>
  <c r="AI79" i="1"/>
  <c r="AI32" i="1"/>
  <c r="AI58" i="1"/>
  <c r="AH58" i="1" s="1"/>
  <c r="AH70" i="1"/>
  <c r="AM70" i="1"/>
  <c r="AQ70" i="1" s="1"/>
  <c r="D81" i="39"/>
  <c r="D81" i="40"/>
  <c r="D75" i="33"/>
  <c r="D94" i="32"/>
  <c r="D86" i="34"/>
  <c r="D81" i="25"/>
  <c r="D81" i="24"/>
  <c r="D88" i="23"/>
  <c r="D81" i="19"/>
  <c r="D81" i="18"/>
  <c r="D81" i="15"/>
  <c r="D81" i="17"/>
  <c r="D81" i="21"/>
  <c r="D77" i="20"/>
  <c r="D81" i="9"/>
  <c r="D81" i="12"/>
  <c r="D82" i="10"/>
  <c r="D81" i="11"/>
  <c r="D81" i="14"/>
  <c r="D81" i="7"/>
  <c r="D81" i="4"/>
  <c r="AH80" i="1"/>
  <c r="D80" i="6"/>
  <c r="AI80" i="1"/>
  <c r="AI22" i="1"/>
  <c r="AH22" i="1" s="1"/>
  <c r="AI26" i="1"/>
  <c r="AH26" i="1"/>
  <c r="AI34" i="1"/>
  <c r="AH34" i="1"/>
  <c r="AI38" i="1"/>
  <c r="AH38" i="1" s="1"/>
  <c r="AI60" i="1"/>
  <c r="AH60" i="1" s="1"/>
  <c r="AI68" i="1"/>
  <c r="AI81" i="1" s="1"/>
  <c r="AH72" i="1"/>
  <c r="AM72" i="1"/>
  <c r="AH76" i="1"/>
  <c r="AM76" i="1"/>
  <c r="AQ76" i="1" s="1"/>
  <c r="AH78" i="1"/>
  <c r="AM78" i="1"/>
  <c r="AQ78" i="1" s="1"/>
  <c r="AI23" i="1"/>
  <c r="AI27" i="1"/>
  <c r="AH27" i="1" s="1"/>
  <c r="AI35" i="1"/>
  <c r="AI51" i="1"/>
  <c r="AH51" i="1" s="1"/>
  <c r="AI61" i="1"/>
  <c r="AH61" i="1" s="1"/>
  <c r="AH69" i="1"/>
  <c r="AM69" i="1"/>
  <c r="AQ69" i="1" s="1"/>
  <c r="AH73" i="1"/>
  <c r="AM73" i="1"/>
  <c r="AQ73" i="1" s="1"/>
  <c r="AH64" i="1"/>
  <c r="AI64" i="1"/>
  <c r="AH77" i="1"/>
  <c r="AM77" i="1"/>
  <c r="AQ77" i="1" s="1"/>
  <c r="AY21" i="1"/>
  <c r="I52" i="1"/>
  <c r="I54" i="1" s="1"/>
  <c r="I84" i="1" s="1"/>
  <c r="AF49" i="1"/>
  <c r="Y52" i="1"/>
  <c r="AA52" i="1"/>
  <c r="AA54" i="1" s="1"/>
  <c r="AA84" i="1" s="1"/>
  <c r="AF47" i="1"/>
  <c r="AF45" i="1"/>
  <c r="AF46" i="1"/>
  <c r="M52" i="1"/>
  <c r="M54" i="1" s="1"/>
  <c r="M84" i="1" s="1"/>
  <c r="AF50" i="1"/>
  <c r="E52" i="1"/>
  <c r="E54" i="1" s="1"/>
  <c r="G52" i="1"/>
  <c r="O52" i="1"/>
  <c r="O54" i="1" s="1"/>
  <c r="O84" i="1" s="1"/>
  <c r="W52" i="1"/>
  <c r="W54" i="1" s="1"/>
  <c r="W84" i="1" s="1"/>
  <c r="AF65" i="1"/>
  <c r="AF29" i="1"/>
  <c r="AF43" i="1"/>
  <c r="U52" i="1"/>
  <c r="U54" i="1" s="1"/>
  <c r="U84" i="1" s="1"/>
  <c r="Y54" i="1"/>
  <c r="Y84" i="1" s="1"/>
  <c r="AF44" i="1"/>
  <c r="AF81" i="1"/>
  <c r="AF94" i="1"/>
  <c r="K52" i="1"/>
  <c r="K54" i="1" s="1"/>
  <c r="K84" i="1" s="1"/>
  <c r="AF40" i="1"/>
  <c r="S52" i="1"/>
  <c r="S54" i="1" s="1"/>
  <c r="S84" i="1" s="1"/>
  <c r="Q52" i="1"/>
  <c r="Q54" i="1" s="1"/>
  <c r="Q84" i="1" s="1"/>
  <c r="G54" i="1"/>
  <c r="G84" i="1" s="1"/>
  <c r="C52" i="1"/>
  <c r="C54" i="1" s="1"/>
  <c r="AM11" i="1"/>
  <c r="E9" i="1"/>
  <c r="AI10" i="1" s="1"/>
  <c r="E65" i="1"/>
  <c r="E81" i="1"/>
  <c r="AI65" i="1" l="1"/>
  <c r="AL77" i="1"/>
  <c r="AL71" i="1"/>
  <c r="AL70" i="1"/>
  <c r="AL69" i="1"/>
  <c r="AL76" i="1"/>
  <c r="AM23" i="1"/>
  <c r="G81" i="11"/>
  <c r="D82" i="11"/>
  <c r="H81" i="11"/>
  <c r="AP74" i="1"/>
  <c r="AU74" i="1"/>
  <c r="AI50" i="1"/>
  <c r="AI47" i="1"/>
  <c r="AM47" i="1" s="1"/>
  <c r="AP77" i="1"/>
  <c r="AU77" i="1"/>
  <c r="AL73" i="1"/>
  <c r="AP69" i="1"/>
  <c r="AU69" i="1"/>
  <c r="AL78" i="1"/>
  <c r="AP76" i="1"/>
  <c r="AU76" i="1"/>
  <c r="AM34" i="1"/>
  <c r="G81" i="4"/>
  <c r="H81" i="4"/>
  <c r="D82" i="4"/>
  <c r="G82" i="10"/>
  <c r="H82" i="10"/>
  <c r="D83" i="10"/>
  <c r="G81" i="21"/>
  <c r="D82" i="21"/>
  <c r="H81" i="21"/>
  <c r="G81" i="19"/>
  <c r="H81" i="19"/>
  <c r="D82" i="19"/>
  <c r="G86" i="34"/>
  <c r="H86" i="34"/>
  <c r="D87" i="34"/>
  <c r="D82" i="39"/>
  <c r="G81" i="39"/>
  <c r="H81" i="39"/>
  <c r="AM79" i="1"/>
  <c r="AQ79" i="1" s="1"/>
  <c r="AL63" i="1"/>
  <c r="AQ63" i="1"/>
  <c r="AP63" i="1" s="1"/>
  <c r="AH36" i="1"/>
  <c r="E84" i="1"/>
  <c r="AQ72" i="1"/>
  <c r="G77" i="20"/>
  <c r="H77" i="20"/>
  <c r="D78" i="20"/>
  <c r="D82" i="25"/>
  <c r="G81" i="25"/>
  <c r="H81" i="25"/>
  <c r="AQ75" i="1"/>
  <c r="AL36" i="1"/>
  <c r="AQ36" i="1"/>
  <c r="AU36" i="1" s="1"/>
  <c r="AH10" i="1"/>
  <c r="AL10" i="1"/>
  <c r="AP73" i="1"/>
  <c r="AU73" i="1"/>
  <c r="AT73" i="1" s="1"/>
  <c r="AM51" i="1"/>
  <c r="AL51" i="1"/>
  <c r="AM27" i="1"/>
  <c r="AQ27" i="1" s="1"/>
  <c r="AL27" i="1"/>
  <c r="AP78" i="1"/>
  <c r="AU78" i="1"/>
  <c r="AM68" i="1"/>
  <c r="AL68" i="1" s="1"/>
  <c r="AL80" i="1"/>
  <c r="AM80" i="1"/>
  <c r="G81" i="7"/>
  <c r="D82" i="7"/>
  <c r="H81" i="7"/>
  <c r="G81" i="12"/>
  <c r="H81" i="12"/>
  <c r="D82" i="12"/>
  <c r="G81" i="17"/>
  <c r="H81" i="17"/>
  <c r="D82" i="17"/>
  <c r="G88" i="23"/>
  <c r="D89" i="23"/>
  <c r="G94" i="32"/>
  <c r="H94" i="32"/>
  <c r="D95" i="32"/>
  <c r="AM58" i="1"/>
  <c r="AL58" i="1" s="1"/>
  <c r="AH79" i="1"/>
  <c r="AM37" i="1"/>
  <c r="AM25" i="1"/>
  <c r="AL62" i="1"/>
  <c r="AQ62" i="1"/>
  <c r="AP62" i="1" s="1"/>
  <c r="AL24" i="1"/>
  <c r="AM24" i="1"/>
  <c r="AM35" i="1"/>
  <c r="AL35" i="1"/>
  <c r="AM60" i="1"/>
  <c r="AQ60" i="1" s="1"/>
  <c r="AM22" i="1"/>
  <c r="AL22" i="1"/>
  <c r="G81" i="18"/>
  <c r="H81" i="18"/>
  <c r="D82" i="18"/>
  <c r="G81" i="40"/>
  <c r="D82" i="40"/>
  <c r="H81" i="40"/>
  <c r="AM32" i="1"/>
  <c r="AL32" i="1"/>
  <c r="AM33" i="1"/>
  <c r="AL33" i="1"/>
  <c r="AI29" i="1"/>
  <c r="AH29" i="1" s="1"/>
  <c r="AI40" i="1"/>
  <c r="AH40" i="1" s="1"/>
  <c r="AX21" i="1"/>
  <c r="BC21" i="1"/>
  <c r="BB21" i="1" s="1"/>
  <c r="AL64" i="1"/>
  <c r="AM64" i="1"/>
  <c r="AM61" i="1"/>
  <c r="AQ61" i="1" s="1"/>
  <c r="AH35" i="1"/>
  <c r="AH23" i="1"/>
  <c r="AL72" i="1"/>
  <c r="AH68" i="1"/>
  <c r="AL38" i="1"/>
  <c r="AM38" i="1"/>
  <c r="AM26" i="1"/>
  <c r="AL26" i="1"/>
  <c r="G80" i="6"/>
  <c r="H80" i="6"/>
  <c r="D81" i="6"/>
  <c r="D82" i="14"/>
  <c r="G81" i="14"/>
  <c r="H81" i="14"/>
  <c r="D82" i="9"/>
  <c r="G81" i="9"/>
  <c r="H81" i="9"/>
  <c r="D82" i="15"/>
  <c r="H81" i="15"/>
  <c r="G81" i="15"/>
  <c r="G81" i="24"/>
  <c r="D82" i="24"/>
  <c r="H81" i="24"/>
  <c r="D76" i="33"/>
  <c r="G75" i="33"/>
  <c r="AP70" i="1"/>
  <c r="AU70" i="1"/>
  <c r="AH32" i="1"/>
  <c r="AL75" i="1"/>
  <c r="AP71" i="1"/>
  <c r="AU71" i="1"/>
  <c r="AM59" i="1"/>
  <c r="AL74" i="1"/>
  <c r="AH62" i="1"/>
  <c r="AH24" i="1"/>
  <c r="AM13" i="1"/>
  <c r="AP13" i="1" s="1"/>
  <c r="AP11" i="1"/>
  <c r="AH65" i="1"/>
  <c r="AI43" i="1"/>
  <c r="AI49" i="1"/>
  <c r="AH81" i="1"/>
  <c r="M96" i="1"/>
  <c r="M107" i="1" s="1"/>
  <c r="Y96" i="1"/>
  <c r="Y107" i="1" s="1"/>
  <c r="K96" i="1"/>
  <c r="K107" i="1" s="1"/>
  <c r="I96" i="1"/>
  <c r="I107" i="1" s="1"/>
  <c r="O96" i="1"/>
  <c r="O107" i="1" s="1"/>
  <c r="Q96" i="1"/>
  <c r="Q107" i="1" s="1"/>
  <c r="AA96" i="1"/>
  <c r="AA107" i="1" s="1"/>
  <c r="W96" i="1"/>
  <c r="W107" i="1" s="1"/>
  <c r="S96" i="1"/>
  <c r="S107" i="1" s="1"/>
  <c r="U96" i="1"/>
  <c r="U107" i="1" s="1"/>
  <c r="G96" i="1"/>
  <c r="G107" i="1" s="1"/>
  <c r="AF52" i="1"/>
  <c r="AF54" i="1" s="1"/>
  <c r="AF84" i="1" s="1"/>
  <c r="AI11" i="1"/>
  <c r="AL11" i="1" s="1"/>
  <c r="E96" i="1"/>
  <c r="E107" i="1" s="1"/>
  <c r="E10" i="1"/>
  <c r="C9" i="1" s="1"/>
  <c r="AL61" i="1" l="1"/>
  <c r="AQ59" i="1"/>
  <c r="AU59" i="1" s="1"/>
  <c r="G82" i="14"/>
  <c r="D101" i="14"/>
  <c r="D103" i="14" s="1"/>
  <c r="D104" i="14" s="1"/>
  <c r="D91" i="14"/>
  <c r="AQ25" i="1"/>
  <c r="AP25" i="1"/>
  <c r="AT36" i="1"/>
  <c r="AY36" i="1"/>
  <c r="AU72" i="1"/>
  <c r="AT72" i="1" s="1"/>
  <c r="D90" i="34"/>
  <c r="D100" i="34"/>
  <c r="D102" i="34" s="1"/>
  <c r="AT69" i="1"/>
  <c r="AY69" i="1"/>
  <c r="AM50" i="1"/>
  <c r="AL50" i="1"/>
  <c r="L81" i="24"/>
  <c r="H82" i="24"/>
  <c r="K81" i="24"/>
  <c r="AP61" i="1"/>
  <c r="AU61" i="1"/>
  <c r="AQ32" i="1"/>
  <c r="AP32" i="1" s="1"/>
  <c r="AM40" i="1"/>
  <c r="D88" i="18"/>
  <c r="D98" i="18"/>
  <c r="D100" i="18" s="1"/>
  <c r="AQ22" i="1"/>
  <c r="AP22" i="1"/>
  <c r="AM29" i="1"/>
  <c r="AQ35" i="1"/>
  <c r="AU35" i="1" s="1"/>
  <c r="AP35" i="1"/>
  <c r="AU62" i="1"/>
  <c r="AQ37" i="1"/>
  <c r="AP37" i="1" s="1"/>
  <c r="AQ58" i="1"/>
  <c r="AM65" i="1"/>
  <c r="D108" i="23"/>
  <c r="D13" i="23"/>
  <c r="I89" i="23"/>
  <c r="G89" i="23"/>
  <c r="L81" i="7"/>
  <c r="H82" i="7"/>
  <c r="K81" i="7"/>
  <c r="AQ51" i="1"/>
  <c r="AU51" i="1" s="1"/>
  <c r="AP51" i="1"/>
  <c r="AP36" i="1"/>
  <c r="H82" i="25"/>
  <c r="K81" i="25"/>
  <c r="L81" i="25"/>
  <c r="H78" i="20"/>
  <c r="K77" i="20"/>
  <c r="L77" i="20"/>
  <c r="AU63" i="1"/>
  <c r="AT63" i="1" s="1"/>
  <c r="H82" i="39"/>
  <c r="K81" i="39"/>
  <c r="L81" i="39"/>
  <c r="L86" i="34"/>
  <c r="K86" i="34"/>
  <c r="H87" i="34"/>
  <c r="D88" i="10"/>
  <c r="D98" i="10"/>
  <c r="D100" i="10" s="1"/>
  <c r="L81" i="4"/>
  <c r="K81" i="4"/>
  <c r="H82" i="4"/>
  <c r="AT76" i="1"/>
  <c r="AY76" i="1"/>
  <c r="AL47" i="1"/>
  <c r="AQ47" i="1"/>
  <c r="AT74" i="1"/>
  <c r="AY74" i="1"/>
  <c r="AI44" i="1"/>
  <c r="AI45" i="1"/>
  <c r="AL40" i="1"/>
  <c r="AP80" i="1"/>
  <c r="AQ80" i="1"/>
  <c r="AU75" i="1"/>
  <c r="AT75" i="1" s="1"/>
  <c r="G78" i="20"/>
  <c r="D81" i="20"/>
  <c r="D91" i="20"/>
  <c r="D93" i="20" s="1"/>
  <c r="K81" i="19"/>
  <c r="L81" i="19"/>
  <c r="H82" i="19"/>
  <c r="L147" i="31" s="1"/>
  <c r="D95" i="4"/>
  <c r="D97" i="4" s="1"/>
  <c r="G82" i="4"/>
  <c r="D85" i="4"/>
  <c r="D95" i="11"/>
  <c r="D97" i="11" s="1"/>
  <c r="D98" i="11" s="1"/>
  <c r="D85" i="11"/>
  <c r="AT71" i="1"/>
  <c r="AY71" i="1"/>
  <c r="AT70" i="1"/>
  <c r="AY70" i="1"/>
  <c r="BC70" i="1" s="1"/>
  <c r="BB70" i="1" s="1"/>
  <c r="D85" i="9"/>
  <c r="D95" i="9"/>
  <c r="D97" i="9" s="1"/>
  <c r="D94" i="6"/>
  <c r="D96" i="6" s="1"/>
  <c r="D84" i="6"/>
  <c r="F45" i="27"/>
  <c r="AQ26" i="1"/>
  <c r="AP26" i="1"/>
  <c r="AI46" i="1"/>
  <c r="AM15" i="1"/>
  <c r="AP15" i="1" s="1"/>
  <c r="D95" i="24"/>
  <c r="D97" i="24" s="1"/>
  <c r="D85" i="24"/>
  <c r="G82" i="15"/>
  <c r="D95" i="15"/>
  <c r="D97" i="15" s="1"/>
  <c r="D85" i="15"/>
  <c r="L81" i="14"/>
  <c r="H82" i="14"/>
  <c r="K81" i="14"/>
  <c r="K80" i="6"/>
  <c r="H81" i="6"/>
  <c r="L80" i="6"/>
  <c r="AQ38" i="1"/>
  <c r="AP38" i="1"/>
  <c r="AQ64" i="1"/>
  <c r="AP64" i="1"/>
  <c r="K81" i="40"/>
  <c r="H82" i="40"/>
  <c r="L81" i="40"/>
  <c r="L81" i="18"/>
  <c r="K81" i="18"/>
  <c r="H82" i="18"/>
  <c r="AL60" i="1"/>
  <c r="AQ24" i="1"/>
  <c r="AP24" i="1" s="1"/>
  <c r="AL37" i="1"/>
  <c r="D98" i="32"/>
  <c r="D108" i="32"/>
  <c r="D110" i="32" s="1"/>
  <c r="D102" i="12"/>
  <c r="D104" i="12" s="1"/>
  <c r="D92" i="12"/>
  <c r="G82" i="12"/>
  <c r="D95" i="7"/>
  <c r="D97" i="7" s="1"/>
  <c r="D85" i="7"/>
  <c r="G82" i="7"/>
  <c r="H82" i="21"/>
  <c r="G82" i="21" s="1"/>
  <c r="L81" i="21"/>
  <c r="K81" i="21"/>
  <c r="H83" i="10"/>
  <c r="L82" i="10"/>
  <c r="K82" i="10"/>
  <c r="AH47" i="1"/>
  <c r="AQ23" i="1"/>
  <c r="I76" i="33"/>
  <c r="D95" i="33"/>
  <c r="D97" i="33" s="1"/>
  <c r="D85" i="33"/>
  <c r="G76" i="33"/>
  <c r="H82" i="17"/>
  <c r="G82" i="17" s="1"/>
  <c r="K81" i="17"/>
  <c r="L81" i="17"/>
  <c r="AT78" i="1"/>
  <c r="AY78" i="1"/>
  <c r="BC78" i="1" s="1"/>
  <c r="BB78" i="1" s="1"/>
  <c r="AP79" i="1"/>
  <c r="AU79" i="1"/>
  <c r="AQ34" i="1"/>
  <c r="AP34" i="1"/>
  <c r="K81" i="15"/>
  <c r="L81" i="15"/>
  <c r="H82" i="15"/>
  <c r="AI48" i="1"/>
  <c r="AL59" i="1"/>
  <c r="H82" i="9"/>
  <c r="G82" i="9" s="1"/>
  <c r="L81" i="9"/>
  <c r="K81" i="9"/>
  <c r="AQ33" i="1"/>
  <c r="AP33" i="1"/>
  <c r="D85" i="40"/>
  <c r="G82" i="40"/>
  <c r="D95" i="40"/>
  <c r="D97" i="40" s="1"/>
  <c r="AP60" i="1"/>
  <c r="AU60" i="1"/>
  <c r="AL25" i="1"/>
  <c r="L94" i="32"/>
  <c r="K94" i="32"/>
  <c r="H95" i="32"/>
  <c r="D95" i="17"/>
  <c r="D97" i="17" s="1"/>
  <c r="D85" i="17"/>
  <c r="L81" i="12"/>
  <c r="H82" i="12"/>
  <c r="K81" i="12"/>
  <c r="AQ68" i="1"/>
  <c r="AP68" i="1" s="1"/>
  <c r="AM81" i="1"/>
  <c r="AP27" i="1"/>
  <c r="AU27" i="1"/>
  <c r="AT27" i="1" s="1"/>
  <c r="AY73" i="1"/>
  <c r="BC73" i="1" s="1"/>
  <c r="BB73" i="1" s="1"/>
  <c r="AP75" i="1"/>
  <c r="D109" i="25"/>
  <c r="D111" i="25" s="1"/>
  <c r="G82" i="25"/>
  <c r="D99" i="25"/>
  <c r="AP72" i="1"/>
  <c r="AL79" i="1"/>
  <c r="D85" i="39"/>
  <c r="G82" i="39"/>
  <c r="D95" i="39"/>
  <c r="D97" i="39" s="1"/>
  <c r="D85" i="19"/>
  <c r="D87" i="19" s="1"/>
  <c r="D89" i="19" s="1"/>
  <c r="H7" i="19" s="1"/>
  <c r="H15" i="19" s="1"/>
  <c r="D95" i="19"/>
  <c r="D97" i="19" s="1"/>
  <c r="D98" i="19" s="1"/>
  <c r="D85" i="21"/>
  <c r="D95" i="21"/>
  <c r="D97" i="21" s="1"/>
  <c r="F46" i="26"/>
  <c r="F46" i="28" s="1"/>
  <c r="U46" i="28" s="1"/>
  <c r="AL34" i="1"/>
  <c r="AT77" i="1"/>
  <c r="AY77" i="1"/>
  <c r="BC77" i="1" s="1"/>
  <c r="BB77" i="1" s="1"/>
  <c r="AH50" i="1"/>
  <c r="H82" i="11"/>
  <c r="K81" i="11"/>
  <c r="L81" i="11"/>
  <c r="AL23" i="1"/>
  <c r="AH48" i="1"/>
  <c r="AH49" i="1"/>
  <c r="AH43" i="1"/>
  <c r="AH46" i="1"/>
  <c r="C11" i="1"/>
  <c r="C13" i="1" s="1"/>
  <c r="AF9" i="1"/>
  <c r="AF96" i="1"/>
  <c r="AF107" i="1" s="1"/>
  <c r="AI13" i="1"/>
  <c r="AL13" i="1" s="1"/>
  <c r="AX78" i="1" l="1"/>
  <c r="G46" i="42"/>
  <c r="M46" i="42" s="1"/>
  <c r="N46" i="42" s="1"/>
  <c r="AX70" i="1"/>
  <c r="AX73" i="1"/>
  <c r="P147" i="31"/>
  <c r="L148" i="31"/>
  <c r="D8" i="22"/>
  <c r="D98" i="21"/>
  <c r="D87" i="21"/>
  <c r="D87" i="33"/>
  <c r="D98" i="33"/>
  <c r="I85" i="33"/>
  <c r="G85" i="33"/>
  <c r="D94" i="12"/>
  <c r="D96" i="12" s="1"/>
  <c r="H7" i="12" s="1"/>
  <c r="AT64" i="1"/>
  <c r="AU64" i="1"/>
  <c r="I81" i="6"/>
  <c r="G45" i="27"/>
  <c r="M45" i="27" s="1"/>
  <c r="N45" i="27" s="1"/>
  <c r="H94" i="6"/>
  <c r="AX71" i="1"/>
  <c r="BC71" i="1"/>
  <c r="BB71" i="1" s="1"/>
  <c r="G82" i="19"/>
  <c r="H95" i="19"/>
  <c r="H85" i="19"/>
  <c r="I85" i="19" s="1"/>
  <c r="AU47" i="1"/>
  <c r="AT47" i="1" s="1"/>
  <c r="K82" i="4"/>
  <c r="H95" i="4"/>
  <c r="H97" i="4" s="1"/>
  <c r="H85" i="4"/>
  <c r="K78" i="20"/>
  <c r="H91" i="20"/>
  <c r="H93" i="20" s="1"/>
  <c r="H81" i="20"/>
  <c r="G81" i="20" s="1"/>
  <c r="D15" i="23"/>
  <c r="D109" i="23"/>
  <c r="D110" i="23" s="1"/>
  <c r="D98" i="23"/>
  <c r="G13" i="23"/>
  <c r="D101" i="18"/>
  <c r="D90" i="18"/>
  <c r="O81" i="11"/>
  <c r="P81" i="11"/>
  <c r="L82" i="11"/>
  <c r="AX77" i="1"/>
  <c r="D87" i="39"/>
  <c r="G85" i="39"/>
  <c r="AL81" i="1"/>
  <c r="K82" i="12"/>
  <c r="H102" i="12"/>
  <c r="H104" i="12" s="1"/>
  <c r="H92" i="12"/>
  <c r="D98" i="17"/>
  <c r="D87" i="7"/>
  <c r="D98" i="7"/>
  <c r="D105" i="12"/>
  <c r="K82" i="18"/>
  <c r="H98" i="18"/>
  <c r="K82" i="40"/>
  <c r="H95" i="40"/>
  <c r="H97" i="40" s="1"/>
  <c r="H85" i="40"/>
  <c r="D87" i="15"/>
  <c r="AU26" i="1"/>
  <c r="AY26" i="1" s="1"/>
  <c r="D87" i="4"/>
  <c r="D98" i="4"/>
  <c r="G85" i="4"/>
  <c r="L82" i="19"/>
  <c r="K82" i="19" s="1"/>
  <c r="O81" i="19"/>
  <c r="P81" i="19"/>
  <c r="AX74" i="1"/>
  <c r="BC74" i="1"/>
  <c r="BB74" i="1" s="1"/>
  <c r="D90" i="10"/>
  <c r="D101" i="10"/>
  <c r="P81" i="39"/>
  <c r="O81" i="39"/>
  <c r="L82" i="39"/>
  <c r="AY63" i="1"/>
  <c r="BC63" i="1" s="1"/>
  <c r="BB63" i="1" s="1"/>
  <c r="P81" i="25"/>
  <c r="L82" i="25"/>
  <c r="K82" i="25" s="1"/>
  <c r="O81" i="25"/>
  <c r="P81" i="7"/>
  <c r="O81" i="7"/>
  <c r="L82" i="7"/>
  <c r="K82" i="7" s="1"/>
  <c r="AU22" i="1"/>
  <c r="AT22" i="1" s="1"/>
  <c r="AQ29" i="1"/>
  <c r="AM45" i="1"/>
  <c r="AM49" i="1"/>
  <c r="AM46" i="1"/>
  <c r="AM48" i="1"/>
  <c r="AM44" i="1"/>
  <c r="AL44" i="1" s="1"/>
  <c r="F45" i="26"/>
  <c r="F50" i="26" s="1"/>
  <c r="D101" i="25"/>
  <c r="D87" i="17"/>
  <c r="AU33" i="1"/>
  <c r="AT33" i="1"/>
  <c r="L82" i="17"/>
  <c r="P81" i="17"/>
  <c r="O81" i="17"/>
  <c r="I83" i="10"/>
  <c r="H98" i="10"/>
  <c r="H100" i="10" s="1"/>
  <c r="H88" i="10"/>
  <c r="D111" i="32"/>
  <c r="D100" i="32"/>
  <c r="D102" i="32" s="1"/>
  <c r="O81" i="14"/>
  <c r="L82" i="14"/>
  <c r="P81" i="14"/>
  <c r="AH44" i="1"/>
  <c r="P86" i="34"/>
  <c r="O86" i="34"/>
  <c r="L87" i="34"/>
  <c r="K87" i="34" s="1"/>
  <c r="I82" i="7"/>
  <c r="H95" i="7"/>
  <c r="H97" i="7" s="1"/>
  <c r="H85" i="7"/>
  <c r="G85" i="7" s="1"/>
  <c r="AY62" i="1"/>
  <c r="L82" i="24"/>
  <c r="P81" i="24"/>
  <c r="O81" i="24"/>
  <c r="AI52" i="1"/>
  <c r="AH52" i="1" s="1"/>
  <c r="D112" i="25"/>
  <c r="O81" i="12"/>
  <c r="P81" i="12"/>
  <c r="L82" i="12"/>
  <c r="I95" i="32"/>
  <c r="H108" i="32"/>
  <c r="H110" i="32" s="1"/>
  <c r="H98" i="32"/>
  <c r="G98" i="32" s="1"/>
  <c r="AT60" i="1"/>
  <c r="AY60" i="1"/>
  <c r="G85" i="40"/>
  <c r="D98" i="40"/>
  <c r="D87" i="40"/>
  <c r="L82" i="9"/>
  <c r="P81" i="9"/>
  <c r="O81" i="9"/>
  <c r="K82" i="15"/>
  <c r="H95" i="15"/>
  <c r="H97" i="15" s="1"/>
  <c r="H85" i="15"/>
  <c r="AU34" i="1"/>
  <c r="AT34" i="1"/>
  <c r="H95" i="17"/>
  <c r="H97" i="17" s="1"/>
  <c r="H85" i="17"/>
  <c r="O81" i="21"/>
  <c r="P81" i="21"/>
  <c r="L82" i="21"/>
  <c r="H46" i="42" s="1"/>
  <c r="O46" i="42" s="1"/>
  <c r="P46" i="42" s="1"/>
  <c r="G95" i="32"/>
  <c r="AU38" i="1"/>
  <c r="AY38" i="1" s="1"/>
  <c r="AT38" i="1"/>
  <c r="D98" i="15"/>
  <c r="G81" i="6"/>
  <c r="D87" i="11"/>
  <c r="D89" i="11" s="1"/>
  <c r="H7" i="11" s="1"/>
  <c r="AX76" i="1"/>
  <c r="BC76" i="1"/>
  <c r="BB76" i="1" s="1"/>
  <c r="P81" i="4"/>
  <c r="O81" i="4"/>
  <c r="L82" i="4"/>
  <c r="I87" i="34"/>
  <c r="H100" i="34"/>
  <c r="H102" i="34" s="1"/>
  <c r="H90" i="34"/>
  <c r="G90" i="34" s="1"/>
  <c r="O77" i="20"/>
  <c r="L78" i="20"/>
  <c r="P77" i="20"/>
  <c r="AT51" i="1"/>
  <c r="AY51" i="1"/>
  <c r="BC51" i="1" s="1"/>
  <c r="BB51" i="1" s="1"/>
  <c r="AX51" i="1"/>
  <c r="AL65" i="1"/>
  <c r="AU37" i="1"/>
  <c r="AT35" i="1"/>
  <c r="AY35" i="1"/>
  <c r="G82" i="18"/>
  <c r="AQ50" i="1"/>
  <c r="AP50" i="1"/>
  <c r="AY72" i="1"/>
  <c r="AX72" i="1" s="1"/>
  <c r="AU25" i="1"/>
  <c r="AT25" i="1"/>
  <c r="AP59" i="1"/>
  <c r="O94" i="32"/>
  <c r="L95" i="32"/>
  <c r="K95" i="32" s="1"/>
  <c r="P94" i="32"/>
  <c r="AU23" i="1"/>
  <c r="AT23" i="1"/>
  <c r="L82" i="40"/>
  <c r="P81" i="40"/>
  <c r="O81" i="40"/>
  <c r="D98" i="24"/>
  <c r="D87" i="24"/>
  <c r="D89" i="24" s="1"/>
  <c r="H7" i="24" s="1"/>
  <c r="D97" i="6"/>
  <c r="D86" i="6"/>
  <c r="D88" i="6" s="1"/>
  <c r="H7" i="6" s="1"/>
  <c r="D83" i="20"/>
  <c r="AU80" i="1"/>
  <c r="AT80" i="1"/>
  <c r="AU58" i="1"/>
  <c r="AT58" i="1"/>
  <c r="AQ65" i="1"/>
  <c r="AP65" i="1" s="1"/>
  <c r="AT61" i="1"/>
  <c r="AY61" i="1"/>
  <c r="BC61" i="1" s="1"/>
  <c r="BB61" i="1" s="1"/>
  <c r="D103" i="34"/>
  <c r="D92" i="34"/>
  <c r="I82" i="11"/>
  <c r="K82" i="11"/>
  <c r="H95" i="11"/>
  <c r="H97" i="11" s="1"/>
  <c r="H85" i="11"/>
  <c r="D98" i="39"/>
  <c r="AY27" i="1"/>
  <c r="BC27" i="1" s="1"/>
  <c r="BB27" i="1" s="1"/>
  <c r="AU68" i="1"/>
  <c r="AT68" i="1" s="1"/>
  <c r="AQ81" i="1"/>
  <c r="AP81" i="1" s="1"/>
  <c r="I82" i="9"/>
  <c r="K82" i="9"/>
  <c r="H95" i="9"/>
  <c r="H97" i="9" s="1"/>
  <c r="H85" i="9"/>
  <c r="L82" i="15"/>
  <c r="P81" i="15"/>
  <c r="O81" i="15"/>
  <c r="AT79" i="1"/>
  <c r="AY79" i="1"/>
  <c r="AP23" i="1"/>
  <c r="P82" i="10"/>
  <c r="L83" i="10"/>
  <c r="L88" i="10" s="1"/>
  <c r="O82" i="10"/>
  <c r="I82" i="21"/>
  <c r="G46" i="26"/>
  <c r="M46" i="26" s="1"/>
  <c r="N46" i="26" s="1"/>
  <c r="K82" i="21"/>
  <c r="H85" i="21"/>
  <c r="G85" i="21" s="1"/>
  <c r="H95" i="21"/>
  <c r="H97" i="21" s="1"/>
  <c r="AU24" i="1"/>
  <c r="AT24" i="1"/>
  <c r="P81" i="18"/>
  <c r="O81" i="18"/>
  <c r="L82" i="18"/>
  <c r="P80" i="6"/>
  <c r="O80" i="6"/>
  <c r="L81" i="6"/>
  <c r="K81" i="6" s="1"/>
  <c r="K82" i="14"/>
  <c r="H101" i="14"/>
  <c r="H103" i="14" s="1"/>
  <c r="H91" i="14"/>
  <c r="G91" i="14" s="1"/>
  <c r="D87" i="9"/>
  <c r="D98" i="9"/>
  <c r="G82" i="11"/>
  <c r="D94" i="20"/>
  <c r="AY75" i="1"/>
  <c r="BC75" i="1" s="1"/>
  <c r="BB75" i="1" s="1"/>
  <c r="AH45" i="1"/>
  <c r="AL45" i="1"/>
  <c r="AP47" i="1"/>
  <c r="G83" i="10"/>
  <c r="H95" i="39"/>
  <c r="H97" i="39" s="1"/>
  <c r="K82" i="39"/>
  <c r="H85" i="39"/>
  <c r="I82" i="25"/>
  <c r="H109" i="25"/>
  <c r="H111" i="25" s="1"/>
  <c r="H99" i="25"/>
  <c r="AP58" i="1"/>
  <c r="AT62" i="1"/>
  <c r="AM43" i="1"/>
  <c r="AP29" i="1"/>
  <c r="AL29" i="1"/>
  <c r="AU32" i="1"/>
  <c r="AQ40" i="1"/>
  <c r="AP40" i="1" s="1"/>
  <c r="AT32" i="1"/>
  <c r="G82" i="24"/>
  <c r="H95" i="24"/>
  <c r="H97" i="24" s="1"/>
  <c r="H85" i="24"/>
  <c r="AX69" i="1"/>
  <c r="BC69" i="1"/>
  <c r="BB69" i="1" s="1"/>
  <c r="G87" i="34"/>
  <c r="AX36" i="1"/>
  <c r="BC36" i="1"/>
  <c r="BB36" i="1" s="1"/>
  <c r="D93" i="14"/>
  <c r="AT59" i="1"/>
  <c r="AY59" i="1"/>
  <c r="BC59" i="1" s="1"/>
  <c r="BB59" i="1" s="1"/>
  <c r="AI54" i="1"/>
  <c r="AF11" i="1"/>
  <c r="AH11" i="1" s="1"/>
  <c r="AH9" i="1"/>
  <c r="AI15" i="1"/>
  <c r="AL15" i="1" s="1"/>
  <c r="AH13" i="1"/>
  <c r="BC13" i="1" s="1"/>
  <c r="C84" i="1"/>
  <c r="C86" i="1" s="1"/>
  <c r="C88" i="1" s="1"/>
  <c r="AF13" i="1"/>
  <c r="C15" i="1"/>
  <c r="G45" i="42" l="1"/>
  <c r="G45" i="26"/>
  <c r="M45" i="26" s="1"/>
  <c r="N45" i="26" s="1"/>
  <c r="H45" i="42"/>
  <c r="O45" i="42" s="1"/>
  <c r="P45" i="42" s="1"/>
  <c r="M45" i="42"/>
  <c r="N45" i="42" s="1"/>
  <c r="G50" i="42"/>
  <c r="F57" i="26"/>
  <c r="F60" i="26" s="1"/>
  <c r="G46" i="28"/>
  <c r="AX59" i="1"/>
  <c r="M148" i="31"/>
  <c r="K148" i="31"/>
  <c r="L180" i="31"/>
  <c r="O147" i="31"/>
  <c r="P148" i="31"/>
  <c r="F45" i="28"/>
  <c r="U45" i="28" s="1"/>
  <c r="I99" i="25"/>
  <c r="H101" i="25"/>
  <c r="H112" i="25"/>
  <c r="S80" i="6"/>
  <c r="P81" i="6"/>
  <c r="O81" i="6" s="1"/>
  <c r="T80" i="6"/>
  <c r="S81" i="40"/>
  <c r="T81" i="40"/>
  <c r="P82" i="40"/>
  <c r="BC35" i="1"/>
  <c r="BB35" i="1" s="1"/>
  <c r="H87" i="17"/>
  <c r="H98" i="17"/>
  <c r="H90" i="10"/>
  <c r="H101" i="10"/>
  <c r="I88" i="10"/>
  <c r="AY33" i="1"/>
  <c r="AX33" i="1"/>
  <c r="T81" i="25"/>
  <c r="P82" i="25"/>
  <c r="S81" i="25"/>
  <c r="M82" i="11"/>
  <c r="L95" i="11"/>
  <c r="L97" i="11" s="1"/>
  <c r="L85" i="11"/>
  <c r="K85" i="11" s="1"/>
  <c r="G85" i="24"/>
  <c r="H98" i="24"/>
  <c r="H87" i="24"/>
  <c r="H89" i="24" s="1"/>
  <c r="AM52" i="1"/>
  <c r="AL43" i="1"/>
  <c r="D89" i="9"/>
  <c r="G87" i="9"/>
  <c r="O82" i="18"/>
  <c r="L98" i="18"/>
  <c r="L100" i="18" s="1"/>
  <c r="L88" i="18"/>
  <c r="AY24" i="1"/>
  <c r="T82" i="10"/>
  <c r="P83" i="10"/>
  <c r="O83" i="10" s="1"/>
  <c r="S82" i="10"/>
  <c r="O82" i="40"/>
  <c r="L95" i="40"/>
  <c r="L97" i="40" s="1"/>
  <c r="L85" i="40"/>
  <c r="M95" i="32"/>
  <c r="L108" i="32"/>
  <c r="L110" i="32" s="1"/>
  <c r="L98" i="32"/>
  <c r="K98" i="32" s="1"/>
  <c r="AY25" i="1"/>
  <c r="BC25" i="1" s="1"/>
  <c r="BB25" i="1" s="1"/>
  <c r="AX25" i="1"/>
  <c r="AU50" i="1"/>
  <c r="AY50" i="1" s="1"/>
  <c r="P78" i="20"/>
  <c r="S77" i="20"/>
  <c r="T77" i="20"/>
  <c r="I90" i="34"/>
  <c r="H103" i="34"/>
  <c r="H92" i="34"/>
  <c r="G92" i="34" s="1"/>
  <c r="O82" i="4"/>
  <c r="L95" i="4"/>
  <c r="L97" i="4" s="1"/>
  <c r="L85" i="4"/>
  <c r="M82" i="21"/>
  <c r="H46" i="26"/>
  <c r="O46" i="26" s="1"/>
  <c r="P46" i="26" s="1"/>
  <c r="L95" i="21"/>
  <c r="M82" i="9"/>
  <c r="L95" i="9"/>
  <c r="L97" i="9" s="1"/>
  <c r="L85" i="9"/>
  <c r="K85" i="9" s="1"/>
  <c r="AX60" i="1"/>
  <c r="BC60" i="1"/>
  <c r="BB60" i="1" s="1"/>
  <c r="T81" i="24"/>
  <c r="P82" i="24"/>
  <c r="S81" i="24"/>
  <c r="H87" i="7"/>
  <c r="H98" i="7"/>
  <c r="M87" i="34"/>
  <c r="L100" i="34"/>
  <c r="L102" i="34" s="1"/>
  <c r="L90" i="34"/>
  <c r="P82" i="17"/>
  <c r="T81" i="17"/>
  <c r="S81" i="17"/>
  <c r="G85" i="17"/>
  <c r="S81" i="7"/>
  <c r="T81" i="7"/>
  <c r="P82" i="7"/>
  <c r="O82" i="7" s="1"/>
  <c r="AX63" i="1"/>
  <c r="T81" i="39"/>
  <c r="S81" i="39"/>
  <c r="P82" i="39"/>
  <c r="L95" i="19"/>
  <c r="L97" i="19" s="1"/>
  <c r="L85" i="19"/>
  <c r="AT26" i="1"/>
  <c r="H98" i="40"/>
  <c r="H87" i="40"/>
  <c r="K87" i="40" s="1"/>
  <c r="P82" i="11"/>
  <c r="S81" i="11"/>
  <c r="T81" i="11"/>
  <c r="H87" i="4"/>
  <c r="H98" i="4"/>
  <c r="K85" i="4"/>
  <c r="AY47" i="1"/>
  <c r="D89" i="21"/>
  <c r="M83" i="10"/>
  <c r="L98" i="10"/>
  <c r="L100" i="10" s="1"/>
  <c r="K88" i="10"/>
  <c r="T94" i="32"/>
  <c r="S94" i="32"/>
  <c r="P95" i="32"/>
  <c r="T81" i="9"/>
  <c r="P82" i="9"/>
  <c r="O82" i="9" s="1"/>
  <c r="S81" i="9"/>
  <c r="BC62" i="1"/>
  <c r="BB62" i="1" s="1"/>
  <c r="AL46" i="1"/>
  <c r="AQ43" i="1"/>
  <c r="AP43" i="1" s="1"/>
  <c r="AT29" i="1"/>
  <c r="D89" i="4"/>
  <c r="G87" i="4"/>
  <c r="D89" i="15"/>
  <c r="G87" i="15"/>
  <c r="I92" i="12"/>
  <c r="H105" i="12"/>
  <c r="H94" i="12"/>
  <c r="D92" i="18"/>
  <c r="D95" i="14"/>
  <c r="H7" i="14" s="1"/>
  <c r="G93" i="14"/>
  <c r="AY32" i="1"/>
  <c r="AY40" i="1" s="1"/>
  <c r="AU40" i="1"/>
  <c r="M81" i="6"/>
  <c r="H45" i="27"/>
  <c r="O45" i="27" s="1"/>
  <c r="P45" i="27" s="1"/>
  <c r="L94" i="6"/>
  <c r="P82" i="15"/>
  <c r="S81" i="15"/>
  <c r="T81" i="15"/>
  <c r="AY68" i="1"/>
  <c r="AX68" i="1" s="1"/>
  <c r="AU81" i="1"/>
  <c r="I85" i="11"/>
  <c r="H87" i="11"/>
  <c r="G87" i="11" s="1"/>
  <c r="H98" i="11"/>
  <c r="AX61" i="1"/>
  <c r="AY58" i="1"/>
  <c r="AX58" i="1" s="1"/>
  <c r="D85" i="20"/>
  <c r="AY37" i="1"/>
  <c r="AX37" i="1"/>
  <c r="O78" i="20"/>
  <c r="L91" i="20"/>
  <c r="L93" i="20" s="1"/>
  <c r="L81" i="20"/>
  <c r="K81" i="20" s="1"/>
  <c r="G85" i="11"/>
  <c r="P82" i="21"/>
  <c r="T81" i="21"/>
  <c r="S81" i="21"/>
  <c r="G87" i="40"/>
  <c r="D89" i="40"/>
  <c r="K82" i="24"/>
  <c r="L95" i="24"/>
  <c r="L97" i="24" s="1"/>
  <c r="L85" i="24"/>
  <c r="S81" i="14"/>
  <c r="T81" i="14"/>
  <c r="P82" i="14"/>
  <c r="H7" i="32"/>
  <c r="K83" i="10"/>
  <c r="K82" i="17"/>
  <c r="L95" i="17"/>
  <c r="L97" i="17" s="1"/>
  <c r="L85" i="17"/>
  <c r="K85" i="17" s="1"/>
  <c r="D89" i="17"/>
  <c r="G87" i="17"/>
  <c r="AL49" i="1"/>
  <c r="AY22" i="1"/>
  <c r="AU29" i="1"/>
  <c r="G88" i="10"/>
  <c r="AX26" i="1"/>
  <c r="BC26" i="1"/>
  <c r="BB26" i="1" s="1"/>
  <c r="D89" i="7"/>
  <c r="G87" i="7"/>
  <c r="D89" i="39"/>
  <c r="H7" i="39" s="1"/>
  <c r="G87" i="39"/>
  <c r="H94" i="20"/>
  <c r="I81" i="20"/>
  <c r="H83" i="20"/>
  <c r="G83" i="20" s="1"/>
  <c r="G92" i="12"/>
  <c r="H98" i="39"/>
  <c r="H87" i="39"/>
  <c r="K87" i="39" s="1"/>
  <c r="I85" i="9"/>
  <c r="H98" i="9"/>
  <c r="H87" i="9"/>
  <c r="K87" i="9" s="1"/>
  <c r="AY80" i="1"/>
  <c r="AX80" i="1"/>
  <c r="G45" i="28"/>
  <c r="H98" i="15"/>
  <c r="H87" i="15"/>
  <c r="I85" i="15"/>
  <c r="S81" i="12"/>
  <c r="T81" i="12"/>
  <c r="P82" i="12"/>
  <c r="D103" i="25"/>
  <c r="G101" i="25"/>
  <c r="D92" i="10"/>
  <c r="H7" i="10" s="1"/>
  <c r="G90" i="10"/>
  <c r="AU65" i="1"/>
  <c r="AT65" i="1" s="1"/>
  <c r="AY64" i="1"/>
  <c r="AX64" i="1"/>
  <c r="BB13" i="1"/>
  <c r="BC15" i="1"/>
  <c r="BB15" i="1" s="1"/>
  <c r="AQ45" i="1"/>
  <c r="AT40" i="1"/>
  <c r="AQ44" i="1"/>
  <c r="AP44" i="1" s="1"/>
  <c r="AQ48" i="1"/>
  <c r="AQ49" i="1"/>
  <c r="AP49" i="1" s="1"/>
  <c r="AQ46" i="1"/>
  <c r="AP46" i="1" s="1"/>
  <c r="AX75" i="1"/>
  <c r="G85" i="9"/>
  <c r="I91" i="14"/>
  <c r="H93" i="14"/>
  <c r="H104" i="14"/>
  <c r="S81" i="18"/>
  <c r="T81" i="18"/>
  <c r="P82" i="18"/>
  <c r="E8" i="22"/>
  <c r="E35" i="22" s="1"/>
  <c r="E36" i="22" s="1"/>
  <c r="H87" i="21"/>
  <c r="G87" i="21" s="1"/>
  <c r="H98" i="21"/>
  <c r="AX79" i="1"/>
  <c r="BC79" i="1"/>
  <c r="BB79" i="1" s="1"/>
  <c r="O82" i="15"/>
  <c r="L95" i="15"/>
  <c r="L97" i="15" s="1"/>
  <c r="L85" i="15"/>
  <c r="K85" i="15" s="1"/>
  <c r="AX27" i="1"/>
  <c r="D94" i="34"/>
  <c r="AY23" i="1"/>
  <c r="BC23" i="1" s="1"/>
  <c r="BB23" i="1" s="1"/>
  <c r="AX23" i="1"/>
  <c r="BC72" i="1"/>
  <c r="BB72" i="1" s="1"/>
  <c r="AX35" i="1"/>
  <c r="AT37" i="1"/>
  <c r="S81" i="4"/>
  <c r="T81" i="4"/>
  <c r="P82" i="4"/>
  <c r="AX38" i="1"/>
  <c r="BC38" i="1"/>
  <c r="BB38" i="1" s="1"/>
  <c r="AY34" i="1"/>
  <c r="BC34" i="1" s="1"/>
  <c r="BB34" i="1" s="1"/>
  <c r="AX34" i="1"/>
  <c r="I98" i="32"/>
  <c r="H100" i="32"/>
  <c r="G100" i="32" s="1"/>
  <c r="H111" i="32"/>
  <c r="O82" i="12"/>
  <c r="L102" i="12"/>
  <c r="L104" i="12" s="1"/>
  <c r="L92" i="12"/>
  <c r="K92" i="12" s="1"/>
  <c r="AX62" i="1"/>
  <c r="S86" i="34"/>
  <c r="P87" i="34"/>
  <c r="T86" i="34"/>
  <c r="O82" i="14"/>
  <c r="L101" i="14"/>
  <c r="L103" i="14" s="1"/>
  <c r="L91" i="14"/>
  <c r="G99" i="25"/>
  <c r="AP48" i="1"/>
  <c r="AL48" i="1"/>
  <c r="AP45" i="1"/>
  <c r="M82" i="7"/>
  <c r="L95" i="7"/>
  <c r="L97" i="7" s="1"/>
  <c r="L85" i="7"/>
  <c r="M82" i="25"/>
  <c r="O82" i="25"/>
  <c r="L109" i="25"/>
  <c r="L111" i="25" s="1"/>
  <c r="L99" i="25"/>
  <c r="K99" i="25" s="1"/>
  <c r="O82" i="39"/>
  <c r="L95" i="39"/>
  <c r="L97" i="39" s="1"/>
  <c r="L85" i="39"/>
  <c r="S81" i="19"/>
  <c r="P82" i="19"/>
  <c r="T81" i="19"/>
  <c r="G85" i="15"/>
  <c r="D100" i="23"/>
  <c r="D102" i="23" s="1"/>
  <c r="H7" i="23" s="1"/>
  <c r="D111" i="23"/>
  <c r="I98" i="23"/>
  <c r="G98" i="23"/>
  <c r="H96" i="12"/>
  <c r="D89" i="33"/>
  <c r="G87" i="33"/>
  <c r="D9" i="22"/>
  <c r="D35" i="22"/>
  <c r="D36" i="22" s="1"/>
  <c r="AH54" i="1"/>
  <c r="AI84" i="1"/>
  <c r="AF86" i="1"/>
  <c r="AF88" i="1" s="1"/>
  <c r="AI7" i="1" s="1"/>
  <c r="AF15" i="1"/>
  <c r="AH15" i="1" s="1"/>
  <c r="C96" i="1"/>
  <c r="C107" i="1" s="1"/>
  <c r="H50" i="42" l="1"/>
  <c r="O50" i="42" s="1"/>
  <c r="P50" i="42" s="1"/>
  <c r="G50" i="26"/>
  <c r="M50" i="26" s="1"/>
  <c r="N50" i="26" s="1"/>
  <c r="G57" i="42"/>
  <c r="M50" i="42"/>
  <c r="N50" i="42" s="1"/>
  <c r="O82" i="21"/>
  <c r="I46" i="42"/>
  <c r="Q46" i="42" s="1"/>
  <c r="R46" i="42" s="1"/>
  <c r="O148" i="31"/>
  <c r="V45" i="28"/>
  <c r="M45" i="28"/>
  <c r="N45" i="28" s="1"/>
  <c r="V46" i="28"/>
  <c r="M46" i="28"/>
  <c r="N46" i="28" s="1"/>
  <c r="H46" i="28"/>
  <c r="F61" i="26"/>
  <c r="G59" i="26" s="1"/>
  <c r="M59" i="26" s="1"/>
  <c r="N59" i="26" s="1"/>
  <c r="Q148" i="31"/>
  <c r="S148" i="31"/>
  <c r="P180" i="31"/>
  <c r="H89" i="11"/>
  <c r="H92" i="10"/>
  <c r="L7" i="10" s="1"/>
  <c r="H45" i="26"/>
  <c r="O45" i="26" s="1"/>
  <c r="P45" i="26" s="1"/>
  <c r="AY44" i="1"/>
  <c r="AY45" i="1"/>
  <c r="Q87" i="34"/>
  <c r="P100" i="34"/>
  <c r="P102" i="34" s="1"/>
  <c r="P90" i="34"/>
  <c r="W81" i="18"/>
  <c r="X81" i="18"/>
  <c r="T82" i="18"/>
  <c r="X81" i="12"/>
  <c r="W81" i="12"/>
  <c r="T82" i="12"/>
  <c r="L87" i="17"/>
  <c r="O87" i="17" s="1"/>
  <c r="L98" i="17"/>
  <c r="H7" i="40"/>
  <c r="H89" i="40" s="1"/>
  <c r="G89" i="40"/>
  <c r="X81" i="11"/>
  <c r="W81" i="11"/>
  <c r="T82" i="11"/>
  <c r="S82" i="11" s="1"/>
  <c r="Q82" i="7"/>
  <c r="P95" i="7"/>
  <c r="P97" i="7" s="1"/>
  <c r="P85" i="7"/>
  <c r="O85" i="7" s="1"/>
  <c r="O82" i="24"/>
  <c r="P95" i="24"/>
  <c r="P97" i="24" s="1"/>
  <c r="P85" i="24"/>
  <c r="L87" i="4"/>
  <c r="O87" i="4" s="1"/>
  <c r="L98" i="4"/>
  <c r="O85" i="4"/>
  <c r="M85" i="11"/>
  <c r="L98" i="11"/>
  <c r="L87" i="11"/>
  <c r="H7" i="34"/>
  <c r="G94" i="34"/>
  <c r="BC64" i="1"/>
  <c r="BB64" i="1"/>
  <c r="BB80" i="1"/>
  <c r="BC80" i="1"/>
  <c r="H7" i="7"/>
  <c r="H89" i="7" s="1"/>
  <c r="G89" i="7"/>
  <c r="AU43" i="1"/>
  <c r="H15" i="32"/>
  <c r="H102" i="32"/>
  <c r="K85" i="24"/>
  <c r="L98" i="24"/>
  <c r="L87" i="24"/>
  <c r="O87" i="24" s="1"/>
  <c r="S82" i="15"/>
  <c r="P95" i="15"/>
  <c r="P97" i="15" s="1"/>
  <c r="P85" i="15"/>
  <c r="G94" i="12"/>
  <c r="H7" i="15"/>
  <c r="H89" i="15" s="1"/>
  <c r="G89" i="15"/>
  <c r="AQ52" i="1"/>
  <c r="Q95" i="32"/>
  <c r="P108" i="32"/>
  <c r="P110" i="32" s="1"/>
  <c r="P98" i="32"/>
  <c r="O98" i="32" s="1"/>
  <c r="L101" i="10"/>
  <c r="L90" i="10"/>
  <c r="M88" i="10"/>
  <c r="X81" i="7"/>
  <c r="W81" i="7"/>
  <c r="T82" i="7"/>
  <c r="S82" i="7" s="1"/>
  <c r="W81" i="17"/>
  <c r="X81" i="17"/>
  <c r="T82" i="17"/>
  <c r="X81" i="24"/>
  <c r="W81" i="24"/>
  <c r="T82" i="24"/>
  <c r="S78" i="20"/>
  <c r="P91" i="20"/>
  <c r="P93" i="20" s="1"/>
  <c r="P81" i="20"/>
  <c r="O81" i="20" s="1"/>
  <c r="G89" i="24"/>
  <c r="L7" i="24"/>
  <c r="Q83" i="10"/>
  <c r="P98" i="10"/>
  <c r="P100" i="10" s="1"/>
  <c r="P88" i="10"/>
  <c r="L90" i="18"/>
  <c r="O90" i="18" s="1"/>
  <c r="O88" i="18"/>
  <c r="L101" i="18"/>
  <c r="H7" i="9"/>
  <c r="H89" i="9" s="1"/>
  <c r="L7" i="9" s="1"/>
  <c r="G89" i="9"/>
  <c r="G87" i="24"/>
  <c r="K87" i="24"/>
  <c r="Q82" i="25"/>
  <c r="P99" i="25"/>
  <c r="O99" i="25" s="1"/>
  <c r="P109" i="25"/>
  <c r="P111" i="25" s="1"/>
  <c r="T81" i="6"/>
  <c r="X80" i="6"/>
  <c r="W80" i="6"/>
  <c r="G96" i="12"/>
  <c r="L7" i="12"/>
  <c r="L87" i="7"/>
  <c r="L98" i="7"/>
  <c r="M91" i="14"/>
  <c r="L104" i="14"/>
  <c r="L93" i="14"/>
  <c r="K93" i="14" s="1"/>
  <c r="W81" i="4"/>
  <c r="X81" i="4"/>
  <c r="T82" i="4"/>
  <c r="H95" i="14"/>
  <c r="G92" i="10"/>
  <c r="Q82" i="21"/>
  <c r="I46" i="26"/>
  <c r="Q46" i="26" s="1"/>
  <c r="R46" i="26" s="1"/>
  <c r="P95" i="21"/>
  <c r="P97" i="21" s="1"/>
  <c r="P85" i="21"/>
  <c r="H7" i="20"/>
  <c r="BC47" i="1"/>
  <c r="BB47" i="1" s="1"/>
  <c r="M90" i="34"/>
  <c r="L92" i="34"/>
  <c r="L103" i="34"/>
  <c r="O90" i="34"/>
  <c r="M85" i="9"/>
  <c r="L98" i="9"/>
  <c r="L87" i="9"/>
  <c r="BC24" i="1"/>
  <c r="BB33" i="1"/>
  <c r="BC33" i="1"/>
  <c r="L98" i="39"/>
  <c r="L87" i="39"/>
  <c r="O87" i="39" s="1"/>
  <c r="W81" i="19"/>
  <c r="T82" i="19"/>
  <c r="X81" i="19"/>
  <c r="G89" i="11"/>
  <c r="L7" i="11"/>
  <c r="K91" i="14"/>
  <c r="H7" i="25"/>
  <c r="K85" i="39"/>
  <c r="AX22" i="1"/>
  <c r="BC22" i="1"/>
  <c r="BB22" i="1" s="1"/>
  <c r="AY29" i="1"/>
  <c r="AY46" i="1" s="1"/>
  <c r="S82" i="14"/>
  <c r="P101" i="14"/>
  <c r="P103" i="14" s="1"/>
  <c r="P91" i="14"/>
  <c r="O91" i="14" s="1"/>
  <c r="M81" i="20"/>
  <c r="L94" i="20"/>
  <c r="L83" i="20"/>
  <c r="BB37" i="1"/>
  <c r="BC37" i="1"/>
  <c r="BC58" i="1"/>
  <c r="BB58" i="1" s="1"/>
  <c r="AY65" i="1"/>
  <c r="BC68" i="1"/>
  <c r="BC81" i="1" s="1"/>
  <c r="AY81" i="1"/>
  <c r="AU48" i="1"/>
  <c r="AX40" i="1"/>
  <c r="AU46" i="1"/>
  <c r="AU44" i="1"/>
  <c r="AT44" i="1" s="1"/>
  <c r="AU45" i="1"/>
  <c r="AU49" i="1"/>
  <c r="H7" i="21"/>
  <c r="Q82" i="11"/>
  <c r="P95" i="11"/>
  <c r="P97" i="11" s="1"/>
  <c r="P85" i="11"/>
  <c r="L87" i="19"/>
  <c r="M85" i="19"/>
  <c r="L98" i="19"/>
  <c r="W81" i="39"/>
  <c r="X81" i="39"/>
  <c r="T82" i="39"/>
  <c r="O82" i="17"/>
  <c r="S82" i="17"/>
  <c r="P95" i="17"/>
  <c r="P97" i="17" s="1"/>
  <c r="P85" i="17"/>
  <c r="O87" i="34"/>
  <c r="K87" i="7"/>
  <c r="AX50" i="1"/>
  <c r="BC50" i="1"/>
  <c r="BB50" i="1"/>
  <c r="L111" i="32"/>
  <c r="L100" i="32"/>
  <c r="K100" i="32" s="1"/>
  <c r="M98" i="32"/>
  <c r="K85" i="40"/>
  <c r="O85" i="40"/>
  <c r="L87" i="40"/>
  <c r="O87" i="40" s="1"/>
  <c r="L98" i="40"/>
  <c r="X82" i="10"/>
  <c r="T83" i="10"/>
  <c r="W82" i="10"/>
  <c r="O82" i="11"/>
  <c r="W81" i="25"/>
  <c r="T82" i="25"/>
  <c r="X81" i="25"/>
  <c r="K87" i="17"/>
  <c r="S82" i="40"/>
  <c r="P95" i="40"/>
  <c r="P97" i="40" s="1"/>
  <c r="P85" i="40"/>
  <c r="Q81" i="6"/>
  <c r="I45" i="27"/>
  <c r="Q45" i="27" s="1"/>
  <c r="R45" i="27" s="1"/>
  <c r="S81" i="6"/>
  <c r="P94" i="6"/>
  <c r="M99" i="25"/>
  <c r="L101" i="25"/>
  <c r="K101" i="25" s="1"/>
  <c r="L112" i="25"/>
  <c r="T82" i="9"/>
  <c r="W81" i="9"/>
  <c r="X81" i="9"/>
  <c r="S82" i="39"/>
  <c r="P95" i="39"/>
  <c r="P97" i="39" s="1"/>
  <c r="P85" i="39"/>
  <c r="K85" i="7"/>
  <c r="D17" i="22"/>
  <c r="E5" i="22"/>
  <c r="E9" i="22" s="1"/>
  <c r="H7" i="33"/>
  <c r="O82" i="19"/>
  <c r="P95" i="19"/>
  <c r="P97" i="19" s="1"/>
  <c r="P85" i="19"/>
  <c r="O85" i="19" s="1"/>
  <c r="W86" i="34"/>
  <c r="T87" i="34"/>
  <c r="X86" i="34"/>
  <c r="M92" i="12"/>
  <c r="L105" i="12"/>
  <c r="L94" i="12"/>
  <c r="S82" i="4"/>
  <c r="P95" i="4"/>
  <c r="P97" i="4" s="1"/>
  <c r="P85" i="4"/>
  <c r="L87" i="15"/>
  <c r="K87" i="15" s="1"/>
  <c r="L98" i="15"/>
  <c r="O85" i="15"/>
  <c r="M85" i="15"/>
  <c r="S82" i="18"/>
  <c r="P98" i="18"/>
  <c r="P100" i="18" s="1"/>
  <c r="P88" i="18"/>
  <c r="S82" i="12"/>
  <c r="P102" i="12"/>
  <c r="P104" i="12" s="1"/>
  <c r="P92" i="12"/>
  <c r="O92" i="12" s="1"/>
  <c r="H89" i="39"/>
  <c r="H7" i="17"/>
  <c r="X81" i="14"/>
  <c r="W81" i="14"/>
  <c r="T82" i="14"/>
  <c r="X81" i="21"/>
  <c r="W81" i="21"/>
  <c r="T82" i="21"/>
  <c r="W81" i="15"/>
  <c r="T82" i="15"/>
  <c r="X81" i="15"/>
  <c r="AX32" i="1"/>
  <c r="BC32" i="1"/>
  <c r="H7" i="18"/>
  <c r="G92" i="18"/>
  <c r="H7" i="4"/>
  <c r="H89" i="4" s="1"/>
  <c r="G89" i="4"/>
  <c r="Q82" i="9"/>
  <c r="P95" i="9"/>
  <c r="P97" i="9" s="1"/>
  <c r="P85" i="9"/>
  <c r="W94" i="32"/>
  <c r="T95" i="32"/>
  <c r="X94" i="32"/>
  <c r="AX47" i="1"/>
  <c r="K87" i="4"/>
  <c r="K90" i="34"/>
  <c r="X77" i="20"/>
  <c r="W77" i="20"/>
  <c r="T78" i="20"/>
  <c r="AT50" i="1"/>
  <c r="O95" i="32"/>
  <c r="AT81" i="1"/>
  <c r="AX24" i="1"/>
  <c r="AP52" i="1"/>
  <c r="AM54" i="1"/>
  <c r="AL52" i="1"/>
  <c r="K90" i="10"/>
  <c r="X81" i="40"/>
  <c r="W81" i="40"/>
  <c r="T82" i="40"/>
  <c r="AH84" i="1"/>
  <c r="AI86" i="1"/>
  <c r="AH86" i="1" s="1"/>
  <c r="I45" i="42" l="1"/>
  <c r="Q45" i="42" s="1"/>
  <c r="R45" i="42" s="1"/>
  <c r="H57" i="42"/>
  <c r="O57" i="42" s="1"/>
  <c r="P57" i="42" s="1"/>
  <c r="G57" i="26"/>
  <c r="M57" i="26" s="1"/>
  <c r="N57" i="26" s="1"/>
  <c r="M57" i="42"/>
  <c r="N57" i="42" s="1"/>
  <c r="G60" i="42"/>
  <c r="W46" i="28"/>
  <c r="O46" i="28"/>
  <c r="P46" i="28" s="1"/>
  <c r="H45" i="28"/>
  <c r="H50" i="26"/>
  <c r="I46" i="28"/>
  <c r="I45" i="26"/>
  <c r="Q45" i="26" s="1"/>
  <c r="R45" i="26" s="1"/>
  <c r="L89" i="24"/>
  <c r="L92" i="10"/>
  <c r="L89" i="11"/>
  <c r="L89" i="9"/>
  <c r="P7" i="9" s="1"/>
  <c r="L7" i="4"/>
  <c r="L89" i="4" s="1"/>
  <c r="K89" i="4"/>
  <c r="W78" i="20"/>
  <c r="T91" i="20"/>
  <c r="T93" i="20" s="1"/>
  <c r="T81" i="20"/>
  <c r="P87" i="9"/>
  <c r="Q85" i="9"/>
  <c r="P98" i="9"/>
  <c r="S82" i="21"/>
  <c r="T95" i="21"/>
  <c r="T97" i="21" s="1"/>
  <c r="T85" i="21"/>
  <c r="G89" i="39"/>
  <c r="L7" i="39"/>
  <c r="L89" i="39" s="1"/>
  <c r="P87" i="4"/>
  <c r="S87" i="4" s="1"/>
  <c r="P98" i="4"/>
  <c r="S85" i="4"/>
  <c r="T100" i="34"/>
  <c r="T102" i="34" s="1"/>
  <c r="T90" i="34"/>
  <c r="S90" i="34" s="1"/>
  <c r="Q85" i="11"/>
  <c r="P98" i="11"/>
  <c r="P87" i="11"/>
  <c r="AX81" i="1"/>
  <c r="BB81" i="1"/>
  <c r="H15" i="25"/>
  <c r="H103" i="25"/>
  <c r="AB81" i="19"/>
  <c r="AB82" i="19" s="1"/>
  <c r="X82" i="19"/>
  <c r="AA81" i="19"/>
  <c r="BC29" i="1"/>
  <c r="BC43" i="1" s="1"/>
  <c r="H15" i="20"/>
  <c r="H85" i="20"/>
  <c r="G95" i="14"/>
  <c r="L7" i="14"/>
  <c r="L95" i="14" s="1"/>
  <c r="L96" i="12"/>
  <c r="T94" i="6"/>
  <c r="K89" i="9"/>
  <c r="P90" i="10"/>
  <c r="O90" i="10" s="1"/>
  <c r="P101" i="10"/>
  <c r="Q88" i="10"/>
  <c r="T95" i="24"/>
  <c r="T97" i="24" s="1"/>
  <c r="T85" i="24"/>
  <c r="AB81" i="17"/>
  <c r="AB82" i="17" s="1"/>
  <c r="X82" i="17"/>
  <c r="AA81" i="17"/>
  <c r="AA81" i="7"/>
  <c r="AB81" i="7"/>
  <c r="AB82" i="7" s="1"/>
  <c r="X82" i="7"/>
  <c r="W82" i="7" s="1"/>
  <c r="L7" i="15"/>
  <c r="L89" i="15" s="1"/>
  <c r="AU52" i="1"/>
  <c r="AU54" i="1" s="1"/>
  <c r="H15" i="34"/>
  <c r="H94" i="34"/>
  <c r="O85" i="24"/>
  <c r="P98" i="24"/>
  <c r="P87" i="24"/>
  <c r="S87" i="24" s="1"/>
  <c r="P87" i="7"/>
  <c r="O87" i="7" s="1"/>
  <c r="P98" i="7"/>
  <c r="T95" i="11"/>
  <c r="T97" i="11" s="1"/>
  <c r="T85" i="11"/>
  <c r="W82" i="12"/>
  <c r="T102" i="12"/>
  <c r="T104" i="12" s="1"/>
  <c r="T92" i="12"/>
  <c r="AB81" i="18"/>
  <c r="AB82" i="18" s="1"/>
  <c r="AA81" i="18"/>
  <c r="X82" i="18"/>
  <c r="AY48" i="1"/>
  <c r="W82" i="40"/>
  <c r="T95" i="40"/>
  <c r="T97" i="40" s="1"/>
  <c r="T85" i="40"/>
  <c r="AA94" i="32"/>
  <c r="AB94" i="32"/>
  <c r="AB95" i="32" s="1"/>
  <c r="X95" i="32"/>
  <c r="X82" i="15"/>
  <c r="AA81" i="15"/>
  <c r="AB81" i="15"/>
  <c r="AB82" i="15" s="1"/>
  <c r="AB81" i="14"/>
  <c r="AB82" i="14" s="1"/>
  <c r="AA81" i="14"/>
  <c r="X82" i="14"/>
  <c r="P101" i="18"/>
  <c r="S88" i="18"/>
  <c r="P90" i="18"/>
  <c r="S90" i="18" s="1"/>
  <c r="AB81" i="9"/>
  <c r="AB82" i="9" s="1"/>
  <c r="AA81" i="9"/>
  <c r="X82" i="9"/>
  <c r="W82" i="9" s="1"/>
  <c r="P87" i="40"/>
  <c r="S87" i="40" s="1"/>
  <c r="S85" i="40"/>
  <c r="P98" i="40"/>
  <c r="AB81" i="25"/>
  <c r="AB82" i="25" s="1"/>
  <c r="X82" i="25"/>
  <c r="AA81" i="25"/>
  <c r="O85" i="17"/>
  <c r="P87" i="17"/>
  <c r="S87" i="17" s="1"/>
  <c r="S85" i="17"/>
  <c r="P98" i="17"/>
  <c r="W82" i="39"/>
  <c r="T95" i="39"/>
  <c r="T97" i="39" s="1"/>
  <c r="T85" i="39"/>
  <c r="H15" i="21"/>
  <c r="G15" i="21" s="1"/>
  <c r="H89" i="21"/>
  <c r="AT46" i="1"/>
  <c r="AX46" i="1"/>
  <c r="BB68" i="1"/>
  <c r="S82" i="19"/>
  <c r="T95" i="19"/>
  <c r="T97" i="19" s="1"/>
  <c r="T85" i="19"/>
  <c r="O85" i="9"/>
  <c r="P98" i="21"/>
  <c r="P87" i="21"/>
  <c r="K92" i="10"/>
  <c r="P7" i="10"/>
  <c r="P92" i="10" s="1"/>
  <c r="W82" i="4"/>
  <c r="T95" i="4"/>
  <c r="T97" i="4" s="1"/>
  <c r="T85" i="4"/>
  <c r="Q81" i="20"/>
  <c r="P94" i="20"/>
  <c r="P83" i="20"/>
  <c r="O83" i="20" s="1"/>
  <c r="O88" i="10"/>
  <c r="Q98" i="32"/>
  <c r="P100" i="32"/>
  <c r="P111" i="32"/>
  <c r="AT43" i="1"/>
  <c r="K94" i="12"/>
  <c r="L7" i="32"/>
  <c r="I102" i="32"/>
  <c r="G102" i="32"/>
  <c r="O85" i="11"/>
  <c r="K89" i="40"/>
  <c r="L7" i="40"/>
  <c r="L89" i="40" s="1"/>
  <c r="P7" i="40" s="1"/>
  <c r="S87" i="34"/>
  <c r="AM84" i="1"/>
  <c r="AL54" i="1"/>
  <c r="AB77" i="20"/>
  <c r="AB78" i="20" s="1"/>
  <c r="X78" i="20"/>
  <c r="AA77" i="20"/>
  <c r="T108" i="32"/>
  <c r="T110" i="32" s="1"/>
  <c r="T98" i="32"/>
  <c r="S98" i="32" s="1"/>
  <c r="H9" i="18"/>
  <c r="W82" i="15"/>
  <c r="T95" i="15"/>
  <c r="T97" i="15" s="1"/>
  <c r="T85" i="15"/>
  <c r="AA81" i="21"/>
  <c r="AB81" i="21"/>
  <c r="AB82" i="21" s="1"/>
  <c r="X82" i="21"/>
  <c r="Q92" i="12"/>
  <c r="P105" i="12"/>
  <c r="P94" i="12"/>
  <c r="P87" i="19"/>
  <c r="O87" i="19" s="1"/>
  <c r="Q85" i="19"/>
  <c r="P98" i="19"/>
  <c r="H15" i="33"/>
  <c r="H89" i="33"/>
  <c r="O85" i="39"/>
  <c r="P87" i="39"/>
  <c r="S87" i="39" s="1"/>
  <c r="P98" i="39"/>
  <c r="T99" i="25"/>
  <c r="S99" i="25" s="1"/>
  <c r="T109" i="25"/>
  <c r="T111" i="25" s="1"/>
  <c r="S83" i="10"/>
  <c r="T98" i="10"/>
  <c r="T100" i="10" s="1"/>
  <c r="T88" i="10"/>
  <c r="AB81" i="39"/>
  <c r="AB82" i="39" s="1"/>
  <c r="AA81" i="39"/>
  <c r="X82" i="39"/>
  <c r="AT49" i="1"/>
  <c r="AY49" i="1"/>
  <c r="AX49" i="1" s="1"/>
  <c r="AY43" i="1"/>
  <c r="AX43" i="1" s="1"/>
  <c r="BB29" i="1"/>
  <c r="K89" i="11"/>
  <c r="P7" i="11"/>
  <c r="P89" i="11" s="1"/>
  <c r="AB81" i="4"/>
  <c r="AB82" i="4" s="1"/>
  <c r="AA81" i="4"/>
  <c r="X82" i="4"/>
  <c r="Q99" i="25"/>
  <c r="P112" i="25"/>
  <c r="P101" i="25"/>
  <c r="AB81" i="24"/>
  <c r="AB82" i="24" s="1"/>
  <c r="AA81" i="24"/>
  <c r="X82" i="24"/>
  <c r="T95" i="7"/>
  <c r="T97" i="7" s="1"/>
  <c r="T85" i="7"/>
  <c r="AQ54" i="1"/>
  <c r="AP54" i="1" s="1"/>
  <c r="G15" i="32"/>
  <c r="I15" i="32"/>
  <c r="L7" i="7"/>
  <c r="L89" i="7" s="1"/>
  <c r="K89" i="7" s="1"/>
  <c r="BC65" i="1"/>
  <c r="BB65" i="1" s="1"/>
  <c r="K87" i="11"/>
  <c r="O87" i="11"/>
  <c r="S82" i="24"/>
  <c r="AB81" i="11"/>
  <c r="AB82" i="11" s="1"/>
  <c r="X82" i="11"/>
  <c r="AA81" i="11"/>
  <c r="AA81" i="12"/>
  <c r="AB81" i="12"/>
  <c r="AB82" i="12" s="1"/>
  <c r="X82" i="12"/>
  <c r="AB81" i="40"/>
  <c r="AB82" i="40" s="1"/>
  <c r="AA81" i="40"/>
  <c r="X82" i="40"/>
  <c r="BB32" i="1"/>
  <c r="BC40" i="1"/>
  <c r="W82" i="14"/>
  <c r="T101" i="14"/>
  <c r="T103" i="14" s="1"/>
  <c r="T91" i="14"/>
  <c r="S91" i="14" s="1"/>
  <c r="H15" i="17"/>
  <c r="H89" i="17"/>
  <c r="AB86" i="34"/>
  <c r="AB87" i="34" s="1"/>
  <c r="X87" i="34"/>
  <c r="AA86" i="34"/>
  <c r="E17" i="22"/>
  <c r="F5" i="22"/>
  <c r="S82" i="9"/>
  <c r="T95" i="9"/>
  <c r="T97" i="9" s="1"/>
  <c r="T85" i="9"/>
  <c r="AB82" i="10"/>
  <c r="AB83" i="10" s="1"/>
  <c r="X83" i="10"/>
  <c r="AA82" i="10"/>
  <c r="AT45" i="1"/>
  <c r="AX45" i="1"/>
  <c r="AT48" i="1"/>
  <c r="AX48" i="1"/>
  <c r="AX65" i="1"/>
  <c r="K83" i="20"/>
  <c r="Q91" i="14"/>
  <c r="P104" i="14"/>
  <c r="P93" i="14"/>
  <c r="O93" i="14" s="1"/>
  <c r="BB24" i="1"/>
  <c r="K92" i="34"/>
  <c r="AA80" i="6"/>
  <c r="AB80" i="6"/>
  <c r="AB81" i="6" s="1"/>
  <c r="AB94" i="6" s="1"/>
  <c r="X81" i="6"/>
  <c r="S82" i="25"/>
  <c r="K89" i="24"/>
  <c r="P7" i="24"/>
  <c r="P89" i="24" s="1"/>
  <c r="W82" i="17"/>
  <c r="T95" i="17"/>
  <c r="T97" i="17" s="1"/>
  <c r="T85" i="17"/>
  <c r="S95" i="32"/>
  <c r="P98" i="15"/>
  <c r="P87" i="15"/>
  <c r="O87" i="15" s="1"/>
  <c r="Q85" i="15"/>
  <c r="S85" i="15"/>
  <c r="AX29" i="1"/>
  <c r="W82" i="18"/>
  <c r="T98" i="18"/>
  <c r="T100" i="18" s="1"/>
  <c r="T88" i="18"/>
  <c r="Q90" i="34"/>
  <c r="P92" i="34"/>
  <c r="O92" i="34" s="1"/>
  <c r="P103" i="34"/>
  <c r="AX44" i="1"/>
  <c r="AI88" i="1"/>
  <c r="I50" i="42" l="1"/>
  <c r="I57" i="42" s="1"/>
  <c r="Q57" i="42" s="1"/>
  <c r="R57" i="42" s="1"/>
  <c r="J45" i="42"/>
  <c r="K45" i="42" s="1"/>
  <c r="L45" i="42" s="1"/>
  <c r="G61" i="42"/>
  <c r="M60" i="42"/>
  <c r="N60" i="42" s="1"/>
  <c r="Q50" i="42"/>
  <c r="R50" i="42" s="1"/>
  <c r="W45" i="28"/>
  <c r="O45" i="28"/>
  <c r="P45" i="28" s="1"/>
  <c r="X46" i="28"/>
  <c r="Q46" i="28"/>
  <c r="R46" i="28" s="1"/>
  <c r="O50" i="26"/>
  <c r="P50" i="26" s="1"/>
  <c r="H57" i="26"/>
  <c r="P89" i="40"/>
  <c r="O87" i="9"/>
  <c r="AT52" i="1"/>
  <c r="P89" i="9"/>
  <c r="O89" i="9" s="1"/>
  <c r="AA82" i="21"/>
  <c r="AB95" i="21"/>
  <c r="AB97" i="21" s="1"/>
  <c r="AB85" i="21"/>
  <c r="O89" i="40"/>
  <c r="T7" i="40"/>
  <c r="T87" i="4"/>
  <c r="W87" i="4" s="1"/>
  <c r="W85" i="4"/>
  <c r="T98" i="4"/>
  <c r="S85" i="19"/>
  <c r="T87" i="19"/>
  <c r="T98" i="19"/>
  <c r="W85" i="19"/>
  <c r="S85" i="39"/>
  <c r="T87" i="39"/>
  <c r="W87" i="39" s="1"/>
  <c r="T98" i="39"/>
  <c r="W85" i="39"/>
  <c r="X109" i="25"/>
  <c r="X111" i="25" s="1"/>
  <c r="X99" i="25"/>
  <c r="AA82" i="15"/>
  <c r="X95" i="15"/>
  <c r="X97" i="15" s="1"/>
  <c r="X85" i="15"/>
  <c r="W85" i="15" s="1"/>
  <c r="W85" i="40"/>
  <c r="T87" i="40"/>
  <c r="W87" i="40" s="1"/>
  <c r="T98" i="40"/>
  <c r="S92" i="12"/>
  <c r="T94" i="12"/>
  <c r="S94" i="12" s="1"/>
  <c r="T105" i="12"/>
  <c r="I15" i="34"/>
  <c r="G15" i="34"/>
  <c r="P7" i="15"/>
  <c r="P89" i="15" s="1"/>
  <c r="O89" i="15" s="1"/>
  <c r="L100" i="12"/>
  <c r="P7" i="12"/>
  <c r="P96" i="12" s="1"/>
  <c r="T7" i="12" s="1"/>
  <c r="K96" i="12"/>
  <c r="G15" i="20"/>
  <c r="AA82" i="19"/>
  <c r="AB95" i="19"/>
  <c r="AB97" i="19" s="1"/>
  <c r="AB85" i="19"/>
  <c r="S85" i="21"/>
  <c r="T98" i="21"/>
  <c r="T87" i="21"/>
  <c r="AA82" i="12"/>
  <c r="X102" i="12"/>
  <c r="X104" i="12" s="1"/>
  <c r="X92" i="12"/>
  <c r="W82" i="24"/>
  <c r="X95" i="24"/>
  <c r="X97" i="24" s="1"/>
  <c r="X85" i="24"/>
  <c r="T98" i="17"/>
  <c r="T87" i="17"/>
  <c r="W87" i="17" s="1"/>
  <c r="W85" i="17"/>
  <c r="L7" i="17"/>
  <c r="G89" i="17"/>
  <c r="AB102" i="12"/>
  <c r="AB104" i="12" s="1"/>
  <c r="AB92" i="12"/>
  <c r="AA82" i="11"/>
  <c r="AB85" i="11"/>
  <c r="AB87" i="11" s="1"/>
  <c r="AB95" i="11"/>
  <c r="AB97" i="11" s="1"/>
  <c r="T87" i="7"/>
  <c r="S87" i="7" s="1"/>
  <c r="T98" i="7"/>
  <c r="AB95" i="39"/>
  <c r="AB97" i="39" s="1"/>
  <c r="AB85" i="39"/>
  <c r="AM86" i="1"/>
  <c r="AL84" i="1"/>
  <c r="L15" i="32"/>
  <c r="L102" i="32"/>
  <c r="AA82" i="25"/>
  <c r="AB109" i="25"/>
  <c r="AB111" i="25" s="1"/>
  <c r="AB99" i="25"/>
  <c r="AA82" i="9"/>
  <c r="X95" i="9"/>
  <c r="X97" i="9" s="1"/>
  <c r="X85" i="9"/>
  <c r="AB101" i="14"/>
  <c r="AB103" i="14" s="1"/>
  <c r="AB91" i="14"/>
  <c r="AB93" i="14" s="1"/>
  <c r="W95" i="32"/>
  <c r="X108" i="32"/>
  <c r="X110" i="32" s="1"/>
  <c r="X98" i="32"/>
  <c r="W98" i="32" s="1"/>
  <c r="AA82" i="18"/>
  <c r="X98" i="18"/>
  <c r="X100" i="18" s="1"/>
  <c r="X88" i="18"/>
  <c r="S85" i="7"/>
  <c r="AA82" i="7"/>
  <c r="X95" i="7"/>
  <c r="X97" i="7" s="1"/>
  <c r="X85" i="7"/>
  <c r="X95" i="17"/>
  <c r="X97" i="17" s="1"/>
  <c r="X85" i="17"/>
  <c r="K95" i="14"/>
  <c r="P7" i="14"/>
  <c r="P95" i="14" s="1"/>
  <c r="I103" i="25"/>
  <c r="L7" i="25"/>
  <c r="G103" i="25"/>
  <c r="T92" i="34"/>
  <c r="S92" i="34" s="1"/>
  <c r="T103" i="34"/>
  <c r="AA87" i="34"/>
  <c r="AB100" i="34"/>
  <c r="AB102" i="34" s="1"/>
  <c r="AB90" i="34"/>
  <c r="W82" i="11"/>
  <c r="X95" i="11"/>
  <c r="X97" i="11" s="1"/>
  <c r="X85" i="11"/>
  <c r="G15" i="17"/>
  <c r="BC48" i="1"/>
  <c r="BB48" i="1" s="1"/>
  <c r="BC45" i="1"/>
  <c r="BB45" i="1" s="1"/>
  <c r="BC44" i="1"/>
  <c r="BB44" i="1" s="1"/>
  <c r="BC46" i="1"/>
  <c r="BB46" i="1" s="1"/>
  <c r="BC49" i="1"/>
  <c r="BB49" i="1" s="1"/>
  <c r="BB40" i="1"/>
  <c r="AB95" i="40"/>
  <c r="AB97" i="40" s="1"/>
  <c r="AB85" i="40"/>
  <c r="AA82" i="24"/>
  <c r="AB95" i="24"/>
  <c r="AB97" i="24" s="1"/>
  <c r="AB85" i="24"/>
  <c r="AB95" i="4"/>
  <c r="AB97" i="4" s="1"/>
  <c r="AB85" i="4"/>
  <c r="BB43" i="1"/>
  <c r="AY52" i="1"/>
  <c r="S88" i="10"/>
  <c r="T101" i="10"/>
  <c r="T90" i="10"/>
  <c r="S90" i="10" s="1"/>
  <c r="T101" i="25"/>
  <c r="T112" i="25"/>
  <c r="T87" i="15"/>
  <c r="T98" i="15"/>
  <c r="G9" i="18"/>
  <c r="K9" i="18"/>
  <c r="H11" i="18"/>
  <c r="AA78" i="20"/>
  <c r="X81" i="20"/>
  <c r="X91" i="20"/>
  <c r="X93" i="20" s="1"/>
  <c r="O100" i="32"/>
  <c r="I89" i="21"/>
  <c r="L7" i="21"/>
  <c r="G89" i="21"/>
  <c r="AB95" i="15"/>
  <c r="AB97" i="15" s="1"/>
  <c r="AB85" i="15"/>
  <c r="AB87" i="15" s="1"/>
  <c r="AA95" i="32"/>
  <c r="AB108" i="32"/>
  <c r="AB110" i="32" s="1"/>
  <c r="AB98" i="32"/>
  <c r="AU84" i="1"/>
  <c r="AB95" i="7"/>
  <c r="AB97" i="7" s="1"/>
  <c r="AB85" i="7"/>
  <c r="AA82" i="17"/>
  <c r="AB95" i="17"/>
  <c r="AB97" i="17" s="1"/>
  <c r="AB85" i="17"/>
  <c r="I15" i="25"/>
  <c r="G15" i="25"/>
  <c r="K89" i="39"/>
  <c r="P7" i="39"/>
  <c r="P89" i="39" s="1"/>
  <c r="O89" i="24"/>
  <c r="T7" i="24"/>
  <c r="T87" i="9"/>
  <c r="S87" i="9" s="1"/>
  <c r="T98" i="9"/>
  <c r="W85" i="9"/>
  <c r="AA82" i="40"/>
  <c r="X95" i="40"/>
  <c r="X97" i="40" s="1"/>
  <c r="X85" i="40"/>
  <c r="AT54" i="1"/>
  <c r="AQ84" i="1"/>
  <c r="AP84" i="1" s="1"/>
  <c r="AA82" i="4"/>
  <c r="X95" i="4"/>
  <c r="X97" i="4" s="1"/>
  <c r="X85" i="4"/>
  <c r="I15" i="33"/>
  <c r="G15" i="33"/>
  <c r="W83" i="10"/>
  <c r="X98" i="10"/>
  <c r="X100" i="10" s="1"/>
  <c r="X88" i="10"/>
  <c r="T101" i="18"/>
  <c r="T90" i="18"/>
  <c r="W90" i="18" s="1"/>
  <c r="W88" i="18"/>
  <c r="AA81" i="6"/>
  <c r="X94" i="6"/>
  <c r="AA83" i="10"/>
  <c r="AB98" i="10"/>
  <c r="AB100" i="10" s="1"/>
  <c r="AB88" i="10"/>
  <c r="W87" i="34"/>
  <c r="X100" i="34"/>
  <c r="X102" i="34" s="1"/>
  <c r="X90" i="34"/>
  <c r="W90" i="34" s="1"/>
  <c r="T104" i="14"/>
  <c r="T93" i="14"/>
  <c r="J45" i="26"/>
  <c r="I50" i="26"/>
  <c r="Q50" i="26" s="1"/>
  <c r="R50" i="26" s="1"/>
  <c r="I45" i="28"/>
  <c r="P7" i="7"/>
  <c r="P89" i="7" s="1"/>
  <c r="O101" i="25"/>
  <c r="S101" i="25"/>
  <c r="O89" i="11"/>
  <c r="T7" i="11"/>
  <c r="AA82" i="39"/>
  <c r="X95" i="39"/>
  <c r="X97" i="39" s="1"/>
  <c r="X85" i="39"/>
  <c r="W82" i="25"/>
  <c r="L7" i="33"/>
  <c r="G89" i="33"/>
  <c r="W82" i="21"/>
  <c r="X95" i="21"/>
  <c r="X97" i="21" s="1"/>
  <c r="X85" i="21"/>
  <c r="W85" i="21" s="1"/>
  <c r="T111" i="32"/>
  <c r="T100" i="32"/>
  <c r="S100" i="32" s="1"/>
  <c r="AB91" i="20"/>
  <c r="AB93" i="20" s="1"/>
  <c r="AB81" i="20"/>
  <c r="O92" i="10"/>
  <c r="T7" i="10"/>
  <c r="AB85" i="9"/>
  <c r="AB87" i="9" s="1"/>
  <c r="AB95" i="9"/>
  <c r="AB97" i="9" s="1"/>
  <c r="AA82" i="14"/>
  <c r="X101" i="14"/>
  <c r="X103" i="14" s="1"/>
  <c r="X91" i="14"/>
  <c r="O94" i="12"/>
  <c r="AB98" i="18"/>
  <c r="AB100" i="18" s="1"/>
  <c r="AB88" i="18"/>
  <c r="S85" i="11"/>
  <c r="T98" i="11"/>
  <c r="T87" i="11"/>
  <c r="I94" i="34"/>
  <c r="L7" i="34"/>
  <c r="K89" i="15"/>
  <c r="S85" i="24"/>
  <c r="T98" i="24"/>
  <c r="T87" i="24"/>
  <c r="W85" i="24"/>
  <c r="W81" i="6"/>
  <c r="I85" i="20"/>
  <c r="L7" i="20"/>
  <c r="G85" i="20"/>
  <c r="W82" i="19"/>
  <c r="X95" i="19"/>
  <c r="X97" i="19" s="1"/>
  <c r="X85" i="19"/>
  <c r="S85" i="9"/>
  <c r="S81" i="20"/>
  <c r="T94" i="20"/>
  <c r="T83" i="20"/>
  <c r="W83" i="20" s="1"/>
  <c r="P7" i="4"/>
  <c r="P89" i="4" s="1"/>
  <c r="O89" i="4"/>
  <c r="AH88" i="1"/>
  <c r="AM7" i="1"/>
  <c r="AM88" i="1" s="1"/>
  <c r="H59" i="42" l="1"/>
  <c r="O59" i="42" s="1"/>
  <c r="P59" i="42" s="1"/>
  <c r="M61" i="42"/>
  <c r="N61" i="42" s="1"/>
  <c r="X45" i="28"/>
  <c r="Q45" i="28"/>
  <c r="R45" i="28" s="1"/>
  <c r="O57" i="26"/>
  <c r="P57" i="26" s="1"/>
  <c r="I57" i="26"/>
  <c r="Q57" i="26" s="1"/>
  <c r="R57" i="26" s="1"/>
  <c r="T92" i="10"/>
  <c r="AB104" i="14"/>
  <c r="T7" i="9"/>
  <c r="T96" i="12"/>
  <c r="X7" i="12" s="1"/>
  <c r="AB98" i="11"/>
  <c r="O96" i="12"/>
  <c r="X93" i="14"/>
  <c r="AA93" i="14" s="1"/>
  <c r="X104" i="14"/>
  <c r="AA91" i="14"/>
  <c r="X98" i="39"/>
  <c r="AA85" i="39"/>
  <c r="X87" i="39"/>
  <c r="AA87" i="39" s="1"/>
  <c r="W81" i="20"/>
  <c r="AA81" i="20"/>
  <c r="X83" i="20"/>
  <c r="AA83" i="20" s="1"/>
  <c r="AB87" i="40"/>
  <c r="AB98" i="40"/>
  <c r="BC52" i="1"/>
  <c r="BC54" i="1" s="1"/>
  <c r="X111" i="32"/>
  <c r="AA98" i="32"/>
  <c r="X100" i="32"/>
  <c r="W100" i="32" s="1"/>
  <c r="AB101" i="25"/>
  <c r="AB112" i="25"/>
  <c r="P7" i="32"/>
  <c r="M102" i="32"/>
  <c r="AB87" i="19"/>
  <c r="AB98" i="19"/>
  <c r="AA85" i="21"/>
  <c r="X87" i="21"/>
  <c r="W87" i="21" s="1"/>
  <c r="X98" i="21"/>
  <c r="T7" i="7"/>
  <c r="T89" i="7" s="1"/>
  <c r="S89" i="7" s="1"/>
  <c r="S92" i="10"/>
  <c r="X7" i="10"/>
  <c r="S93" i="14"/>
  <c r="W93" i="14"/>
  <c r="AA85" i="40"/>
  <c r="X87" i="40"/>
  <c r="AA87" i="40" s="1"/>
  <c r="X98" i="40"/>
  <c r="O89" i="39"/>
  <c r="T7" i="39"/>
  <c r="T89" i="39" s="1"/>
  <c r="AB87" i="7"/>
  <c r="AB98" i="7"/>
  <c r="AB100" i="32"/>
  <c r="AB111" i="32"/>
  <c r="AB98" i="15"/>
  <c r="AX52" i="1"/>
  <c r="AY54" i="1"/>
  <c r="BB52" i="1"/>
  <c r="AB87" i="24"/>
  <c r="AB98" i="24"/>
  <c r="O95" i="14"/>
  <c r="T7" i="14"/>
  <c r="T95" i="14" s="1"/>
  <c r="X87" i="7"/>
  <c r="AA87" i="7" s="1"/>
  <c r="X98" i="7"/>
  <c r="AA85" i="7"/>
  <c r="AA88" i="18"/>
  <c r="X90" i="18"/>
  <c r="AA90" i="18" s="1"/>
  <c r="X101" i="18"/>
  <c r="X87" i="9"/>
  <c r="AA87" i="9" s="1"/>
  <c r="X98" i="9"/>
  <c r="AA85" i="9"/>
  <c r="M15" i="32"/>
  <c r="K15" i="32"/>
  <c r="AB98" i="39"/>
  <c r="AB87" i="39"/>
  <c r="AB105" i="12"/>
  <c r="AB94" i="12"/>
  <c r="L15" i="17"/>
  <c r="K15" i="17" s="1"/>
  <c r="L89" i="17"/>
  <c r="W92" i="12"/>
  <c r="X94" i="12"/>
  <c r="AA94" i="12" s="1"/>
  <c r="X105" i="12"/>
  <c r="AA92" i="12"/>
  <c r="S87" i="21"/>
  <c r="T7" i="15"/>
  <c r="T89" i="15" s="1"/>
  <c r="S89" i="15" s="1"/>
  <c r="AB98" i="21"/>
  <c r="AB87" i="21"/>
  <c r="T7" i="4"/>
  <c r="T89" i="4" s="1"/>
  <c r="S89" i="4"/>
  <c r="W91" i="14"/>
  <c r="X87" i="4"/>
  <c r="AA87" i="4" s="1"/>
  <c r="X98" i="4"/>
  <c r="AA85" i="4"/>
  <c r="AA85" i="19"/>
  <c r="X98" i="19"/>
  <c r="X87" i="19"/>
  <c r="AA87" i="19" s="1"/>
  <c r="AB101" i="18"/>
  <c r="AB90" i="18"/>
  <c r="S87" i="11"/>
  <c r="L89" i="33"/>
  <c r="L15" i="33"/>
  <c r="AB90" i="10"/>
  <c r="AB101" i="10"/>
  <c r="W88" i="10"/>
  <c r="X101" i="10"/>
  <c r="X90" i="10"/>
  <c r="W90" i="10" s="1"/>
  <c r="AA88" i="10"/>
  <c r="AB87" i="17"/>
  <c r="AB98" i="17"/>
  <c r="H13" i="18"/>
  <c r="K11" i="18"/>
  <c r="G11" i="18"/>
  <c r="AB92" i="34"/>
  <c r="AB103" i="34"/>
  <c r="L103" i="25"/>
  <c r="L15" i="25"/>
  <c r="X98" i="24"/>
  <c r="AA85" i="24"/>
  <c r="X87" i="24"/>
  <c r="T89" i="9"/>
  <c r="S89" i="9" s="1"/>
  <c r="W99" i="25"/>
  <c r="X112" i="25"/>
  <c r="AA99" i="25"/>
  <c r="X101" i="25"/>
  <c r="AA101" i="25" s="1"/>
  <c r="S87" i="19"/>
  <c r="W87" i="19"/>
  <c r="L85" i="20"/>
  <c r="L15" i="20"/>
  <c r="L15" i="34"/>
  <c r="L94" i="34"/>
  <c r="AB98" i="9"/>
  <c r="AB94" i="20"/>
  <c r="AB83" i="20"/>
  <c r="T89" i="11"/>
  <c r="O89" i="7"/>
  <c r="K45" i="26"/>
  <c r="J45" i="28"/>
  <c r="AA90" i="34"/>
  <c r="X92" i="34"/>
  <c r="W92" i="34" s="1"/>
  <c r="X103" i="34"/>
  <c r="AT84" i="1"/>
  <c r="AQ86" i="1"/>
  <c r="AP86" i="1" s="1"/>
  <c r="T89" i="24"/>
  <c r="AU86" i="1"/>
  <c r="X94" i="20"/>
  <c r="S87" i="15"/>
  <c r="AB87" i="4"/>
  <c r="AB98" i="4"/>
  <c r="W85" i="11"/>
  <c r="AA85" i="11"/>
  <c r="X87" i="11"/>
  <c r="AA87" i="11" s="1"/>
  <c r="X98" i="11"/>
  <c r="AA85" i="17"/>
  <c r="X98" i="17"/>
  <c r="X87" i="17"/>
  <c r="AA87" i="17" s="1"/>
  <c r="S83" i="20"/>
  <c r="AL86" i="1"/>
  <c r="W85" i="7"/>
  <c r="S96" i="12"/>
  <c r="X87" i="15"/>
  <c r="AA87" i="15" s="1"/>
  <c r="X98" i="15"/>
  <c r="AA85" i="15"/>
  <c r="T89" i="40"/>
  <c r="AL88" i="1"/>
  <c r="AQ7" i="1"/>
  <c r="AQ88" i="1" l="1"/>
  <c r="AA90" i="10"/>
  <c r="X96" i="12"/>
  <c r="W96" i="12" s="1"/>
  <c r="W94" i="12"/>
  <c r="W87" i="7"/>
  <c r="W87" i="9"/>
  <c r="AA92" i="34"/>
  <c r="S89" i="40"/>
  <c r="X7" i="40"/>
  <c r="X89" i="40" s="1"/>
  <c r="AB7" i="40" s="1"/>
  <c r="AB89" i="40" s="1"/>
  <c r="AA89" i="40" s="1"/>
  <c r="W89" i="40"/>
  <c r="S89" i="24"/>
  <c r="X7" i="24"/>
  <c r="X89" i="24" s="1"/>
  <c r="AB7" i="24" s="1"/>
  <c r="AB89" i="24" s="1"/>
  <c r="AA89" i="24" s="1"/>
  <c r="W89" i="24"/>
  <c r="K85" i="20"/>
  <c r="P7" i="20"/>
  <c r="M85" i="20"/>
  <c r="X7" i="9"/>
  <c r="X89" i="9" s="1"/>
  <c r="AB7" i="9" s="1"/>
  <c r="AB89" i="9" s="1"/>
  <c r="AA89" i="9" s="1"/>
  <c r="M15" i="25"/>
  <c r="K15" i="25"/>
  <c r="H15" i="18"/>
  <c r="K13" i="18"/>
  <c r="H99" i="18"/>
  <c r="H100" i="18" s="1"/>
  <c r="H88" i="18"/>
  <c r="P7" i="17"/>
  <c r="K89" i="17"/>
  <c r="AY84" i="1"/>
  <c r="AX54" i="1"/>
  <c r="S89" i="39"/>
  <c r="X7" i="39"/>
  <c r="X89" i="39" s="1"/>
  <c r="AB7" i="39" s="1"/>
  <c r="AB89" i="39" s="1"/>
  <c r="AA89" i="39" s="1"/>
  <c r="W89" i="39"/>
  <c r="AA87" i="21"/>
  <c r="BB54" i="1"/>
  <c r="BC84" i="1"/>
  <c r="BC86" i="1" s="1"/>
  <c r="AT86" i="1"/>
  <c r="S89" i="11"/>
  <c r="X7" i="11"/>
  <c r="X89" i="11" s="1"/>
  <c r="AB7" i="11" s="1"/>
  <c r="AB89" i="11" s="1"/>
  <c r="AA89" i="11" s="1"/>
  <c r="M94" i="34"/>
  <c r="P7" i="34"/>
  <c r="K94" i="34"/>
  <c r="W87" i="24"/>
  <c r="AA87" i="24"/>
  <c r="M103" i="25"/>
  <c r="P7" i="25"/>
  <c r="K103" i="25"/>
  <c r="W87" i="11"/>
  <c r="X7" i="4"/>
  <c r="X89" i="4" s="1"/>
  <c r="W89" i="4"/>
  <c r="X7" i="15"/>
  <c r="X89" i="15" s="1"/>
  <c r="AB7" i="15" s="1"/>
  <c r="AB89" i="15" s="1"/>
  <c r="AA89" i="15" s="1"/>
  <c r="AA100" i="32"/>
  <c r="M15" i="34"/>
  <c r="K15" i="34"/>
  <c r="M15" i="33"/>
  <c r="K15" i="33"/>
  <c r="W101" i="25"/>
  <c r="X7" i="7"/>
  <c r="X89" i="7" s="1"/>
  <c r="P15" i="32"/>
  <c r="P102" i="32"/>
  <c r="W87" i="15"/>
  <c r="L45" i="26"/>
  <c r="L45" i="28" s="1"/>
  <c r="K45" i="28"/>
  <c r="K15" i="20"/>
  <c r="P7" i="33"/>
  <c r="K89" i="33"/>
  <c r="S95" i="14"/>
  <c r="X7" i="14"/>
  <c r="X95" i="14" s="1"/>
  <c r="AB7" i="14" s="1"/>
  <c r="AB95" i="14" s="1"/>
  <c r="AA95" i="14" s="1"/>
  <c r="X92" i="10"/>
  <c r="AP88" i="1"/>
  <c r="AU7" i="1"/>
  <c r="AU88" i="1" s="1"/>
  <c r="W89" i="11" l="1"/>
  <c r="AB7" i="12"/>
  <c r="AB96" i="12" s="1"/>
  <c r="AA96" i="12" s="1"/>
  <c r="W89" i="9"/>
  <c r="W95" i="14"/>
  <c r="P15" i="20"/>
  <c r="P85" i="20"/>
  <c r="P15" i="17"/>
  <c r="O15" i="17" s="1"/>
  <c r="P89" i="17"/>
  <c r="K15" i="18"/>
  <c r="G15" i="18"/>
  <c r="P103" i="25"/>
  <c r="P15" i="25"/>
  <c r="Q15" i="32"/>
  <c r="S15" i="32"/>
  <c r="O15" i="32"/>
  <c r="W89" i="15"/>
  <c r="AY86" i="1"/>
  <c r="BB84" i="1"/>
  <c r="AX84" i="1"/>
  <c r="K88" i="18"/>
  <c r="H101" i="18"/>
  <c r="G88" i="18"/>
  <c r="H90" i="18"/>
  <c r="AB7" i="7"/>
  <c r="AB89" i="7" s="1"/>
  <c r="AA89" i="7" s="1"/>
  <c r="P89" i="33"/>
  <c r="P15" i="33"/>
  <c r="Q102" i="32"/>
  <c r="T7" i="32"/>
  <c r="T102" i="32" s="1"/>
  <c r="O102" i="32"/>
  <c r="AB7" i="4"/>
  <c r="AB89" i="4" s="1"/>
  <c r="AA89" i="4"/>
  <c r="W92" i="10"/>
  <c r="AB7" i="10"/>
  <c r="AB92" i="10" s="1"/>
  <c r="AA92" i="10" s="1"/>
  <c r="W89" i="7"/>
  <c r="P94" i="34"/>
  <c r="P15" i="34"/>
  <c r="AT88" i="1"/>
  <c r="AY7" i="1"/>
  <c r="AY88" i="1" s="1"/>
  <c r="Q15" i="25" l="1"/>
  <c r="S15" i="25"/>
  <c r="O15" i="25"/>
  <c r="T7" i="17"/>
  <c r="O89" i="17"/>
  <c r="Q94" i="34"/>
  <c r="T7" i="34"/>
  <c r="T94" i="34" s="1"/>
  <c r="O94" i="34"/>
  <c r="Q15" i="33"/>
  <c r="S15" i="33"/>
  <c r="O15" i="33"/>
  <c r="K90" i="18"/>
  <c r="G90" i="18"/>
  <c r="H92" i="18"/>
  <c r="Q103" i="25"/>
  <c r="T7" i="25"/>
  <c r="T103" i="25" s="1"/>
  <c r="O103" i="25"/>
  <c r="T7" i="33"/>
  <c r="T89" i="33" s="1"/>
  <c r="S89" i="33" s="1"/>
  <c r="O89" i="33"/>
  <c r="O85" i="20"/>
  <c r="Q85" i="20"/>
  <c r="T7" i="20"/>
  <c r="T85" i="20" s="1"/>
  <c r="S85" i="20" s="1"/>
  <c r="Q15" i="34"/>
  <c r="S15" i="34"/>
  <c r="O15" i="34"/>
  <c r="S102" i="32"/>
  <c r="X7" i="32"/>
  <c r="X102" i="32" s="1"/>
  <c r="AB7" i="32" s="1"/>
  <c r="AB102" i="32" s="1"/>
  <c r="AA102" i="32" s="1"/>
  <c r="BB86" i="1"/>
  <c r="AX86" i="1"/>
  <c r="S15" i="20"/>
  <c r="O15" i="20"/>
  <c r="AX88" i="1"/>
  <c r="BC7" i="1"/>
  <c r="BC88" i="1" s="1"/>
  <c r="BB88" i="1" s="1"/>
  <c r="H4" i="6"/>
  <c r="K92" i="18" l="1"/>
  <c r="L7" i="18"/>
  <c r="X7" i="34"/>
  <c r="X94" i="34" s="1"/>
  <c r="AB7" i="34" s="1"/>
  <c r="AB94" i="34" s="1"/>
  <c r="AA94" i="34" s="1"/>
  <c r="T15" i="17"/>
  <c r="S15" i="17" s="1"/>
  <c r="T89" i="17"/>
  <c r="X7" i="20"/>
  <c r="X85" i="20" s="1"/>
  <c r="AB7" i="20" s="1"/>
  <c r="AB85" i="20" s="1"/>
  <c r="AA85" i="20" s="1"/>
  <c r="W85" i="20"/>
  <c r="S103" i="25"/>
  <c r="X7" i="25"/>
  <c r="X103" i="25" s="1"/>
  <c r="AB7" i="25" s="1"/>
  <c r="AB103" i="25" s="1"/>
  <c r="AA103" i="25" s="1"/>
  <c r="W102" i="32"/>
  <c r="X7" i="33"/>
  <c r="X89" i="33" s="1"/>
  <c r="AB7" i="33" s="1"/>
  <c r="AB89" i="33" s="1"/>
  <c r="AA89" i="33" s="1"/>
  <c r="S94" i="34"/>
  <c r="G7" i="28"/>
  <c r="G13" i="27"/>
  <c r="G9" i="6"/>
  <c r="H11" i="6"/>
  <c r="V7" i="28" l="1"/>
  <c r="M7" i="28"/>
  <c r="N7" i="28" s="1"/>
  <c r="O7" i="28"/>
  <c r="P7" i="28" s="1"/>
  <c r="M13" i="27"/>
  <c r="N13" i="27" s="1"/>
  <c r="O13" i="27"/>
  <c r="P13" i="27" s="1"/>
  <c r="W103" i="25"/>
  <c r="W94" i="34"/>
  <c r="H13" i="6"/>
  <c r="H95" i="6" s="1"/>
  <c r="H96" i="6" s="1"/>
  <c r="I11" i="6"/>
  <c r="W89" i="33"/>
  <c r="X7" i="17"/>
  <c r="S89" i="17"/>
  <c r="L92" i="18"/>
  <c r="L15" i="18"/>
  <c r="O15" i="18" s="1"/>
  <c r="G13" i="28"/>
  <c r="G11" i="6"/>
  <c r="L11" i="6"/>
  <c r="K9" i="6"/>
  <c r="V13" i="28" l="1"/>
  <c r="M13" i="28"/>
  <c r="N13" i="28" s="1"/>
  <c r="G49" i="27"/>
  <c r="H15" i="6"/>
  <c r="G13" i="6"/>
  <c r="H84" i="6"/>
  <c r="I84" i="6" s="1"/>
  <c r="X15" i="17"/>
  <c r="W15" i="17" s="1"/>
  <c r="X89" i="17"/>
  <c r="G15" i="6"/>
  <c r="I15" i="6"/>
  <c r="O92" i="18"/>
  <c r="P7" i="18"/>
  <c r="L13" i="6"/>
  <c r="L15" i="6" s="1"/>
  <c r="M11" i="6"/>
  <c r="I7" i="27"/>
  <c r="Q7" i="27" s="1"/>
  <c r="R7" i="27" s="1"/>
  <c r="H9" i="36"/>
  <c r="T9" i="6"/>
  <c r="S9" i="6" s="1"/>
  <c r="O9" i="6"/>
  <c r="K11" i="6"/>
  <c r="G50" i="27" l="1"/>
  <c r="M49" i="27"/>
  <c r="N49" i="27" s="1"/>
  <c r="H49" i="27"/>
  <c r="H86" i="6"/>
  <c r="H97" i="6"/>
  <c r="G49" i="28"/>
  <c r="G84" i="6"/>
  <c r="P92" i="18"/>
  <c r="P15" i="18"/>
  <c r="S15" i="18" s="1"/>
  <c r="AB7" i="17"/>
  <c r="W89" i="17"/>
  <c r="I7" i="28"/>
  <c r="G9" i="23"/>
  <c r="J7" i="27"/>
  <c r="J7" i="28" s="1"/>
  <c r="J13" i="28" s="1"/>
  <c r="J24" i="28" s="1"/>
  <c r="H88" i="6"/>
  <c r="G88" i="6" s="1"/>
  <c r="G86" i="6"/>
  <c r="L95" i="6"/>
  <c r="L96" i="6" s="1"/>
  <c r="L84" i="6"/>
  <c r="M84" i="6" s="1"/>
  <c r="K13" i="6"/>
  <c r="M15" i="6"/>
  <c r="X9" i="6"/>
  <c r="W9" i="6" s="1"/>
  <c r="X7" i="28" l="1"/>
  <c r="Q7" i="28"/>
  <c r="R7" i="28" s="1"/>
  <c r="V49" i="28"/>
  <c r="M49" i="28"/>
  <c r="N49" i="28" s="1"/>
  <c r="H50" i="27"/>
  <c r="O50" i="27" s="1"/>
  <c r="P50" i="27" s="1"/>
  <c r="O49" i="27"/>
  <c r="P49" i="27" s="1"/>
  <c r="G50" i="28"/>
  <c r="H49" i="28"/>
  <c r="AB89" i="17"/>
  <c r="AA89" i="17" s="1"/>
  <c r="AB15" i="17"/>
  <c r="AA15" i="17" s="1"/>
  <c r="S92" i="18"/>
  <c r="T7" i="18"/>
  <c r="K7" i="27"/>
  <c r="K7" i="28" s="1"/>
  <c r="K13" i="28" s="1"/>
  <c r="K24" i="28" s="1"/>
  <c r="J13" i="27"/>
  <c r="J60" i="27" s="1"/>
  <c r="L7" i="6"/>
  <c r="L86" i="6"/>
  <c r="L97" i="6"/>
  <c r="K15" i="6"/>
  <c r="AB9" i="6"/>
  <c r="AB11" i="6" s="1"/>
  <c r="X11" i="6"/>
  <c r="K84" i="6"/>
  <c r="V50" i="28" l="1"/>
  <c r="W49" i="28"/>
  <c r="O49" i="28"/>
  <c r="P49" i="28" s="1"/>
  <c r="E79" i="28"/>
  <c r="G57" i="28"/>
  <c r="E77" i="28"/>
  <c r="E81" i="28"/>
  <c r="H50" i="28"/>
  <c r="T92" i="18"/>
  <c r="T15" i="18"/>
  <c r="W15" i="18" s="1"/>
  <c r="L7" i="27"/>
  <c r="L7" i="28" s="1"/>
  <c r="L13" i="28" s="1"/>
  <c r="L24" i="28" s="1"/>
  <c r="K13" i="27"/>
  <c r="K60" i="27" s="1"/>
  <c r="L88" i="6"/>
  <c r="AA9" i="6"/>
  <c r="AA11" i="6"/>
  <c r="X13" i="6"/>
  <c r="K86" i="6"/>
  <c r="AB13" i="6"/>
  <c r="G76" i="42" l="1"/>
  <c r="G62" i="42"/>
  <c r="W50" i="28"/>
  <c r="O50" i="28"/>
  <c r="P50" i="28" s="1"/>
  <c r="G76" i="28"/>
  <c r="G77" i="28" s="1"/>
  <c r="H2" i="23"/>
  <c r="H3" i="23" s="1"/>
  <c r="G76" i="26"/>
  <c r="G77" i="26" s="1"/>
  <c r="H57" i="28"/>
  <c r="W92" i="18"/>
  <c r="X7" i="18"/>
  <c r="P7" i="6"/>
  <c r="M88" i="6"/>
  <c r="K88" i="6"/>
  <c r="L13" i="27"/>
  <c r="L60" i="27" s="1"/>
  <c r="S10" i="23"/>
  <c r="X95" i="6"/>
  <c r="X96" i="6" s="1"/>
  <c r="X84" i="6"/>
  <c r="AB95" i="6"/>
  <c r="AB96" i="6" s="1"/>
  <c r="AB84" i="6"/>
  <c r="AB15" i="6"/>
  <c r="AA13" i="6"/>
  <c r="X15" i="6"/>
  <c r="O57" i="28" l="1"/>
  <c r="P57" i="28" s="1"/>
  <c r="H76" i="42"/>
  <c r="G77" i="42"/>
  <c r="G78" i="42"/>
  <c r="G79" i="42" s="1"/>
  <c r="H76" i="28"/>
  <c r="H77" i="28" s="1"/>
  <c r="L2" i="23"/>
  <c r="V76" i="28"/>
  <c r="V77" i="28"/>
  <c r="H76" i="26"/>
  <c r="H77" i="26" s="1"/>
  <c r="X15" i="18"/>
  <c r="AA15" i="18" s="1"/>
  <c r="X92" i="18"/>
  <c r="H57" i="27"/>
  <c r="O10" i="23"/>
  <c r="X86" i="6"/>
  <c r="X97" i="6"/>
  <c r="AA15" i="6"/>
  <c r="AB86" i="6"/>
  <c r="AB97" i="6"/>
  <c r="AA84" i="6"/>
  <c r="H77" i="42" l="1"/>
  <c r="G80" i="42"/>
  <c r="G81" i="42" s="1"/>
  <c r="W57" i="28"/>
  <c r="L9" i="23"/>
  <c r="K9" i="23" s="1"/>
  <c r="W76" i="28"/>
  <c r="AB7" i="18"/>
  <c r="AA92" i="18"/>
  <c r="W77" i="28"/>
  <c r="AA86" i="6"/>
  <c r="L3" i="23" l="1"/>
  <c r="L11" i="23"/>
  <c r="H20" i="27" s="1"/>
  <c r="H20" i="42" s="1"/>
  <c r="AB92" i="18"/>
  <c r="AB15" i="18"/>
  <c r="D101" i="13"/>
  <c r="I101" i="13" s="1"/>
  <c r="O20" i="42" l="1"/>
  <c r="P20" i="42" s="1"/>
  <c r="H22" i="42"/>
  <c r="L25" i="31"/>
  <c r="L100" i="23"/>
  <c r="L15" i="23"/>
  <c r="H22" i="27"/>
  <c r="H20" i="26"/>
  <c r="F48" i="27"/>
  <c r="M48" i="27" s="1"/>
  <c r="N48" i="27" s="1"/>
  <c r="D114" i="13"/>
  <c r="G101" i="13"/>
  <c r="D104" i="13"/>
  <c r="I104" i="13" s="1"/>
  <c r="G16" i="13"/>
  <c r="D18" i="13"/>
  <c r="D115" i="13"/>
  <c r="O22" i="42" l="1"/>
  <c r="P22" i="42" s="1"/>
  <c r="H24" i="42"/>
  <c r="G18" i="13"/>
  <c r="I18" i="13"/>
  <c r="W23" i="28"/>
  <c r="H20" i="28"/>
  <c r="W18" i="28"/>
  <c r="H22" i="26"/>
  <c r="H24" i="27"/>
  <c r="D116" i="13"/>
  <c r="D117" i="13" s="1"/>
  <c r="F48" i="28"/>
  <c r="F50" i="27"/>
  <c r="M50" i="27" s="1"/>
  <c r="N50" i="27" s="1"/>
  <c r="D106" i="13"/>
  <c r="G104" i="13"/>
  <c r="O24" i="42" l="1"/>
  <c r="P24" i="42" s="1"/>
  <c r="H60" i="42"/>
  <c r="U48" i="28"/>
  <c r="M48" i="28"/>
  <c r="N48" i="28" s="1"/>
  <c r="F57" i="27"/>
  <c r="F50" i="28"/>
  <c r="H60" i="27"/>
  <c r="H22" i="28"/>
  <c r="G106" i="13"/>
  <c r="D108" i="13"/>
  <c r="O60" i="42" l="1"/>
  <c r="P60" i="42" s="1"/>
  <c r="H61" i="42"/>
  <c r="Q22" i="28"/>
  <c r="R22" i="28" s="1"/>
  <c r="U50" i="28"/>
  <c r="M50" i="28"/>
  <c r="N50" i="28" s="1"/>
  <c r="W22" i="28"/>
  <c r="F57" i="28"/>
  <c r="F60" i="27"/>
  <c r="H7" i="13"/>
  <c r="H108" i="13" s="1"/>
  <c r="M57" i="28" l="1"/>
  <c r="N57" i="28" s="1"/>
  <c r="F76" i="42"/>
  <c r="F62" i="42"/>
  <c r="H62" i="42"/>
  <c r="H78" i="42"/>
  <c r="O61" i="42"/>
  <c r="P61" i="42" s="1"/>
  <c r="I59" i="42"/>
  <c r="U57" i="28"/>
  <c r="F62" i="26"/>
  <c r="F60" i="28"/>
  <c r="U60" i="28" s="1"/>
  <c r="F76" i="26"/>
  <c r="F77" i="26" s="1"/>
  <c r="F76" i="28"/>
  <c r="F61" i="27"/>
  <c r="L7" i="13"/>
  <c r="L108" i="13" s="1"/>
  <c r="G108" i="13"/>
  <c r="Q59" i="42" l="1"/>
  <c r="R59" i="42" s="1"/>
  <c r="F77" i="42"/>
  <c r="F78" i="42"/>
  <c r="F79" i="42" s="1"/>
  <c r="H79" i="42"/>
  <c r="H80" i="42"/>
  <c r="H81" i="42" s="1"/>
  <c r="K108" i="13"/>
  <c r="P7" i="13"/>
  <c r="P108" i="13" s="1"/>
  <c r="O108" i="13" s="1"/>
  <c r="F61" i="28"/>
  <c r="U61" i="28" s="1"/>
  <c r="U76" i="28"/>
  <c r="F78" i="26"/>
  <c r="F79" i="26" s="1"/>
  <c r="F77" i="28"/>
  <c r="U77" i="28" s="1"/>
  <c r="G59" i="27"/>
  <c r="M59" i="27" s="1"/>
  <c r="N59" i="27" s="1"/>
  <c r="F66" i="27"/>
  <c r="F80" i="42" l="1"/>
  <c r="F81" i="42" s="1"/>
  <c r="G59" i="28"/>
  <c r="F62" i="28"/>
  <c r="U62" i="28" s="1"/>
  <c r="F80" i="26"/>
  <c r="F81" i="26" s="1"/>
  <c r="F75" i="27"/>
  <c r="U75" i="28" s="1"/>
  <c r="T7" i="13"/>
  <c r="T108" i="13" s="1"/>
  <c r="S108" i="13" s="1"/>
  <c r="V59" i="28" l="1"/>
  <c r="M59" i="28"/>
  <c r="N59" i="28" s="1"/>
  <c r="F80" i="27"/>
  <c r="F81" i="27" s="1"/>
  <c r="X7" i="13"/>
  <c r="X108" i="13" s="1"/>
  <c r="W108" i="13" s="1"/>
  <c r="F66" i="28" l="1"/>
  <c r="U66" i="28" s="1"/>
  <c r="AB7" i="13"/>
  <c r="AB108" i="13" s="1"/>
  <c r="AA108" i="13" s="1"/>
  <c r="G13" i="19"/>
  <c r="K13" i="19"/>
  <c r="G15" i="19"/>
  <c r="H96" i="19"/>
  <c r="H97" i="19" s="1"/>
  <c r="K85" i="19"/>
  <c r="F78" i="28" l="1"/>
  <c r="U78" i="28" s="1"/>
  <c r="H98" i="19"/>
  <c r="G85" i="19"/>
  <c r="H87" i="19"/>
  <c r="F80" i="28" l="1"/>
  <c r="U80" i="28" s="1"/>
  <c r="F79" i="28"/>
  <c r="U79" i="28" s="1"/>
  <c r="G87" i="19"/>
  <c r="K87" i="19"/>
  <c r="H89" i="19"/>
  <c r="F81" i="28" l="1"/>
  <c r="U81" i="28" s="1"/>
  <c r="G89" i="19"/>
  <c r="L7" i="19"/>
  <c r="L89" i="19" s="1"/>
  <c r="L15" i="19" l="1"/>
  <c r="P7" i="19" l="1"/>
  <c r="K89" i="19"/>
  <c r="K15" i="19"/>
  <c r="P89" i="19" l="1"/>
  <c r="P15" i="19"/>
  <c r="O15" i="19" l="1"/>
  <c r="T7" i="19"/>
  <c r="O89" i="19"/>
  <c r="T89" i="19" l="1"/>
  <c r="T15" i="19"/>
  <c r="S15" i="19" l="1"/>
  <c r="X7" i="19"/>
  <c r="S89" i="19"/>
  <c r="X15" i="19" l="1"/>
  <c r="X89" i="19"/>
  <c r="AB7" i="19" l="1"/>
  <c r="W89" i="19"/>
  <c r="W15" i="19"/>
  <c r="AB89" i="19" l="1"/>
  <c r="AA89" i="19" s="1"/>
  <c r="AB15" i="19"/>
  <c r="AA15" i="19" s="1"/>
  <c r="K10" i="23"/>
  <c r="H11" i="23"/>
  <c r="I11" i="23" l="1"/>
  <c r="M11" i="23"/>
  <c r="H25" i="31"/>
  <c r="H100" i="23"/>
  <c r="K100" i="23" s="1"/>
  <c r="G11" i="23"/>
  <c r="G20" i="27"/>
  <c r="H15" i="23"/>
  <c r="K11" i="23"/>
  <c r="H29" i="31" l="1"/>
  <c r="I26" i="31"/>
  <c r="G22" i="27"/>
  <c r="M20" i="27"/>
  <c r="N20" i="27" s="1"/>
  <c r="O20" i="27"/>
  <c r="P20" i="27" s="1"/>
  <c r="G24" i="27"/>
  <c r="I15" i="23"/>
  <c r="M15" i="23"/>
  <c r="K25" i="31"/>
  <c r="G25" i="31"/>
  <c r="G57" i="27"/>
  <c r="G20" i="26"/>
  <c r="K15" i="23"/>
  <c r="G15" i="23"/>
  <c r="G100" i="23"/>
  <c r="H102" i="23"/>
  <c r="I102" i="23" s="1"/>
  <c r="M24" i="27" l="1"/>
  <c r="N24" i="27" s="1"/>
  <c r="O24" i="27"/>
  <c r="P24" i="27" s="1"/>
  <c r="M20" i="26"/>
  <c r="N20" i="26" s="1"/>
  <c r="O20" i="26"/>
  <c r="P20" i="26" s="1"/>
  <c r="V57" i="28"/>
  <c r="M57" i="27"/>
  <c r="N57" i="27" s="1"/>
  <c r="O57" i="27"/>
  <c r="P57" i="27" s="1"/>
  <c r="M22" i="27"/>
  <c r="N22" i="27" s="1"/>
  <c r="O22" i="27"/>
  <c r="P22" i="27" s="1"/>
  <c r="G20" i="28"/>
  <c r="V23" i="28"/>
  <c r="G60" i="27"/>
  <c r="H31" i="31"/>
  <c r="H170" i="31" s="1"/>
  <c r="G22" i="26"/>
  <c r="V18" i="28"/>
  <c r="G29" i="31"/>
  <c r="L7" i="23"/>
  <c r="L102" i="23" s="1"/>
  <c r="M102" i="23" s="1"/>
  <c r="G102" i="23"/>
  <c r="M20" i="28" l="1"/>
  <c r="N20" i="28" s="1"/>
  <c r="O20" i="28"/>
  <c r="P20" i="28" s="1"/>
  <c r="M60" i="27"/>
  <c r="N60" i="27" s="1"/>
  <c r="O60" i="27"/>
  <c r="P60" i="27" s="1"/>
  <c r="M22" i="26"/>
  <c r="N22" i="26" s="1"/>
  <c r="O22" i="26"/>
  <c r="P22" i="26" s="1"/>
  <c r="G24" i="26"/>
  <c r="M24" i="26" s="1"/>
  <c r="N24" i="26" s="1"/>
  <c r="H33" i="31"/>
  <c r="G33" i="31" s="1"/>
  <c r="K31" i="31"/>
  <c r="H181" i="31"/>
  <c r="I170" i="31"/>
  <c r="G61" i="27"/>
  <c r="M61" i="27" s="1"/>
  <c r="N61" i="27" s="1"/>
  <c r="G22" i="28"/>
  <c r="K102" i="23"/>
  <c r="G170" i="31"/>
  <c r="H172" i="31"/>
  <c r="H174" i="31" s="1"/>
  <c r="L7" i="31" s="1"/>
  <c r="P7" i="23"/>
  <c r="M22" i="28" l="1"/>
  <c r="N22" i="28" s="1"/>
  <c r="O22" i="28"/>
  <c r="P22" i="28" s="1"/>
  <c r="V22" i="28"/>
  <c r="G60" i="26"/>
  <c r="G61" i="26" s="1"/>
  <c r="I33" i="31"/>
  <c r="G66" i="27"/>
  <c r="H59" i="27"/>
  <c r="O59" i="27" s="1"/>
  <c r="P59" i="27" s="1"/>
  <c r="G24" i="28"/>
  <c r="G172" i="31"/>
  <c r="V24" i="28" l="1"/>
  <c r="M24" i="28"/>
  <c r="N24" i="28" s="1"/>
  <c r="M60" i="26"/>
  <c r="N60" i="26" s="1"/>
  <c r="H59" i="26"/>
  <c r="O59" i="26" s="1"/>
  <c r="P59" i="26" s="1"/>
  <c r="G75" i="27"/>
  <c r="V75" i="28" s="1"/>
  <c r="H61" i="27"/>
  <c r="O61" i="27" s="1"/>
  <c r="P61" i="27" s="1"/>
  <c r="G60" i="28"/>
  <c r="G174" i="31"/>
  <c r="V60" i="28" l="1"/>
  <c r="M60" i="28"/>
  <c r="N60" i="28" s="1"/>
  <c r="G62" i="26"/>
  <c r="M61" i="26"/>
  <c r="N61" i="26" s="1"/>
  <c r="G78" i="26"/>
  <c r="G79" i="26" s="1"/>
  <c r="G80" i="27"/>
  <c r="G81" i="27" s="1"/>
  <c r="H66" i="27"/>
  <c r="I59" i="27"/>
  <c r="Q59" i="27" s="1"/>
  <c r="R59" i="27" s="1"/>
  <c r="G61" i="28"/>
  <c r="C105" i="5"/>
  <c r="C108" i="5" s="1"/>
  <c r="AF102" i="5"/>
  <c r="AF105" i="5" s="1"/>
  <c r="AF108" i="5" s="1"/>
  <c r="V61" i="28" l="1"/>
  <c r="M61" i="28"/>
  <c r="N61" i="28" s="1"/>
  <c r="G80" i="26"/>
  <c r="G81" i="26" s="1"/>
  <c r="H75" i="27"/>
  <c r="W75" i="28" s="1"/>
  <c r="G66" i="28"/>
  <c r="V66" i="28" s="1"/>
  <c r="G62" i="28"/>
  <c r="V62" i="28" s="1"/>
  <c r="H59" i="28"/>
  <c r="AG108" i="5"/>
  <c r="AG109" i="5" s="1"/>
  <c r="AF111" i="5"/>
  <c r="W59" i="28" l="1"/>
  <c r="O59" i="28"/>
  <c r="P59" i="28" s="1"/>
  <c r="G78" i="28"/>
  <c r="V78" i="28" s="1"/>
  <c r="H80" i="27"/>
  <c r="H81" i="27" s="1"/>
  <c r="AF113" i="5"/>
  <c r="AG111" i="5"/>
  <c r="J61" i="26"/>
  <c r="L4" i="6"/>
  <c r="G80" i="28" l="1"/>
  <c r="V80" i="28" s="1"/>
  <c r="G79" i="28"/>
  <c r="V79" i="28" s="1"/>
  <c r="H66" i="28"/>
  <c r="W66" i="28" s="1"/>
  <c r="P10" i="6"/>
  <c r="I8" i="27" s="1"/>
  <c r="J62" i="26"/>
  <c r="J78" i="26"/>
  <c r="J79" i="26" s="1"/>
  <c r="K59" i="26"/>
  <c r="K61" i="26" s="1"/>
  <c r="T10" i="6"/>
  <c r="T11" i="6" s="1"/>
  <c r="T13" i="6" s="1"/>
  <c r="O10" i="6"/>
  <c r="X7" i="27" l="1"/>
  <c r="Q8" i="27"/>
  <c r="R8" i="27" s="1"/>
  <c r="G81" i="28"/>
  <c r="V81" i="28" s="1"/>
  <c r="K62" i="26"/>
  <c r="L59" i="26"/>
  <c r="L61" i="26" s="1"/>
  <c r="K78" i="26"/>
  <c r="K79" i="26" s="1"/>
  <c r="W11" i="6"/>
  <c r="S10" i="6"/>
  <c r="W10" i="6"/>
  <c r="H10" i="36"/>
  <c r="H70" i="36" s="1"/>
  <c r="P11" i="6"/>
  <c r="Q11" i="6" s="1"/>
  <c r="T95" i="6"/>
  <c r="T96" i="6" s="1"/>
  <c r="T84" i="6"/>
  <c r="W13" i="6"/>
  <c r="I13" i="27"/>
  <c r="Q13" i="27" s="1"/>
  <c r="R13" i="27" s="1"/>
  <c r="I8" i="28"/>
  <c r="T15" i="6"/>
  <c r="W15" i="6" s="1"/>
  <c r="X8" i="28" l="1"/>
  <c r="Q8" i="28"/>
  <c r="R8" i="28" s="1"/>
  <c r="I13" i="28"/>
  <c r="L62" i="26"/>
  <c r="L78" i="26"/>
  <c r="L79" i="26" s="1"/>
  <c r="P13" i="6"/>
  <c r="O11" i="6"/>
  <c r="S11" i="6"/>
  <c r="H73" i="36"/>
  <c r="H77" i="36"/>
  <c r="H80" i="36" s="1"/>
  <c r="H84" i="36" s="1"/>
  <c r="H87" i="36" s="1"/>
  <c r="W84" i="6"/>
  <c r="T97" i="6"/>
  <c r="T86" i="6"/>
  <c r="W86" i="6" s="1"/>
  <c r="X13" i="28" l="1"/>
  <c r="P15" i="6"/>
  <c r="Q15" i="6" s="1"/>
  <c r="S13" i="6"/>
  <c r="O13" i="6"/>
  <c r="P95" i="6"/>
  <c r="P96" i="6" s="1"/>
  <c r="P84" i="6"/>
  <c r="Q84" i="6" s="1"/>
  <c r="I49" i="27"/>
  <c r="Q49" i="27" s="1"/>
  <c r="R49" i="27" s="1"/>
  <c r="I49" i="28" l="1"/>
  <c r="I50" i="27"/>
  <c r="Q50" i="27" s="1"/>
  <c r="R50" i="27" s="1"/>
  <c r="P86" i="6"/>
  <c r="O86" i="6" s="1"/>
  <c r="S84" i="6"/>
  <c r="O84" i="6"/>
  <c r="P97" i="6"/>
  <c r="O15" i="6"/>
  <c r="S15" i="6"/>
  <c r="X49" i="28" l="1"/>
  <c r="Q49" i="28"/>
  <c r="R49" i="28" s="1"/>
  <c r="I57" i="27"/>
  <c r="Q57" i="27" s="1"/>
  <c r="R57" i="27" s="1"/>
  <c r="I50" i="28"/>
  <c r="S86" i="6"/>
  <c r="P88" i="6"/>
  <c r="X50" i="28" l="1"/>
  <c r="Q50" i="28"/>
  <c r="R50" i="28" s="1"/>
  <c r="I57" i="28"/>
  <c r="T7" i="6"/>
  <c r="T88" i="6" s="1"/>
  <c r="X7" i="6" s="1"/>
  <c r="X88" i="6" s="1"/>
  <c r="AB7" i="6" s="1"/>
  <c r="AB88" i="6" s="1"/>
  <c r="AA88" i="6" s="1"/>
  <c r="O88" i="6"/>
  <c r="Q57" i="28" l="1"/>
  <c r="R57" i="28" s="1"/>
  <c r="I76" i="42"/>
  <c r="X57" i="28"/>
  <c r="P2" i="23"/>
  <c r="I76" i="28"/>
  <c r="I76" i="26"/>
  <c r="P9" i="23" s="1"/>
  <c r="W88" i="6"/>
  <c r="S88" i="6"/>
  <c r="I77" i="42" l="1"/>
  <c r="P3" i="23"/>
  <c r="I77" i="28"/>
  <c r="X76" i="28"/>
  <c r="I77" i="26"/>
  <c r="P11" i="23"/>
  <c r="Q11" i="23" s="1"/>
  <c r="O9" i="23"/>
  <c r="S9" i="23"/>
  <c r="X77" i="28" l="1"/>
  <c r="S11" i="23"/>
  <c r="P25" i="31"/>
  <c r="P29" i="31" s="1"/>
  <c r="P15" i="23"/>
  <c r="Q15" i="23" s="1"/>
  <c r="O11" i="23"/>
  <c r="P100" i="23"/>
  <c r="I20" i="27"/>
  <c r="I20" i="42" s="1"/>
  <c r="Q20" i="42" l="1"/>
  <c r="R20" i="42" s="1"/>
  <c r="I22" i="42"/>
  <c r="I20" i="26"/>
  <c r="Q20" i="26" s="1"/>
  <c r="R20" i="26" s="1"/>
  <c r="Q20" i="27"/>
  <c r="R20" i="27" s="1"/>
  <c r="O15" i="23"/>
  <c r="S15" i="23"/>
  <c r="I22" i="27"/>
  <c r="Q22" i="27" s="1"/>
  <c r="R22" i="27" s="1"/>
  <c r="S25" i="31"/>
  <c r="O25" i="31"/>
  <c r="S100" i="23"/>
  <c r="O100" i="23"/>
  <c r="P102" i="23"/>
  <c r="Q102" i="23" s="1"/>
  <c r="Q22" i="42" l="1"/>
  <c r="R22" i="42" s="1"/>
  <c r="I24" i="42"/>
  <c r="I22" i="26"/>
  <c r="Q22" i="26" s="1"/>
  <c r="R22" i="26" s="1"/>
  <c r="X23" i="28"/>
  <c r="I20" i="28"/>
  <c r="Q20" i="28" s="1"/>
  <c r="R20" i="28" s="1"/>
  <c r="I24" i="27"/>
  <c r="Q24" i="27" s="1"/>
  <c r="R24" i="27" s="1"/>
  <c r="O102" i="23"/>
  <c r="T7" i="23"/>
  <c r="T102" i="23" s="1"/>
  <c r="X18" i="28"/>
  <c r="S29" i="31"/>
  <c r="P31" i="31"/>
  <c r="Q24" i="42" l="1"/>
  <c r="R24" i="42" s="1"/>
  <c r="I60" i="42"/>
  <c r="I24" i="26"/>
  <c r="X22" i="28"/>
  <c r="I60" i="27"/>
  <c r="Q60" i="27" s="1"/>
  <c r="R60" i="27" s="1"/>
  <c r="S31" i="31"/>
  <c r="P170" i="31"/>
  <c r="X7" i="23"/>
  <c r="X102" i="23" s="1"/>
  <c r="S102" i="23"/>
  <c r="Q60" i="42" l="1"/>
  <c r="R60" i="42" s="1"/>
  <c r="I61" i="42"/>
  <c r="I60" i="26"/>
  <c r="I24" i="28"/>
  <c r="I61" i="27"/>
  <c r="Q61" i="27" s="1"/>
  <c r="R61" i="27" s="1"/>
  <c r="P172" i="31"/>
  <c r="P181" i="31"/>
  <c r="S170" i="31"/>
  <c r="W102" i="23"/>
  <c r="AB7" i="23"/>
  <c r="AB102" i="23" s="1"/>
  <c r="AA102" i="23" s="1"/>
  <c r="I78" i="42" l="1"/>
  <c r="Q61" i="42"/>
  <c r="R61" i="42" s="1"/>
  <c r="J59" i="42"/>
  <c r="I62" i="42"/>
  <c r="X24" i="28"/>
  <c r="J59" i="27"/>
  <c r="J61" i="27" s="1"/>
  <c r="I66" i="27"/>
  <c r="I60" i="28"/>
  <c r="S172" i="31"/>
  <c r="I79" i="42" l="1"/>
  <c r="I80" i="42"/>
  <c r="I81" i="42" s="1"/>
  <c r="X60" i="28"/>
  <c r="I75" i="27"/>
  <c r="X75" i="28" s="1"/>
  <c r="J66" i="27"/>
  <c r="J80" i="27" s="1"/>
  <c r="J66" i="28" s="1"/>
  <c r="J80" i="28" s="1"/>
  <c r="J81" i="28" s="1"/>
  <c r="K59" i="27"/>
  <c r="K61" i="27" s="1"/>
  <c r="K10" i="21"/>
  <c r="F9" i="22"/>
  <c r="F17" i="22" s="1"/>
  <c r="I80" i="27" l="1"/>
  <c r="I81" i="27" s="1"/>
  <c r="K66" i="27"/>
  <c r="K80" i="27" s="1"/>
  <c r="K66" i="28" s="1"/>
  <c r="K80" i="28" s="1"/>
  <c r="K81" i="28" s="1"/>
  <c r="L59" i="27"/>
  <c r="L61" i="27" s="1"/>
  <c r="J75" i="27"/>
  <c r="L11" i="21"/>
  <c r="G5" i="22"/>
  <c r="G9" i="22" s="1"/>
  <c r="G17" i="22" s="1"/>
  <c r="O10" i="21"/>
  <c r="O11" i="21"/>
  <c r="I66" i="28" l="1"/>
  <c r="X66" i="28" s="1"/>
  <c r="K75" i="27"/>
  <c r="L66" i="27"/>
  <c r="L80" i="27" s="1"/>
  <c r="L66" i="28" s="1"/>
  <c r="L80" i="28" s="1"/>
  <c r="L81" i="28" s="1"/>
  <c r="K11" i="21"/>
  <c r="Q11" i="21"/>
  <c r="M11" i="21"/>
  <c r="L29" i="31"/>
  <c r="H5" i="22"/>
  <c r="H8" i="22" s="1"/>
  <c r="H9" i="22" s="1"/>
  <c r="L13" i="21"/>
  <c r="L15" i="21" s="1"/>
  <c r="K15" i="21" s="1"/>
  <c r="L75" i="27" l="1"/>
  <c r="H5" i="26"/>
  <c r="K10" i="31"/>
  <c r="O10" i="31"/>
  <c r="L96" i="21"/>
  <c r="L97" i="21" s="1"/>
  <c r="Q29" i="31"/>
  <c r="L85" i="21"/>
  <c r="K85" i="21" s="1"/>
  <c r="O13" i="21"/>
  <c r="I5" i="22"/>
  <c r="I9" i="22" s="1"/>
  <c r="H14" i="22"/>
  <c r="H15" i="22" s="1"/>
  <c r="I12" i="22" s="1"/>
  <c r="I15" i="22" s="1"/>
  <c r="J12" i="22" s="1"/>
  <c r="O5" i="26" l="1"/>
  <c r="P5" i="26" s="1"/>
  <c r="Q5" i="26"/>
  <c r="R5" i="26" s="1"/>
  <c r="H13" i="26"/>
  <c r="L98" i="21"/>
  <c r="O85" i="21"/>
  <c r="L87" i="21"/>
  <c r="K87" i="21" s="1"/>
  <c r="K29" i="31"/>
  <c r="L31" i="31"/>
  <c r="L33" i="31" s="1"/>
  <c r="M33" i="31" s="1"/>
  <c r="M29" i="31"/>
  <c r="O29" i="31"/>
  <c r="H5" i="28"/>
  <c r="H35" i="22"/>
  <c r="H36" i="22" s="1"/>
  <c r="I17" i="22"/>
  <c r="J5" i="22"/>
  <c r="H17" i="22"/>
  <c r="O13" i="26" l="1"/>
  <c r="P13" i="26" s="1"/>
  <c r="Q13" i="26"/>
  <c r="R13" i="26" s="1"/>
  <c r="W5" i="28"/>
  <c r="O5" i="28"/>
  <c r="P5" i="28" s="1"/>
  <c r="Q5" i="28"/>
  <c r="R5" i="28" s="1"/>
  <c r="L89" i="21"/>
  <c r="P7" i="21" s="1"/>
  <c r="O87" i="21"/>
  <c r="L170" i="31"/>
  <c r="M170" i="31" s="1"/>
  <c r="H13" i="28"/>
  <c r="K33" i="31"/>
  <c r="O31" i="31"/>
  <c r="H24" i="26"/>
  <c r="J8" i="22"/>
  <c r="J9" i="22" s="1"/>
  <c r="W13" i="28" l="1"/>
  <c r="O13" i="28"/>
  <c r="P13" i="28" s="1"/>
  <c r="Q13" i="28"/>
  <c r="R13" i="28" s="1"/>
  <c r="O24" i="26"/>
  <c r="P24" i="26" s="1"/>
  <c r="Q24" i="26"/>
  <c r="R24" i="26" s="1"/>
  <c r="K89" i="21"/>
  <c r="M89" i="21"/>
  <c r="O170" i="31"/>
  <c r="L181" i="31"/>
  <c r="K170" i="31"/>
  <c r="L172" i="31"/>
  <c r="O172" i="31" s="1"/>
  <c r="Q170" i="31"/>
  <c r="H60" i="26"/>
  <c r="H24" i="28"/>
  <c r="J14" i="22"/>
  <c r="J15" i="22" s="1"/>
  <c r="J17" i="22" s="1"/>
  <c r="P15" i="21"/>
  <c r="P89" i="21"/>
  <c r="Q89" i="21" s="1"/>
  <c r="W24" i="28" l="1"/>
  <c r="O24" i="28"/>
  <c r="P24" i="28" s="1"/>
  <c r="Q24" i="28"/>
  <c r="R24" i="28" s="1"/>
  <c r="Q60" i="26"/>
  <c r="R60" i="26" s="1"/>
  <c r="O60" i="26"/>
  <c r="P60" i="26" s="1"/>
  <c r="H61" i="26"/>
  <c r="O61" i="26" s="1"/>
  <c r="P61" i="26" s="1"/>
  <c r="K172" i="31"/>
  <c r="L174" i="31"/>
  <c r="H60" i="28"/>
  <c r="T7" i="21"/>
  <c r="T89" i="21" s="1"/>
  <c r="S89" i="21" s="1"/>
  <c r="O89" i="21"/>
  <c r="S15" i="21"/>
  <c r="O15" i="21"/>
  <c r="J35" i="22"/>
  <c r="J36" i="22" s="1"/>
  <c r="W60" i="28" l="1"/>
  <c r="O60" i="28"/>
  <c r="P60" i="28" s="1"/>
  <c r="Q60" i="28"/>
  <c r="R60" i="28" s="1"/>
  <c r="I59" i="26"/>
  <c r="K174" i="31"/>
  <c r="P7" i="31"/>
  <c r="P174" i="31" s="1"/>
  <c r="H62" i="26"/>
  <c r="H78" i="26"/>
  <c r="H61" i="28"/>
  <c r="X7" i="21"/>
  <c r="X89" i="21" s="1"/>
  <c r="W61" i="28" l="1"/>
  <c r="O61" i="28"/>
  <c r="P61" i="28" s="1"/>
  <c r="I61" i="26"/>
  <c r="Q61" i="26" s="1"/>
  <c r="R61" i="26" s="1"/>
  <c r="Q59" i="26"/>
  <c r="R59" i="26" s="1"/>
  <c r="P33" i="31"/>
  <c r="Q33" i="31" s="1"/>
  <c r="H80" i="26"/>
  <c r="H79" i="26"/>
  <c r="H78" i="28"/>
  <c r="W78" i="28" s="1"/>
  <c r="I59" i="28"/>
  <c r="H62" i="28"/>
  <c r="W62" i="28" s="1"/>
  <c r="AB7" i="21"/>
  <c r="AB89" i="21" s="1"/>
  <c r="AA89" i="21" s="1"/>
  <c r="W89" i="21"/>
  <c r="T7" i="31"/>
  <c r="T174" i="31" s="1"/>
  <c r="O174" i="31"/>
  <c r="X59" i="28" l="1"/>
  <c r="Q59" i="28"/>
  <c r="R59" i="28" s="1"/>
  <c r="I62" i="26"/>
  <c r="I78" i="26"/>
  <c r="I80" i="26" s="1"/>
  <c r="I81" i="26" s="1"/>
  <c r="J59" i="26"/>
  <c r="O33" i="31"/>
  <c r="S33" i="31"/>
  <c r="H81" i="26"/>
  <c r="I61" i="28"/>
  <c r="H79" i="28"/>
  <c r="W79" i="28" s="1"/>
  <c r="H80" i="28"/>
  <c r="W80" i="28" s="1"/>
  <c r="X7" i="31"/>
  <c r="X174" i="31" s="1"/>
  <c r="S174" i="31"/>
  <c r="X61" i="28" l="1"/>
  <c r="Q61" i="28"/>
  <c r="R61" i="28" s="1"/>
  <c r="I79" i="26"/>
  <c r="H81" i="28"/>
  <c r="W81" i="28" s="1"/>
  <c r="J59" i="28"/>
  <c r="I78" i="28"/>
  <c r="X78" i="28" s="1"/>
  <c r="I62" i="28"/>
  <c r="X62" i="28" s="1"/>
  <c r="AB7" i="31"/>
  <c r="AB174" i="31" s="1"/>
  <c r="AA174" i="31" s="1"/>
  <c r="W174" i="31"/>
  <c r="J60" i="28" l="1"/>
  <c r="J61" i="28"/>
  <c r="I79" i="28"/>
  <c r="X79" i="28" s="1"/>
  <c r="I80" i="28"/>
  <c r="X80" i="28" s="1"/>
  <c r="I81" i="28" l="1"/>
  <c r="X81" i="28" s="1"/>
  <c r="J78" i="28"/>
  <c r="J79" i="28" s="1"/>
  <c r="K59" i="28"/>
  <c r="K60" i="28" s="1"/>
  <c r="K61" i="28" s="1"/>
  <c r="L59" i="28" l="1"/>
  <c r="K78" i="28"/>
  <c r="K79" i="28" s="1"/>
  <c r="L61" i="28" l="1"/>
  <c r="L78" i="28" s="1"/>
  <c r="L79" i="28" s="1"/>
  <c r="L60" i="28"/>
</calcChain>
</file>

<file path=xl/comments1.xml><?xml version="1.0" encoding="utf-8"?>
<comments xmlns="http://schemas.openxmlformats.org/spreadsheetml/2006/main">
  <authors>
    <author>Cheryl Phan</author>
  </authors>
  <commentList>
    <comment ref="C100" authorId="0">
      <text>
        <r>
          <rPr>
            <sz val="9"/>
            <color indexed="81"/>
            <rFont val="Tahoma"/>
            <family val="2"/>
          </rPr>
          <t>Solution Tree</t>
        </r>
      </text>
    </comment>
    <comment ref="C101" authorId="0">
      <text>
        <r>
          <rPr>
            <sz val="9"/>
            <color indexed="81"/>
            <rFont val="Tahoma"/>
            <family val="2"/>
          </rPr>
          <t>2 days inservice</t>
        </r>
      </text>
    </comment>
    <comment ref="C102" authorId="0">
      <text>
        <r>
          <rPr>
            <sz val="9"/>
            <color indexed="81"/>
            <rFont val="Tahoma"/>
            <family val="2"/>
          </rPr>
          <t>Indirect costs, but could be less, depending on how much we actually expense this year</t>
        </r>
      </text>
    </comment>
  </commentList>
</comments>
</file>

<file path=xl/comments2.xml><?xml version="1.0" encoding="utf-8"?>
<comments xmlns="http://schemas.openxmlformats.org/spreadsheetml/2006/main">
  <authors>
    <author>Cheryl Phan</author>
  </authors>
  <commentList>
    <comment ref="C100" authorId="0">
      <text>
        <r>
          <rPr>
            <sz val="9"/>
            <color indexed="81"/>
            <rFont val="Tahoma"/>
            <family val="2"/>
          </rPr>
          <t>Solution Tree</t>
        </r>
      </text>
    </comment>
    <comment ref="C101" authorId="0">
      <text>
        <r>
          <rPr>
            <sz val="9"/>
            <color indexed="81"/>
            <rFont val="Tahoma"/>
            <family val="2"/>
          </rPr>
          <t>2 days inservice</t>
        </r>
      </text>
    </comment>
    <comment ref="C102" authorId="0">
      <text>
        <r>
          <rPr>
            <sz val="9"/>
            <color indexed="81"/>
            <rFont val="Tahoma"/>
            <family val="2"/>
          </rPr>
          <t>Indirect costs, but could be less, depending on how much we actually expense this year</t>
        </r>
      </text>
    </comment>
  </commentList>
</comments>
</file>

<file path=xl/sharedStrings.xml><?xml version="1.0" encoding="utf-8"?>
<sst xmlns="http://schemas.openxmlformats.org/spreadsheetml/2006/main" count="4575" uniqueCount="1064">
  <si>
    <t>TOTAL EXPENDITURES</t>
  </si>
  <si>
    <t>5000</t>
  </si>
  <si>
    <t>Outside Transp.</t>
  </si>
  <si>
    <t>5817</t>
  </si>
  <si>
    <t>Other Services</t>
  </si>
  <si>
    <t>5814</t>
  </si>
  <si>
    <t>Outside Services</t>
  </si>
  <si>
    <t>5813</t>
  </si>
  <si>
    <t>Consultants</t>
  </si>
  <si>
    <t>5807</t>
  </si>
  <si>
    <t>Field Trip Transp.</t>
  </si>
  <si>
    <t>5725</t>
  </si>
  <si>
    <t>Membership/Dues</t>
  </si>
  <si>
    <t>5310</t>
  </si>
  <si>
    <t>Conf. &amp; Travel</t>
  </si>
  <si>
    <t>5213</t>
  </si>
  <si>
    <t>Services, Other Oprtng Exp.</t>
  </si>
  <si>
    <t>Non-cap. Equipment</t>
  </si>
  <si>
    <t>4400</t>
  </si>
  <si>
    <t>Non-Inst. Materials</t>
  </si>
  <si>
    <t xml:space="preserve">4353 </t>
  </si>
  <si>
    <t>Inst. Materials</t>
  </si>
  <si>
    <t>4310</t>
  </si>
  <si>
    <t>Other Books</t>
  </si>
  <si>
    <t>4210</t>
  </si>
  <si>
    <t>Supplies</t>
  </si>
  <si>
    <t>Total Salaries and Benefits</t>
  </si>
  <si>
    <t>Benefits</t>
  </si>
  <si>
    <t xml:space="preserve">  </t>
  </si>
  <si>
    <t>Sub. Office</t>
  </si>
  <si>
    <t>2481</t>
  </si>
  <si>
    <t>Secretary</t>
  </si>
  <si>
    <t>2404</t>
  </si>
  <si>
    <t>Extra Clss Support</t>
  </si>
  <si>
    <t>2273</t>
  </si>
  <si>
    <t>Classified</t>
  </si>
  <si>
    <t>Inst. Coaches</t>
  </si>
  <si>
    <t>1901</t>
  </si>
  <si>
    <t>Director</t>
  </si>
  <si>
    <t>1305</t>
  </si>
  <si>
    <t>Counselor</t>
  </si>
  <si>
    <t>1204</t>
  </si>
  <si>
    <t>Subs</t>
  </si>
  <si>
    <t>1181</t>
  </si>
  <si>
    <t>Supplemental Tchr.</t>
  </si>
  <si>
    <t>1112</t>
  </si>
  <si>
    <t xml:space="preserve">Certificated </t>
  </si>
  <si>
    <t>Notes</t>
  </si>
  <si>
    <t>Budget</t>
  </si>
  <si>
    <t>Balance</t>
  </si>
  <si>
    <t xml:space="preserve">TOTAL AVAILABLE </t>
  </si>
  <si>
    <t>Prior Carryover</t>
  </si>
  <si>
    <t>Revenue</t>
  </si>
  <si>
    <t xml:space="preserve">Current Year </t>
  </si>
  <si>
    <t>Beginning Balance</t>
  </si>
  <si>
    <t>2016-2017</t>
  </si>
  <si>
    <t>Multi-year Projection</t>
  </si>
  <si>
    <t>District Office</t>
  </si>
  <si>
    <t>Site:</t>
  </si>
  <si>
    <t>RESC #:</t>
  </si>
  <si>
    <t>Title I, Part A</t>
  </si>
  <si>
    <t>Program:</t>
  </si>
  <si>
    <t>Rec'd</t>
  </si>
  <si>
    <t>To be rec'd</t>
  </si>
  <si>
    <t>Indirect Costs</t>
  </si>
  <si>
    <t>1110</t>
  </si>
  <si>
    <t>Intervention Tchr.</t>
  </si>
  <si>
    <t>1208</t>
  </si>
  <si>
    <t>Parent Instruction</t>
  </si>
  <si>
    <t>2101</t>
  </si>
  <si>
    <t>Para Lrning Asstnt</t>
  </si>
  <si>
    <t>Babysitter</t>
  </si>
  <si>
    <t>2901</t>
  </si>
  <si>
    <t>2924</t>
  </si>
  <si>
    <t>Parent Ed. Aide</t>
  </si>
  <si>
    <t>200 - DO</t>
  </si>
  <si>
    <t>STRS</t>
  </si>
  <si>
    <t>PERS</t>
  </si>
  <si>
    <t>SS</t>
  </si>
  <si>
    <t>Medicare</t>
  </si>
  <si>
    <t>H&amp;W</t>
  </si>
  <si>
    <t>SUI</t>
  </si>
  <si>
    <t>W/C</t>
  </si>
  <si>
    <t>310X</t>
  </si>
  <si>
    <t>320X</t>
  </si>
  <si>
    <t>330X</t>
  </si>
  <si>
    <t>331X</t>
  </si>
  <si>
    <t>340X</t>
  </si>
  <si>
    <t>350X</t>
  </si>
  <si>
    <t>360X</t>
  </si>
  <si>
    <t>370X</t>
  </si>
  <si>
    <t>390X</t>
  </si>
  <si>
    <t>OPEB</t>
  </si>
  <si>
    <t>Other Benefits</t>
  </si>
  <si>
    <t>4211</t>
  </si>
  <si>
    <t>4212</t>
  </si>
  <si>
    <t>Reference Books</t>
  </si>
  <si>
    <t>Library Books</t>
  </si>
  <si>
    <t xml:space="preserve">Report ran on </t>
  </si>
  <si>
    <t>010 - CFB</t>
  </si>
  <si>
    <t>020 - SH</t>
  </si>
  <si>
    <t>030 - SO</t>
  </si>
  <si>
    <t>040 - ST</t>
  </si>
  <si>
    <t>050 - SC</t>
  </si>
  <si>
    <t>060 - Sylvan</t>
  </si>
  <si>
    <t>070 - Woodrow</t>
  </si>
  <si>
    <t>080 - EU</t>
  </si>
  <si>
    <t>090 - OR</t>
  </si>
  <si>
    <t>110 - DS</t>
  </si>
  <si>
    <t>120 - MAS</t>
  </si>
  <si>
    <t>130 - CR</t>
  </si>
  <si>
    <t>15% c/o to 17-18</t>
  </si>
  <si>
    <t>Prior Year Current Year</t>
  </si>
  <si>
    <t>Total Current Year Award</t>
  </si>
  <si>
    <t>2910</t>
  </si>
  <si>
    <t>A. Bandy</t>
  </si>
  <si>
    <t>M. Reed</t>
  </si>
  <si>
    <t>Interpreters</t>
  </si>
  <si>
    <t>TOTAL</t>
  </si>
  <si>
    <t>S. Drabert, G. Mroczka, V. Shuping, add L.. Crawford</t>
  </si>
  <si>
    <t>5752</t>
  </si>
  <si>
    <t>Direct Srvc-Food Srvc.</t>
  </si>
  <si>
    <t>5809</t>
  </si>
  <si>
    <t>Fees</t>
  </si>
  <si>
    <t>5908</t>
  </si>
  <si>
    <t>Postage</t>
  </si>
  <si>
    <t>5806</t>
  </si>
  <si>
    <t>Outside Interpreter</t>
  </si>
  <si>
    <t>5607</t>
  </si>
  <si>
    <t>Repairs-Other</t>
  </si>
  <si>
    <t>Solution Tree PLC</t>
  </si>
  <si>
    <t>Inservice, Aug. 7-8</t>
  </si>
  <si>
    <t>2016-17 c/o to be expensed in 2017-18</t>
  </si>
  <si>
    <t>Move L. Crawford from  RS 0654</t>
  </si>
  <si>
    <t>Alt. Spprt.</t>
  </si>
  <si>
    <t>Must be expensed
 by Sept. 30, 2017</t>
  </si>
  <si>
    <t>ENDING FUND BALANCE</t>
  </si>
  <si>
    <t>TOTAL REVENUE</t>
  </si>
  <si>
    <t>NET INCRS/DCRS TO FB</t>
  </si>
  <si>
    <t>10% cut, 15% to 18-19</t>
  </si>
  <si>
    <t>Multi-Year Projection Assumptions</t>
  </si>
  <si>
    <t xml:space="preserve"> </t>
  </si>
  <si>
    <t>Local Control Funding Formula</t>
  </si>
  <si>
    <t>COLA</t>
  </si>
  <si>
    <t>Gap Funding %</t>
  </si>
  <si>
    <t>UPP</t>
  </si>
  <si>
    <t>(Unduplicated Pupil Count)</t>
  </si>
  <si>
    <t>Enrollment and ADA (Average Daily Attendance)</t>
  </si>
  <si>
    <t>2013-2014</t>
  </si>
  <si>
    <t>Enrollment</t>
  </si>
  <si>
    <t>Increase / (Decrease)</t>
  </si>
  <si>
    <t>ADA</t>
  </si>
  <si>
    <t>3-Year Average Retention</t>
  </si>
  <si>
    <t>Federal, State, and Local Revenues</t>
  </si>
  <si>
    <t xml:space="preserve">Federal, State, and Local revenues were adjusted for one-time revenues and Federal carryover. </t>
  </si>
  <si>
    <t>Federal</t>
  </si>
  <si>
    <t>State</t>
  </si>
  <si>
    <t>Local</t>
  </si>
  <si>
    <t>Salaries and Benefits</t>
  </si>
  <si>
    <t>The following are employer contribution rates for the projected years:</t>
  </si>
  <si>
    <t>Supplies, Services, Capital Outlay, and Other Outgo</t>
  </si>
  <si>
    <t>One-time expenditures and CPI (consumer price index) were applied in resources, programs, and object categories as applicable.</t>
  </si>
  <si>
    <t>The following interfund transfers are assumed to be ongoing:</t>
  </si>
  <si>
    <t>To Fund 20 - Special Reserve for Postemployment Benefits</t>
  </si>
  <si>
    <t>To Fund 40 - Special Reserve for Equipment Replacement</t>
  </si>
  <si>
    <t>Certificated and classified salaries assumed a 2% step and column increase.</t>
  </si>
  <si>
    <t>No change</t>
  </si>
  <si>
    <t xml:space="preserve">CPI </t>
  </si>
  <si>
    <t>PY cut by 10%</t>
  </si>
  <si>
    <t>15% carryover to 18-19</t>
  </si>
  <si>
    <t>No est. c/o to 19-20</t>
  </si>
  <si>
    <t>PY cut by 5%</t>
  </si>
  <si>
    <t>5% cut</t>
  </si>
  <si>
    <t>SALY</t>
  </si>
  <si>
    <t>Flat</t>
  </si>
  <si>
    <t>15-16 c/o</t>
  </si>
  <si>
    <t>EXPENDITURES</t>
  </si>
  <si>
    <t>Current Year</t>
  </si>
  <si>
    <t>Title II, Part A</t>
  </si>
  <si>
    <t>1312</t>
  </si>
  <si>
    <t>Total SITES</t>
  </si>
  <si>
    <t>Total DO, w/ I/C</t>
  </si>
  <si>
    <t>Title III, LEP</t>
  </si>
  <si>
    <t>Total Allocation</t>
  </si>
  <si>
    <t>Obj 4300-Chromebooks</t>
  </si>
  <si>
    <t>Obj 4400-Carts</t>
  </si>
  <si>
    <t>Obj 4300-Camp materials</t>
  </si>
  <si>
    <t>T. Exp. w/NO Alt.Support</t>
  </si>
  <si>
    <t>Alt. Support Allocation</t>
  </si>
  <si>
    <t>Obj 5727-Transportation</t>
  </si>
  <si>
    <t>Obj 4300-Other supplies</t>
  </si>
  <si>
    <t>Alternative Support Budget - ORGN 2224</t>
  </si>
  <si>
    <t>Obj 1110-Before/After Schl</t>
  </si>
  <si>
    <t>Certificated Salary</t>
  </si>
  <si>
    <t>Amber Wethern</t>
  </si>
  <si>
    <t>Tedde' Vaupel</t>
  </si>
  <si>
    <t>Nancee Davis</t>
  </si>
  <si>
    <t>Scott Ferreira</t>
  </si>
  <si>
    <t xml:space="preserve">Bfor/AftrSchl, Camps </t>
  </si>
  <si>
    <t xml:space="preserve">Para </t>
  </si>
  <si>
    <t>Classified Salary</t>
  </si>
  <si>
    <t>060 - SY</t>
  </si>
  <si>
    <t>070 - WO</t>
  </si>
  <si>
    <t>Mentor Stipends, 5 @ $2000 each</t>
  </si>
  <si>
    <t>1923</t>
  </si>
  <si>
    <t>Mentors</t>
  </si>
  <si>
    <t>S. Drabert, G. Mroczka, V. Shuping, L. Crawford
Counselors: 4 Title I + 7 Base Gen. Fund = 11 Total</t>
  </si>
  <si>
    <t>7 @ 89.5% Rs 3010, 10.5% R4203 - M.Baker, E.Balaam, 
          Y.Hall, H.Gaylor, J. Sanderson, T. Shuford, H.Smith
0.5 - S.Eddington @ 45% Rs 4203, 5% Rs 3010
         S .Eddington 50% R6264, OBJ1312-Inst Admin Specialist</t>
  </si>
  <si>
    <t>1900</t>
  </si>
  <si>
    <t>10% cut</t>
  </si>
  <si>
    <t xml:space="preserve">Classified </t>
  </si>
  <si>
    <t>15-16 adjusment</t>
  </si>
  <si>
    <t>16-17 Prelim</t>
  </si>
  <si>
    <t>Big Valley Private Schl</t>
  </si>
  <si>
    <t>PY Adjustment</t>
  </si>
  <si>
    <t>Per ConApp</t>
  </si>
  <si>
    <t>c/o from PY</t>
  </si>
  <si>
    <t>est c/o to next year</t>
  </si>
  <si>
    <t>est c/o from PY</t>
  </si>
  <si>
    <t>est c/o to new year</t>
  </si>
  <si>
    <t>Removed</t>
  </si>
  <si>
    <t>Title III, Immigrant</t>
  </si>
  <si>
    <t xml:space="preserve"> 16-17 c/o</t>
  </si>
  <si>
    <t>Exp. 1XXX-5999</t>
  </si>
  <si>
    <t>I/C</t>
  </si>
  <si>
    <t>Medi-Cal Billing Option</t>
  </si>
  <si>
    <t>Nurse</t>
  </si>
  <si>
    <t>Sub Support Staff</t>
  </si>
  <si>
    <t>ASES - After School</t>
  </si>
  <si>
    <t>Intervention Tchr</t>
  </si>
  <si>
    <t>After Schl Aide</t>
  </si>
  <si>
    <t>Federal Special Ed</t>
  </si>
  <si>
    <t>Vocational Nurse</t>
  </si>
  <si>
    <t>Other Out Go</t>
  </si>
  <si>
    <t>Adjusted</t>
  </si>
  <si>
    <t>Local Asst Trnsfr</t>
  </si>
  <si>
    <t>State Special Ed</t>
  </si>
  <si>
    <t>SpEd, Private Schl</t>
  </si>
  <si>
    <t>Speech Therapist</t>
  </si>
  <si>
    <t>8097-Property Tax</t>
  </si>
  <si>
    <t>Fees For Service</t>
  </si>
  <si>
    <t>AB 602-ST SpEd Rev</t>
  </si>
  <si>
    <t>Contribution</t>
  </si>
  <si>
    <t>Special Ed Instrcton</t>
  </si>
  <si>
    <t>13XX</t>
  </si>
  <si>
    <t>Mentor</t>
  </si>
  <si>
    <t>21XX</t>
  </si>
  <si>
    <t>22XX</t>
  </si>
  <si>
    <t>24XX</t>
  </si>
  <si>
    <t>Clerical/Office</t>
  </si>
  <si>
    <t>Paras, Subs</t>
  </si>
  <si>
    <t>29XX</t>
  </si>
  <si>
    <t>Other Classified</t>
  </si>
  <si>
    <t>4XXX</t>
  </si>
  <si>
    <t>Special Ed Supplies</t>
  </si>
  <si>
    <t>FFS Sub Agreements</t>
  </si>
  <si>
    <t>SpEd Outside Agnc.</t>
  </si>
  <si>
    <t>Mileage</t>
  </si>
  <si>
    <t>Travel &amp; Conference</t>
  </si>
  <si>
    <t>Rental, Other</t>
  </si>
  <si>
    <t>Repairs, Other</t>
  </si>
  <si>
    <t>Direct Srvc, Food Srvc</t>
  </si>
  <si>
    <t>Legal Expese</t>
  </si>
  <si>
    <t>Interpreter Srvc.</t>
  </si>
  <si>
    <t>Physicals, TB test</t>
  </si>
  <si>
    <t>Outside Transportation</t>
  </si>
  <si>
    <t>Excess Cost-Tuition</t>
  </si>
  <si>
    <t>Transportation</t>
  </si>
  <si>
    <t>Trnsfr, Apportionment</t>
  </si>
  <si>
    <t>Exp. 1XXX-7999</t>
  </si>
  <si>
    <t>Same as last year</t>
  </si>
  <si>
    <t>Transfer to RS 6500</t>
  </si>
  <si>
    <t>Salaries from RS 3310</t>
  </si>
  <si>
    <t>SELPA, Mental Hlth</t>
  </si>
  <si>
    <t>BCBA</t>
  </si>
  <si>
    <t>Prop. 39 CA Clean Energy Jobs Act</t>
  </si>
  <si>
    <t>Completed</t>
  </si>
  <si>
    <t>CEC Loan</t>
  </si>
  <si>
    <t>Other Sources</t>
  </si>
  <si>
    <t>Educator Effectiveness</t>
  </si>
  <si>
    <t>Teacher subs</t>
  </si>
  <si>
    <t>Lottery, I/M</t>
  </si>
  <si>
    <t>Instructional Materials</t>
  </si>
  <si>
    <t>Textbooks &amp; Consumables</t>
  </si>
  <si>
    <t>I/M Schedule</t>
  </si>
  <si>
    <t>2.66% = COLA</t>
  </si>
  <si>
    <t>Rs 0617 - IMRP</t>
  </si>
  <si>
    <t>Beginning Bal.</t>
  </si>
  <si>
    <t>Ongoing Contrb.</t>
  </si>
  <si>
    <t>Other Contrb.</t>
  </si>
  <si>
    <t>Expenditures</t>
  </si>
  <si>
    <t>Ending Fund Bal.</t>
  </si>
  <si>
    <t>Rs 6300 - Lottery, I/M</t>
  </si>
  <si>
    <t>Checks</t>
  </si>
  <si>
    <t>2016-17</t>
  </si>
  <si>
    <t>2017-18</t>
  </si>
  <si>
    <t>2018-19</t>
  </si>
  <si>
    <t>2019-20</t>
  </si>
  <si>
    <t>2020-21</t>
  </si>
  <si>
    <t>2021-22</t>
  </si>
  <si>
    <t>2022-23</t>
  </si>
  <si>
    <t>Ongoing/Annual Expenditures</t>
  </si>
  <si>
    <t>Instructional Materials Adoptions</t>
  </si>
  <si>
    <t>Math</t>
  </si>
  <si>
    <t>English Language Arts/ELD</t>
  </si>
  <si>
    <t>History-Social Sciences</t>
  </si>
  <si>
    <t>Science</t>
  </si>
  <si>
    <t>Health</t>
  </si>
  <si>
    <t>World Language</t>
  </si>
  <si>
    <t>Visual &amp; Performing Arts</t>
  </si>
  <si>
    <t>Physical Ed (Content Standards Only Req)</t>
  </si>
  <si>
    <t>Ongoing/Major Maintenance</t>
  </si>
  <si>
    <t>Contribution -3%</t>
  </si>
  <si>
    <t>Add'l Contribution</t>
  </si>
  <si>
    <t>Maintenance</t>
  </si>
  <si>
    <t>Custodians</t>
  </si>
  <si>
    <t>Extra-time Suppor</t>
  </si>
  <si>
    <t>Superviors/Admin.</t>
  </si>
  <si>
    <t>23XX</t>
  </si>
  <si>
    <t>Materials &amp; Supplies</t>
  </si>
  <si>
    <t>Custodial Suppies</t>
  </si>
  <si>
    <t>Fuel</t>
  </si>
  <si>
    <t>Repair Parts</t>
  </si>
  <si>
    <t>Vehicle Parts</t>
  </si>
  <si>
    <t>Office Supplies</t>
  </si>
  <si>
    <t>Computer Supplies</t>
  </si>
  <si>
    <t>Non-Cap Equipment</t>
  </si>
  <si>
    <t>Disposal Services</t>
  </si>
  <si>
    <t>Electricity</t>
  </si>
  <si>
    <t>Repairs and Rentals</t>
  </si>
  <si>
    <t>Repairs-Equipment</t>
  </si>
  <si>
    <t>Rental-Equipment</t>
  </si>
  <si>
    <t>Repairs-Vehicle</t>
  </si>
  <si>
    <t>Maintenance Agreements</t>
  </si>
  <si>
    <t>Services</t>
  </si>
  <si>
    <t>Architect Fees</t>
  </si>
  <si>
    <t>Cell Phones</t>
  </si>
  <si>
    <t>Postage/Delivery</t>
  </si>
  <si>
    <t>Capital Outlay</t>
  </si>
  <si>
    <t>New Equip. over $5k</t>
  </si>
  <si>
    <t>Equipment Replacement</t>
  </si>
  <si>
    <t>3% of total exp. &amp; TFs out</t>
  </si>
  <si>
    <t>TUPE</t>
  </si>
  <si>
    <t>Obj. 8677-Interagency</t>
  </si>
  <si>
    <t>Facilities Improvement</t>
  </si>
  <si>
    <t>Hazardous Waste Removal</t>
  </si>
  <si>
    <t>DSA Plan Check Fees</t>
  </si>
  <si>
    <t>Permanent Construction</t>
  </si>
  <si>
    <t>Other Costs-Construction</t>
  </si>
  <si>
    <t>Labor Compliance Prgm.</t>
  </si>
  <si>
    <t>Construction Testing</t>
  </si>
  <si>
    <t>Inspection</t>
  </si>
  <si>
    <t>6XXX</t>
  </si>
  <si>
    <t xml:space="preserve">UNRESTRICTED </t>
  </si>
  <si>
    <t>REVENUES</t>
  </si>
  <si>
    <t>Local Control Funding Formula - LCFF</t>
  </si>
  <si>
    <t>Federal Revenues</t>
  </si>
  <si>
    <t>Other State Revenues</t>
  </si>
  <si>
    <t>One-Time  Mandate Reimbursement</t>
  </si>
  <si>
    <t>Other Local Revenues</t>
  </si>
  <si>
    <t>Total Revenues</t>
  </si>
  <si>
    <t>EXPENSES</t>
  </si>
  <si>
    <t>Certificated Salaries</t>
  </si>
  <si>
    <t xml:space="preserve">Classified Salaries </t>
  </si>
  <si>
    <t>Employee Benefits</t>
  </si>
  <si>
    <t>Other Supplies &amp; Materials</t>
  </si>
  <si>
    <t xml:space="preserve">Services &amp; Other Operating Expenditures   </t>
  </si>
  <si>
    <t xml:space="preserve">Other Outgo </t>
  </si>
  <si>
    <t xml:space="preserve">Direct Support/Indirect Costs    </t>
  </si>
  <si>
    <t>Total Expenses</t>
  </si>
  <si>
    <t>Interfund Transfers Out</t>
  </si>
  <si>
    <t>Interfund Transfers In</t>
  </si>
  <si>
    <t>Other Uses</t>
  </si>
  <si>
    <t>Contributions</t>
  </si>
  <si>
    <t>Total Other Financing Sources &amp; Uses</t>
  </si>
  <si>
    <t>NET INCREASE/(DECREASE) IN FUND BALANCE</t>
  </si>
  <si>
    <t>GENERAL FUND - COMPONENTS OF ENDING FUND BALANCE</t>
  </si>
  <si>
    <t>Nonspendable: Revolving Cash</t>
  </si>
  <si>
    <t>Restricted</t>
  </si>
  <si>
    <t>Committed</t>
  </si>
  <si>
    <t>Assigned</t>
  </si>
  <si>
    <t>Insurance Deductibles</t>
  </si>
  <si>
    <t>Professional Learning</t>
  </si>
  <si>
    <t>Unassigned/Unappropriated</t>
  </si>
  <si>
    <t>Reserve for Economic Uncertainties (REU)</t>
  </si>
  <si>
    <t>Unassigned/Unappropriated Amount</t>
  </si>
  <si>
    <t>TOTAL COMPONENTS OF ENDING FUND BALANCE</t>
  </si>
  <si>
    <t>RESTRICTED</t>
  </si>
  <si>
    <t>Federal Carryover</t>
  </si>
  <si>
    <t>Prop. 39, CA Clean Energy Jobs Act</t>
  </si>
  <si>
    <r>
      <t xml:space="preserve">Services &amp; Other Operating Expenditures   </t>
    </r>
    <r>
      <rPr>
        <sz val="14"/>
        <color indexed="10"/>
        <rFont val="Cambria"/>
        <family val="1"/>
        <scheme val="major"/>
      </rPr>
      <t xml:space="preserve"> </t>
    </r>
  </si>
  <si>
    <r>
      <t xml:space="preserve">Other Outgo  </t>
    </r>
    <r>
      <rPr>
        <sz val="14"/>
        <color indexed="10"/>
        <rFont val="Cambria"/>
        <family val="1"/>
        <scheme val="major"/>
      </rPr>
      <t xml:space="preserve"> </t>
    </r>
  </si>
  <si>
    <t xml:space="preserve">Direct Support/Indirect Costs </t>
  </si>
  <si>
    <t>BEGINNING FUND BALANCE</t>
  </si>
  <si>
    <t>COMPONENTS OF ENDING FUND BALANCE</t>
  </si>
  <si>
    <t>Total Components of Ending Fund Balance</t>
  </si>
  <si>
    <t>One-Time State Revenues</t>
  </si>
  <si>
    <t>One-Time Local Revenues</t>
  </si>
  <si>
    <t xml:space="preserve">Other Outgo  </t>
  </si>
  <si>
    <t xml:space="preserve">Direct Support/Indirect Costs   </t>
  </si>
  <si>
    <r>
      <t xml:space="preserve">Interfund Transfers Out </t>
    </r>
    <r>
      <rPr>
        <sz val="14"/>
        <color indexed="12"/>
        <rFont val="Cambria"/>
        <family val="1"/>
        <scheme val="major"/>
      </rPr>
      <t xml:space="preserve"> </t>
    </r>
  </si>
  <si>
    <t>Special Education (RS 6500)</t>
  </si>
  <si>
    <t>Ongoing &amp; Major Maintenance (RS 8150)</t>
  </si>
  <si>
    <t>Facilities Improvement (RS 9225)</t>
  </si>
  <si>
    <t>Social Security</t>
  </si>
  <si>
    <t>2015-2016</t>
  </si>
  <si>
    <t>Contributions To Restricted Programs:</t>
  </si>
  <si>
    <t>LCFF Supp/Conc</t>
  </si>
  <si>
    <t>LCFF</t>
  </si>
  <si>
    <t>Art Teachers</t>
  </si>
  <si>
    <t>Music  Teachers</t>
  </si>
  <si>
    <t>Advisor Stipends</t>
  </si>
  <si>
    <t>Substitute Teachers</t>
  </si>
  <si>
    <t>Asst. Principal</t>
  </si>
  <si>
    <t>Directors</t>
  </si>
  <si>
    <t>2023-2024</t>
  </si>
  <si>
    <t>Paraprofessionals</t>
  </si>
  <si>
    <t xml:space="preserve">From Title III, LEP </t>
  </si>
  <si>
    <t>43XX</t>
  </si>
  <si>
    <t>Travel &amp; Conference, Mileage</t>
  </si>
  <si>
    <t>6th Grade Outdoor Ed</t>
  </si>
  <si>
    <t>52XX</t>
  </si>
  <si>
    <t>560X</t>
  </si>
  <si>
    <t>Rental/ /Repairs-Equipment</t>
  </si>
  <si>
    <t>Field Trip Transportation</t>
  </si>
  <si>
    <t>Direct Service-Food Service</t>
  </si>
  <si>
    <t>Physicals, TB Test</t>
  </si>
  <si>
    <t>Local Revenues</t>
  </si>
  <si>
    <t>Non-Instructional Materials</t>
  </si>
  <si>
    <t>Oil</t>
  </si>
  <si>
    <t>Tires</t>
  </si>
  <si>
    <t>Fuel-Transportation</t>
  </si>
  <si>
    <t>Non-Capital Equipmetn</t>
  </si>
  <si>
    <t>Insurance</t>
  </si>
  <si>
    <t>Maintenance Agreement</t>
  </si>
  <si>
    <t>Transportation-Childcare</t>
  </si>
  <si>
    <t>Drug &amp; Alcohol Test</t>
  </si>
  <si>
    <t>Lottery, Unrestricted</t>
  </si>
  <si>
    <t>State Lottery</t>
  </si>
  <si>
    <t>Rental-Other</t>
  </si>
  <si>
    <t>Repair-Equipment</t>
  </si>
  <si>
    <t>Warehouse Services</t>
  </si>
  <si>
    <t>Postage/Delivery Service</t>
  </si>
  <si>
    <t>Substitute Teacher</t>
  </si>
  <si>
    <t>80XX</t>
  </si>
  <si>
    <t>MAA (Federal)</t>
  </si>
  <si>
    <t>Mandate Block Grant</t>
  </si>
  <si>
    <t>One-Time Mandate Funding</t>
  </si>
  <si>
    <t>Other State Revenue</t>
  </si>
  <si>
    <t>Leases and Rents</t>
  </si>
  <si>
    <t>Interest Revenue</t>
  </si>
  <si>
    <t>Interagency Revenue</t>
  </si>
  <si>
    <t>8980</t>
  </si>
  <si>
    <t>8986</t>
  </si>
  <si>
    <t>8987</t>
  </si>
  <si>
    <t>Contribution to Special Education - RS 6500</t>
  </si>
  <si>
    <t>Contribution to Ongoing &amp; Major Maintenance - RS 8150</t>
  </si>
  <si>
    <t>Contribution to Facilities Improvement - RS9225</t>
  </si>
  <si>
    <t>8699</t>
  </si>
  <si>
    <t>E-Rate Refunds and Reimbursements</t>
  </si>
  <si>
    <t>Grants: Sylvan Foundation, 6th Grade Camp</t>
  </si>
  <si>
    <t>MID Energy Audit and Projects Refund</t>
  </si>
  <si>
    <t>Workers' Comp. Refund</t>
  </si>
  <si>
    <t>Other Various Receipts, Donations, Rebates, Refunds</t>
  </si>
  <si>
    <t xml:space="preserve"> = $214.55 X 7,865.44 ADA</t>
  </si>
  <si>
    <t xml:space="preserve"> = $28.42 X 7,865.44 ADA</t>
  </si>
  <si>
    <t>Contribution-GF</t>
  </si>
  <si>
    <t>Per SELPA</t>
  </si>
  <si>
    <t>2016-17 Award</t>
  </si>
  <si>
    <t>Estimated 2017-18 Award</t>
  </si>
  <si>
    <t>CEC loan</t>
  </si>
  <si>
    <t>From general fund</t>
  </si>
  <si>
    <t>Ongoing from general fund</t>
  </si>
  <si>
    <t>LCFF - Supplemental</t>
  </si>
  <si>
    <t>1118</t>
  </si>
  <si>
    <t>1201</t>
  </si>
  <si>
    <t>1203</t>
  </si>
  <si>
    <t>1206</t>
  </si>
  <si>
    <t>Librarian</t>
  </si>
  <si>
    <t>By Function</t>
  </si>
  <si>
    <t>37XX</t>
  </si>
  <si>
    <t>Retirees</t>
  </si>
  <si>
    <t>5450</t>
  </si>
  <si>
    <t>5501</t>
  </si>
  <si>
    <t>5504</t>
  </si>
  <si>
    <t>5508</t>
  </si>
  <si>
    <t>5509</t>
  </si>
  <si>
    <t>Utilities: Water, Sewer</t>
  </si>
  <si>
    <t xml:space="preserve">Utilities: Disposal Service </t>
  </si>
  <si>
    <t>Utilities: Electricity</t>
  </si>
  <si>
    <t>Utilities: Gas</t>
  </si>
  <si>
    <t>Utilities: Cell Phones</t>
  </si>
  <si>
    <t>Utilities: Telephones</t>
  </si>
  <si>
    <t>Utilities: Internet Service</t>
  </si>
  <si>
    <t>5902</t>
  </si>
  <si>
    <t>5904</t>
  </si>
  <si>
    <t>5907</t>
  </si>
  <si>
    <t>5601</t>
  </si>
  <si>
    <t>5604</t>
  </si>
  <si>
    <t>5719</t>
  </si>
  <si>
    <t>5753</t>
  </si>
  <si>
    <t>5756</t>
  </si>
  <si>
    <t>5802</t>
  </si>
  <si>
    <t>5804</t>
  </si>
  <si>
    <t>5805</t>
  </si>
  <si>
    <t>5810</t>
  </si>
  <si>
    <t>5818</t>
  </si>
  <si>
    <t>5836</t>
  </si>
  <si>
    <t>5839</t>
  </si>
  <si>
    <t>5860</t>
  </si>
  <si>
    <t>5861</t>
  </si>
  <si>
    <t>5862</t>
  </si>
  <si>
    <t>5863</t>
  </si>
  <si>
    <t>5866</t>
  </si>
  <si>
    <t xml:space="preserve">Warehouse Services </t>
  </si>
  <si>
    <t>Interfund Service</t>
  </si>
  <si>
    <t>Interfund Service-Business</t>
  </si>
  <si>
    <t>Advertisement</t>
  </si>
  <si>
    <t>Legal Expense</t>
  </si>
  <si>
    <t>Audit Expense</t>
  </si>
  <si>
    <t>Interpreter Services</t>
  </si>
  <si>
    <t>Taxes</t>
  </si>
  <si>
    <t>SARB</t>
  </si>
  <si>
    <t xml:space="preserve">Claims Paid </t>
  </si>
  <si>
    <t>SCOE: Audio/visual Services</t>
  </si>
  <si>
    <t>SCOE: Audiology Services</t>
  </si>
  <si>
    <t>SCOE: Internet Services</t>
  </si>
  <si>
    <t>SCOE: Information Services</t>
  </si>
  <si>
    <t>SCOE: Mail and Delivery Services</t>
  </si>
  <si>
    <t>Other Outgo</t>
  </si>
  <si>
    <t>7130</t>
  </si>
  <si>
    <t>Federal Revenues (MAA)</t>
  </si>
  <si>
    <t>7142</t>
  </si>
  <si>
    <t>7310</t>
  </si>
  <si>
    <t>7350</t>
  </si>
  <si>
    <t>7612</t>
  </si>
  <si>
    <t>Special State Schools</t>
  </si>
  <si>
    <t>LCFF COE Transfer</t>
  </si>
  <si>
    <t>Categorical I/C</t>
  </si>
  <si>
    <t>Food Service I/C</t>
  </si>
  <si>
    <t>Transfers To FD 20-OPEB</t>
  </si>
  <si>
    <t>Transfers To FD 40-Equipment Replacement</t>
  </si>
  <si>
    <t xml:space="preserve">Transfers To FD 40-Buses </t>
  </si>
  <si>
    <t>Certificated</t>
  </si>
  <si>
    <t>STRS Rates %</t>
  </si>
  <si>
    <t>STRS Cost $</t>
  </si>
  <si>
    <t>%</t>
  </si>
  <si>
    <t>$</t>
  </si>
  <si>
    <t>PERS Cost $</t>
  </si>
  <si>
    <t>Check</t>
  </si>
  <si>
    <t>Per MYP tab</t>
  </si>
  <si>
    <t>Total Revenues and Other Sources</t>
  </si>
  <si>
    <t>8600 - 7999</t>
  </si>
  <si>
    <t>8300 - 8599</t>
  </si>
  <si>
    <t>State Revenues</t>
  </si>
  <si>
    <t>8100 - 8299</t>
  </si>
  <si>
    <t>8010-8099</t>
  </si>
  <si>
    <t>Combined - Unrestricted and Restricted</t>
  </si>
  <si>
    <t>Object Codes</t>
  </si>
  <si>
    <t xml:space="preserve">Unrestricted </t>
  </si>
  <si>
    <t>8011</t>
  </si>
  <si>
    <t>0000</t>
  </si>
  <si>
    <t>Return of unused site fnds</t>
  </si>
  <si>
    <t>Prior year UPP correction</t>
  </si>
  <si>
    <t>LCFF - Adjustments to LCFF</t>
  </si>
  <si>
    <t>9221</t>
  </si>
  <si>
    <t>MS Voucher</t>
  </si>
  <si>
    <t>Donations</t>
  </si>
  <si>
    <t>Grant 6th Grade Camp</t>
  </si>
  <si>
    <t>Mini-grants</t>
  </si>
  <si>
    <t>Sylvan Foundation Grant</t>
  </si>
  <si>
    <t>Workers Comp Refund (one-time)</t>
  </si>
  <si>
    <t xml:space="preserve">Miscellaneous revenue </t>
  </si>
  <si>
    <t>Union Days (reimb subs)</t>
  </si>
  <si>
    <t xml:space="preserve">SIFA Reimbursement </t>
  </si>
  <si>
    <r>
      <t xml:space="preserve">Reimb from Student Body </t>
    </r>
    <r>
      <rPr>
        <sz val="9"/>
        <rFont val="Arial Narrow"/>
        <family val="2"/>
      </rPr>
      <t>(coaches, bookkeeper)</t>
    </r>
  </si>
  <si>
    <t>0655</t>
  </si>
  <si>
    <t>Transportation Field Trips (0655)</t>
  </si>
  <si>
    <t>8689</t>
  </si>
  <si>
    <t>Book Fees</t>
  </si>
  <si>
    <t>Headstart contract</t>
  </si>
  <si>
    <t>8677</t>
  </si>
  <si>
    <t>Charter School Administrative Fees</t>
  </si>
  <si>
    <t>8650</t>
  </si>
  <si>
    <t>Facility rent</t>
  </si>
  <si>
    <t>8631</t>
  </si>
  <si>
    <t>Sale of equipment and supplies</t>
  </si>
  <si>
    <t>8660</t>
  </si>
  <si>
    <t>Interest</t>
  </si>
  <si>
    <t>Local Revenue-0000</t>
  </si>
  <si>
    <t>SELPA formulas</t>
  </si>
  <si>
    <t>8792</t>
  </si>
  <si>
    <t>6500</t>
  </si>
  <si>
    <t>Special Education, COE Apportionment TF</t>
  </si>
  <si>
    <t>Numbers provided by SELPA</t>
  </si>
  <si>
    <t>Special Education, Fee for Service (Local)</t>
  </si>
  <si>
    <t>8590</t>
  </si>
  <si>
    <t>6512</t>
  </si>
  <si>
    <t xml:space="preserve">Special Education, State </t>
  </si>
  <si>
    <t>Provided by SELPA</t>
  </si>
  <si>
    <t>8097</t>
  </si>
  <si>
    <t>Special Education County Taxes</t>
  </si>
  <si>
    <t>JPA with SCOE</t>
  </si>
  <si>
    <t>9096</t>
  </si>
  <si>
    <t>TUPE (consortium)</t>
  </si>
  <si>
    <t>8979</t>
  </si>
  <si>
    <t>7810</t>
  </si>
  <si>
    <t xml:space="preserve">CDE website  </t>
  </si>
  <si>
    <t>6230</t>
  </si>
  <si>
    <t>Clean Energy Jobs</t>
  </si>
  <si>
    <t>2015-16 State Budget (one-time)($1450/Cert FTE)</t>
  </si>
  <si>
    <t>6264</t>
  </si>
  <si>
    <t>Grant entitlement</t>
  </si>
  <si>
    <t>6010</t>
  </si>
  <si>
    <t>After School Education and Safety</t>
  </si>
  <si>
    <t>8560</t>
  </si>
  <si>
    <t>6300</t>
  </si>
  <si>
    <t>Lottery - Instr. Materials, Restricted - prior year</t>
  </si>
  <si>
    <t>SSC estimates</t>
  </si>
  <si>
    <t>Lottery - Instr. Materials, Restricted - current year</t>
  </si>
  <si>
    <t>1100</t>
  </si>
  <si>
    <t>Lottery, Unrestricted - prior year</t>
  </si>
  <si>
    <t>Lottery, Unrestricted - current year</t>
  </si>
  <si>
    <t>0049</t>
  </si>
  <si>
    <t>CELDT</t>
  </si>
  <si>
    <t>STAR</t>
  </si>
  <si>
    <t>Student Identifier</t>
  </si>
  <si>
    <t xml:space="preserve"> 2015-16, 2016-17 ($214/ADA) </t>
  </si>
  <si>
    <t>8550</t>
  </si>
  <si>
    <t>Mandated Cost One-time</t>
  </si>
  <si>
    <t>http://www.cde.ca.gov/fg/aa/ca/</t>
  </si>
  <si>
    <t>Mandated Cost Block Grant</t>
  </si>
  <si>
    <t>State Programs</t>
  </si>
  <si>
    <t>Expenditures(invoiced to SCOE)</t>
  </si>
  <si>
    <t>Medi-cal Reimburement</t>
  </si>
  <si>
    <t>Final carryover</t>
  </si>
  <si>
    <t>Title III, LEP - prior year carryover</t>
  </si>
  <si>
    <t>Title III, LEP - current year</t>
  </si>
  <si>
    <t xml:space="preserve">Title III, Immigrant Ed - prior year carryover </t>
  </si>
  <si>
    <t xml:space="preserve">http://www.cde.ca.gov/fg/aa/ca/ </t>
  </si>
  <si>
    <t>Title III, Immigrant Ed - current year</t>
  </si>
  <si>
    <t>Title II, Principal Training</t>
  </si>
  <si>
    <t>Final 2015-16 adjustment</t>
  </si>
  <si>
    <t>Title II - prior year carryover</t>
  </si>
  <si>
    <t>Title II - current year</t>
  </si>
  <si>
    <t>IDEA, Special Education</t>
  </si>
  <si>
    <t>3310/1</t>
  </si>
  <si>
    <t xml:space="preserve">Title I PI </t>
  </si>
  <si>
    <t>Title I - prior year carryover</t>
  </si>
  <si>
    <t>Title I - current year</t>
  </si>
  <si>
    <t xml:space="preserve"> PrYr claim report</t>
  </si>
  <si>
    <t>0032</t>
  </si>
  <si>
    <t>MAA(Medi-cal Admin)</t>
  </si>
  <si>
    <t xml:space="preserve">Federal Programs </t>
  </si>
  <si>
    <t>Formula</t>
  </si>
  <si>
    <t>2015-16</t>
  </si>
  <si>
    <t>OBJ</t>
  </si>
  <si>
    <t>RS #</t>
  </si>
  <si>
    <t>Other Revenues</t>
  </si>
  <si>
    <t>8181</t>
  </si>
  <si>
    <t>8287</t>
  </si>
  <si>
    <t>Program ended</t>
  </si>
  <si>
    <t>Unrestricted GF &amp; Education Protection Act</t>
  </si>
  <si>
    <t>Boys and Girls Club</t>
  </si>
  <si>
    <t>Printing Services for Adopted Textbook Consumables</t>
  </si>
  <si>
    <t>89XX</t>
  </si>
  <si>
    <t>Contribution to IMFRP, Instructional Materials - RS 0617</t>
  </si>
  <si>
    <t>One-Time Wrks. Comp. &amp; Energy Audit/Proj. Reimb.</t>
  </si>
  <si>
    <r>
      <t xml:space="preserve">State Adopted Textbooks &amp; Instructional Materials
</t>
    </r>
    <r>
      <rPr>
        <sz val="12"/>
        <color rgb="FFC00000"/>
        <rFont val="Cambria"/>
        <family val="1"/>
        <scheme val="major"/>
      </rPr>
      <t>(Partially funded w/ Restricted funds)</t>
    </r>
  </si>
  <si>
    <t>Rate Yr. Over Yr. Increase</t>
  </si>
  <si>
    <t>Cost Yr. Over Yr. Increase</t>
  </si>
  <si>
    <t>Cafeteria Fund</t>
  </si>
  <si>
    <t>2017-2018</t>
  </si>
  <si>
    <t>2018-2019</t>
  </si>
  <si>
    <t>Actual</t>
  </si>
  <si>
    <t>Estimate</t>
  </si>
  <si>
    <t>BEGINNING BALANCE</t>
  </si>
  <si>
    <t>Total Revenue</t>
  </si>
  <si>
    <t>Total Expenditures</t>
  </si>
  <si>
    <t>Net Balance increase/(decrease)</t>
  </si>
  <si>
    <t>ENDING BALANCE</t>
  </si>
  <si>
    <t>Deferred Maintenance Fund</t>
  </si>
  <si>
    <t>Special Reserve - Other Post Employment Benefits</t>
  </si>
  <si>
    <t>Building Fund - Bond Money</t>
  </si>
  <si>
    <t>Local Revenue</t>
  </si>
  <si>
    <t>Capital Facilities Fund - Developer Fees</t>
  </si>
  <si>
    <t>Special Reserve - Capital Outlay</t>
  </si>
  <si>
    <t>Special Reserve - Capital Projects</t>
  </si>
  <si>
    <t>Childcare Fund</t>
  </si>
  <si>
    <t>Self-Insured Dental Fund</t>
  </si>
  <si>
    <t>Analysis of STRS and PERS Increased Employer Rates</t>
  </si>
  <si>
    <t>Total increased cost for the next 3 years</t>
  </si>
  <si>
    <t>Contributions to Restricted Programs:</t>
  </si>
  <si>
    <r>
      <t xml:space="preserve">State Adopted Textbooks &amp; Instructional Materials
</t>
    </r>
    <r>
      <rPr>
        <sz val="12"/>
        <color rgb="FFC00000"/>
        <rFont val="Cambria"/>
        <family val="1"/>
        <scheme val="major"/>
      </rPr>
      <t>(Partially funded w/ Unrestricted funds)</t>
    </r>
  </si>
  <si>
    <t>State Adopted Textbooks &amp; Instructional Materials</t>
  </si>
  <si>
    <t>Federal, State, and Local revenues were adjusted for COLA with the following percentages:</t>
  </si>
  <si>
    <t>4201</t>
  </si>
  <si>
    <t>3311</t>
  </si>
  <si>
    <t>Teacher in Charge</t>
  </si>
  <si>
    <t>Teacher on Special Assignment</t>
  </si>
  <si>
    <t>Induction w/ SCOE</t>
  </si>
  <si>
    <t>Shawn Timmons w/ SCOE</t>
  </si>
  <si>
    <t>Total to be expensed</t>
  </si>
  <si>
    <t>Reduced to est exps to date</t>
  </si>
  <si>
    <t>S. Eddington, from Rs 4035 Hess/Bosio</t>
  </si>
  <si>
    <t>Bosio and Hess</t>
  </si>
  <si>
    <t>Local Control Funding Formula (LCFF)</t>
  </si>
  <si>
    <t>OTHER FINANCING SOURCES</t>
  </si>
  <si>
    <t xml:space="preserve">Total Other Financing Sources </t>
  </si>
  <si>
    <t>TOTAL REVENUES and OTHER FINANCING SOURCES</t>
  </si>
  <si>
    <t>OTHER FINANCING USES</t>
  </si>
  <si>
    <t>TOTAL EXPENSES and OTHER USES</t>
  </si>
  <si>
    <t>Total Other Financing Uses</t>
  </si>
  <si>
    <t>TOTAL EXPENSES and OTHER FINANCING USES</t>
  </si>
  <si>
    <t>LCFF Supp/Conc - Freedom</t>
  </si>
  <si>
    <t>BUDGET</t>
  </si>
  <si>
    <t>School Sites</t>
  </si>
  <si>
    <t>Expense Budget Breakdown</t>
  </si>
  <si>
    <t>Balance Available</t>
  </si>
  <si>
    <t>Average monthly payroll</t>
  </si>
  <si>
    <t>$6.5 million</t>
  </si>
  <si>
    <t>Average monthly operating expenditures</t>
  </si>
  <si>
    <t>Based on August 2016 - February 2017 actual payroll</t>
  </si>
  <si>
    <t>Based on August 2016 - February 2017 actual expenses</t>
  </si>
  <si>
    <t>TOTAL GENERAL FUND - UNRESTRICTED and COMBINED</t>
  </si>
  <si>
    <t>Increases in LCFF</t>
  </si>
  <si>
    <t>S. Eddington Only</t>
  </si>
  <si>
    <t>$15.6 million</t>
  </si>
  <si>
    <t>At least 3 months of payroll</t>
  </si>
  <si>
    <t>At least 2 months of operating expenditures</t>
  </si>
  <si>
    <t>Rule of thumb for reserve:</t>
  </si>
  <si>
    <t>Recommend $15.6 million or 3 months of payroll for reserve since the District's budget is predominantly salaries and benefits.</t>
  </si>
  <si>
    <t>$5.2 million</t>
  </si>
  <si>
    <t>Inst. Coaches  to RS 3010</t>
  </si>
  <si>
    <t xml:space="preserve">Fully expense </t>
  </si>
  <si>
    <t>for Inst. Coaches</t>
  </si>
  <si>
    <t>from RS 3010</t>
  </si>
  <si>
    <t>Rosetta Stone</t>
  </si>
  <si>
    <t>Formula --&gt; Total expenses and encumb. X 3.7% I/C rte</t>
  </si>
  <si>
    <t>Review S&amp;B w/ MR, LG if ok to sweep?</t>
  </si>
  <si>
    <t>Benefits - ok to sweep?</t>
  </si>
  <si>
    <t>Certificated - ok to sweep?</t>
  </si>
  <si>
    <t>Classified - ok to sweep?</t>
  </si>
  <si>
    <t>Sweep back to DO</t>
  </si>
  <si>
    <t>supplies</t>
  </si>
  <si>
    <t xml:space="preserve">Includes Alternative </t>
  </si>
  <si>
    <t>Support, see below for</t>
  </si>
  <si>
    <t>Altn. Spprt. Balance</t>
  </si>
  <si>
    <t>Chromebooks</t>
  </si>
  <si>
    <t>Certificated, not Alt. Spprt. - ok to sweep?</t>
  </si>
  <si>
    <t>Alternative Support S&amp;B</t>
  </si>
  <si>
    <t>T&amp;C, Outside/Other Srvc</t>
  </si>
  <si>
    <t xml:space="preserve">Alternative Support S&amp;B - MAX or use </t>
  </si>
  <si>
    <t>regular S&amp;B</t>
  </si>
  <si>
    <t>Have to use salaries to cover overage</t>
  </si>
  <si>
    <t>Apply for negotiated increase</t>
  </si>
  <si>
    <t>Hourly rate changed $34.54, 2% negotiated</t>
  </si>
  <si>
    <t>Need to see who, most likely $34.54 rate</t>
  </si>
  <si>
    <t>Supplemental Tchr./Extra Duty/Training</t>
  </si>
  <si>
    <t>Alt. Support Balance to Expense for S&amp;B</t>
  </si>
  <si>
    <t>Alt. Spport certificated salaries</t>
  </si>
  <si>
    <t>Alt. Spport certificated benefits</t>
  </si>
  <si>
    <t>Classified, ignored negative encumbrance - ok to sweep?</t>
  </si>
  <si>
    <t xml:space="preserve">Alternative Support S&amp;B </t>
  </si>
  <si>
    <t>Alternative Support Supplies &amp; Field Trip Transp.</t>
  </si>
  <si>
    <t>T&amp;C, field trip tranp., outside/other srvc., direct FS, postage</t>
  </si>
  <si>
    <t>Alt. Support Bal.to Expense for S&amp;B, supplies, field trip transp.</t>
  </si>
  <si>
    <t>Ignored negative encumbrances, was 1-X correction in March</t>
  </si>
  <si>
    <t>2016-2017 c/o to be expensed in 2017-18 and/or trying to expese by June 30, 2017</t>
  </si>
  <si>
    <t>Benefits, not Alt. Support - ok to sweep?</t>
  </si>
  <si>
    <t>T&amp;C, field trip tranp., outside/other srvc., postage</t>
  </si>
  <si>
    <t>Solution Tree and Certificated Salaries</t>
  </si>
  <si>
    <t>2 days inservice and Classified Salaries</t>
  </si>
  <si>
    <t>I/C and benefits</t>
  </si>
  <si>
    <t>ok to sweep - YES</t>
  </si>
  <si>
    <t>Do not sweep, use for STEAM Lab</t>
  </si>
  <si>
    <t>Est. Beginning Bal.</t>
  </si>
  <si>
    <t>Teacher Subs</t>
  </si>
  <si>
    <t>Current Year - 2017-18</t>
  </si>
  <si>
    <t>Textbooks</t>
  </si>
  <si>
    <t>16-17 C/O to 2017-18 FY</t>
  </si>
  <si>
    <t>CY 15% c/o to next year</t>
  </si>
  <si>
    <t xml:space="preserve"> = 10% cut</t>
  </si>
  <si>
    <t>Para sub</t>
  </si>
  <si>
    <t>est. c/o to 18-19</t>
  </si>
  <si>
    <t>c/o from 2016-17 FY</t>
  </si>
  <si>
    <t>1101</t>
  </si>
  <si>
    <t>1103</t>
  </si>
  <si>
    <t>1105</t>
  </si>
  <si>
    <t>1122</t>
  </si>
  <si>
    <t>1185</t>
  </si>
  <si>
    <t>1273</t>
  </si>
  <si>
    <t>1281</t>
  </si>
  <si>
    <t>1301</t>
  </si>
  <si>
    <t>1302</t>
  </si>
  <si>
    <t>1303</t>
  </si>
  <si>
    <t>1304</t>
  </si>
  <si>
    <t>1306</t>
  </si>
  <si>
    <t>1381</t>
  </si>
  <si>
    <t>Teachers Salarries</t>
  </si>
  <si>
    <t>Music Teachers</t>
  </si>
  <si>
    <t>Extra Duty/Hourly/Training</t>
  </si>
  <si>
    <t>Home and Hopital Teacher</t>
  </si>
  <si>
    <t>Substitute Teachers, Long Term</t>
  </si>
  <si>
    <t>Psychologist</t>
  </si>
  <si>
    <t>Instructional Supplort Extra Time</t>
  </si>
  <si>
    <t>Support Staff Substitute</t>
  </si>
  <si>
    <t>Superintendent</t>
  </si>
  <si>
    <t>Assistant Superintendent</t>
  </si>
  <si>
    <t>Principals</t>
  </si>
  <si>
    <t>Assistant Principals</t>
  </si>
  <si>
    <t>Department Chair Stipends</t>
  </si>
  <si>
    <t>Substitute Administrator</t>
  </si>
  <si>
    <t>Teacher Mentor Stipends</t>
  </si>
  <si>
    <t>Safety/Renaissance</t>
  </si>
  <si>
    <t>Custodians, Extra Time, &amp; Subs</t>
  </si>
  <si>
    <t>District Office Admin.</t>
  </si>
  <si>
    <t>School Office Staff, Extra Time, &amp; Subs</t>
  </si>
  <si>
    <t>District Office Staff</t>
  </si>
  <si>
    <t xml:space="preserve">Yard Duty &amp; Campus Supervisors </t>
  </si>
  <si>
    <t>Other Classified Duties &amp; Subs</t>
  </si>
  <si>
    <t>Library Assistants &amp; Subs</t>
  </si>
  <si>
    <t>Maintenance, Custodians, &amp; Warehouse</t>
  </si>
  <si>
    <t>Library Books &amp; Other Instructional Materials</t>
  </si>
  <si>
    <t>District Office and Deparment Supplies</t>
  </si>
  <si>
    <t>0617</t>
  </si>
  <si>
    <t>Estimated</t>
  </si>
  <si>
    <t>Prior Year</t>
  </si>
  <si>
    <t>Library Books and Supplies</t>
  </si>
  <si>
    <t>Testing Materials</t>
  </si>
  <si>
    <t>Medical Supplies</t>
  </si>
  <si>
    <t>Non-Capital Equipment</t>
  </si>
  <si>
    <t>Adaptive PE</t>
  </si>
  <si>
    <t>Speech/Language Therapist</t>
  </si>
  <si>
    <t>Resource Specialist</t>
  </si>
  <si>
    <t>Autism Inclusion Specialist</t>
  </si>
  <si>
    <t>Special Day Class Teacher</t>
  </si>
  <si>
    <t>Home/Hospital Teacher</t>
  </si>
  <si>
    <t>Psychologists</t>
  </si>
  <si>
    <t>Nurses</t>
  </si>
  <si>
    <t>Support Staff Subs</t>
  </si>
  <si>
    <t>Program Specialist</t>
  </si>
  <si>
    <t>Directors/Supervisors</t>
  </si>
  <si>
    <t>Vocational Nurses</t>
  </si>
  <si>
    <t>Board Cert Behavior Analyst</t>
  </si>
  <si>
    <t>Office Support/Extra Time/Subs</t>
  </si>
  <si>
    <t>Fund 13</t>
  </si>
  <si>
    <t>Fund 14</t>
  </si>
  <si>
    <t>Fund 20</t>
  </si>
  <si>
    <t>Fund 21</t>
  </si>
  <si>
    <t>Fund 25</t>
  </si>
  <si>
    <t>Fund 40, Furniture and equipment replacement</t>
  </si>
  <si>
    <t>Fund 40, New schools and construction, and buses</t>
  </si>
  <si>
    <t>Fund 63</t>
  </si>
  <si>
    <t>Fund 67</t>
  </si>
  <si>
    <t>MS Voucher, General Purpose</t>
  </si>
  <si>
    <t>MS Voucher, Software</t>
  </si>
  <si>
    <t>From RS 4203</t>
  </si>
  <si>
    <t>From RS 4203 &amp; RS 4035</t>
  </si>
  <si>
    <t>EADMS</t>
  </si>
  <si>
    <t>BrightBytes</t>
  </si>
  <si>
    <t>Intervention Teacher</t>
  </si>
  <si>
    <t>Stipends - Advisor</t>
  </si>
  <si>
    <t>Safety/Renaissance Stipends</t>
  </si>
  <si>
    <t>After School Sports</t>
  </si>
  <si>
    <t>Admisision Tickets</t>
  </si>
  <si>
    <t>MPP = 8.55%</t>
  </si>
  <si>
    <t>MPP = 9.84%</t>
  </si>
  <si>
    <t>MPP = 10.04%</t>
  </si>
  <si>
    <t>Incrs for ipads repairs, crack screens</t>
  </si>
  <si>
    <t>From RS 0000</t>
  </si>
  <si>
    <t>2X75</t>
  </si>
  <si>
    <t>Trainings</t>
  </si>
  <si>
    <t>Debt Service</t>
  </si>
  <si>
    <t>New CEC loan payments</t>
  </si>
  <si>
    <t>New</t>
  </si>
  <si>
    <t>One-time Wokers' Compensation Reimbursement</t>
  </si>
  <si>
    <t>One-time  Mandate Reimbursement</t>
  </si>
  <si>
    <t>Moved majority to Lottery</t>
  </si>
  <si>
    <t>Estimated Increase in ADA</t>
  </si>
  <si>
    <t>or          $13 million</t>
  </si>
  <si>
    <t>Removed 2 add'l contract days</t>
  </si>
  <si>
    <t>Estimated decrease due to one-time funding</t>
  </si>
  <si>
    <t>One-time Energy Audit Projects</t>
  </si>
  <si>
    <t>The purchase of state adopted textbooks and related instructional materials/consumables for the current year and the anticipated schedule for the subsequent years are displayed below:</t>
  </si>
  <si>
    <t>LCFF is estimated at 97% of full implementation.</t>
  </si>
  <si>
    <t>0653</t>
  </si>
  <si>
    <t>Debt service payments for the CEC loan is estimated at $88,000 per year.</t>
  </si>
  <si>
    <t>Cost of 1% with statutory benefits</t>
  </si>
  <si>
    <t>Checks - Do not erase</t>
  </si>
  <si>
    <t>Ck</t>
  </si>
  <si>
    <t>Statutory Benefits</t>
  </si>
  <si>
    <t>Changes to Stipends</t>
  </si>
  <si>
    <t/>
  </si>
  <si>
    <t>Total salary increase</t>
  </si>
  <si>
    <t>Cost of 1% 1-X salary increase</t>
  </si>
  <si>
    <t>Cost of 2% ongoing salary increase</t>
  </si>
  <si>
    <t xml:space="preserve"> May 2017</t>
  </si>
  <si>
    <t xml:space="preserve"> March 2017</t>
  </si>
  <si>
    <t>Total cost of Salaries</t>
  </si>
  <si>
    <t>CTA</t>
  </si>
  <si>
    <t xml:space="preserve">2016-2017 Budget </t>
  </si>
  <si>
    <t>Unaudited Actuals</t>
  </si>
  <si>
    <t>Projections</t>
  </si>
  <si>
    <t>2015-16 c/o, Final</t>
  </si>
  <si>
    <t>2016-17 Award, Final 8/15/2017</t>
  </si>
  <si>
    <t>Teacher on Special Assignment from RS 6264</t>
  </si>
  <si>
    <t>From RS 6264, EduEff Ended</t>
  </si>
  <si>
    <t xml:space="preserve">0000-unrestricted; 0032-MAA; 0049-CELDT/CAASSP; </t>
  </si>
  <si>
    <t>Extra Cuty/ Hourly</t>
  </si>
  <si>
    <t>I/M</t>
  </si>
  <si>
    <t>Non I/M</t>
  </si>
  <si>
    <t>Computer supplies</t>
  </si>
  <si>
    <t>Non capital</t>
  </si>
  <si>
    <t>PLA Support</t>
  </si>
  <si>
    <t>Extra-Time Support</t>
  </si>
  <si>
    <t>Computer Tech</t>
  </si>
  <si>
    <t>Extra-Time Office</t>
  </si>
  <si>
    <t>Sub Clerical, Office</t>
  </si>
  <si>
    <t>Yard Duty Supervisor</t>
  </si>
  <si>
    <t>Extra-time Other Class.</t>
  </si>
  <si>
    <t>Sub - Other Classified</t>
  </si>
  <si>
    <t>Para Learning Assistant (PLA)</t>
  </si>
  <si>
    <t>Bus Driver</t>
  </si>
  <si>
    <t>Mechanic</t>
  </si>
  <si>
    <t>Mechanic Helper/Bus Driver</t>
  </si>
  <si>
    <t>Transportation Support Specialist</t>
  </si>
  <si>
    <t>Extra-time Class. Support</t>
  </si>
  <si>
    <t>Sub, classified support</t>
  </si>
  <si>
    <t>Asst. Supt. Business Services</t>
  </si>
  <si>
    <t>Supervisor</t>
  </si>
  <si>
    <t xml:space="preserve">Extra-time  Office </t>
  </si>
  <si>
    <t>Membership</t>
  </si>
  <si>
    <t>Travel and Conference</t>
  </si>
  <si>
    <t>Interfund TFs, Field Trips</t>
  </si>
  <si>
    <t>I/M Medica Materials</t>
  </si>
  <si>
    <t>Non Capital Equipment</t>
  </si>
  <si>
    <t>PLUGGED</t>
  </si>
  <si>
    <t>Plugged 8631</t>
  </si>
  <si>
    <t>Travel &amp; Conference, Mileage, Membership</t>
  </si>
  <si>
    <t>After School Sports Stipends, Referee/game official</t>
  </si>
  <si>
    <t>Library Assistants &amp; Subs (FUNC 2420)</t>
  </si>
  <si>
    <t>Health Clerks, Vocational Nurses, &amp; Subs (FUNC 3140)</t>
  </si>
  <si>
    <t>Warehouse (FN7200), Grounds &amp; Subs (FN 8100, ORG 2115)</t>
  </si>
  <si>
    <t>School Office, Nurse, guidance</t>
  </si>
  <si>
    <t>Rental-Equipment/Other</t>
  </si>
  <si>
    <t>Nonspendable: Revolving Cash &amp; Prepaid</t>
  </si>
  <si>
    <t>Classified Retro</t>
  </si>
  <si>
    <t>Textbook Adoptions</t>
  </si>
  <si>
    <t>LCFF Target/Supplemental Funds</t>
  </si>
  <si>
    <t>16-17 award c/o to 17-18</t>
  </si>
  <si>
    <t xml:space="preserve">  =ROUND(D12-(D12/(1+E14)),2)</t>
  </si>
  <si>
    <t>est. c/o from PY</t>
  </si>
  <si>
    <t>Plugged to balance</t>
  </si>
  <si>
    <t>16-17 c/o to 17-18</t>
  </si>
  <si>
    <t>16-17 award less c/o to 17-18</t>
  </si>
  <si>
    <t>Final 16-17</t>
  </si>
  <si>
    <t>CY</t>
  </si>
  <si>
    <t>Equipment</t>
  </si>
  <si>
    <t>3.7%, Wasn’t sure if on spending plan</t>
  </si>
  <si>
    <t xml:space="preserve"> =ROUND((D11-D89)-((D11-D89)/(1+$E$13)),2)</t>
  </si>
  <si>
    <t xml:space="preserve"> =ROUND((D11-D89)-((D11-D89)/(1+E13)),2)</t>
  </si>
  <si>
    <t>5600/3</t>
  </si>
  <si>
    <t>Capital Exp.</t>
  </si>
  <si>
    <t>Fund 40</t>
  </si>
  <si>
    <t>Sum of EE Bens</t>
  </si>
  <si>
    <t>Sum of Supplies</t>
  </si>
  <si>
    <t>Sum of Federal</t>
  </si>
  <si>
    <t>Sum of State</t>
  </si>
  <si>
    <t>Prelim Aug. 1st, 2017</t>
  </si>
  <si>
    <t>T. 16-17 FY expenditures</t>
  </si>
  <si>
    <t>15-16 c/o exp in 16-17 FY</t>
  </si>
  <si>
    <t>16-17 award exp in 16-17</t>
  </si>
  <si>
    <t>Final 2016-17 Award</t>
  </si>
  <si>
    <t>16-17 c/o c/o to 17-18</t>
  </si>
  <si>
    <t>Max 16-17 c/o</t>
  </si>
  <si>
    <t>Exp. To date, 9/19/2017</t>
  </si>
  <si>
    <t>Encumbrances to date, 9/19/2017</t>
  </si>
  <si>
    <t>Total Title I Obligations</t>
  </si>
  <si>
    <t>as of 9/19/2017</t>
  </si>
  <si>
    <t>Spent more than required 15% c/o</t>
  </si>
  <si>
    <t>Need to expense by Sept. 30, 2017</t>
  </si>
  <si>
    <t>Solution Tree</t>
  </si>
  <si>
    <t>16-17 c/o</t>
  </si>
  <si>
    <t>Training: Cert. Pupil</t>
  </si>
  <si>
    <t>Training</t>
  </si>
  <si>
    <t>Ongoing contribution</t>
  </si>
  <si>
    <t>Needed for new adoption</t>
  </si>
  <si>
    <t>will clean up after 1st interim</t>
  </si>
  <si>
    <t>Principal (M. Smyth)</t>
  </si>
  <si>
    <t>Maintain $300k for Technology</t>
  </si>
  <si>
    <t>NEW</t>
  </si>
  <si>
    <t>EADMS &amp; Solution Tree</t>
  </si>
  <si>
    <t>est. c/o to next year</t>
  </si>
  <si>
    <t>Incrsd by 2.35% COLA</t>
  </si>
  <si>
    <t>Est. c/o to next year</t>
  </si>
  <si>
    <t>calc. from above</t>
  </si>
  <si>
    <t>from above</t>
  </si>
  <si>
    <t>CP-Bal w/ RS6500</t>
  </si>
  <si>
    <t>1X75</t>
  </si>
  <si>
    <t>prelim</t>
  </si>
  <si>
    <t>Bosio and Suydam</t>
  </si>
  <si>
    <t>amount need to balance</t>
  </si>
  <si>
    <t>Hard coded in</t>
  </si>
  <si>
    <t>Required 3% contribution</t>
  </si>
  <si>
    <t>Difference between actual</t>
  </si>
  <si>
    <t>First Interim Budget</t>
  </si>
  <si>
    <t xml:space="preserve">  = $147.32 X 7,760.61, rounded</t>
  </si>
  <si>
    <t xml:space="preserve">  =$30.34 X 7,760.61, rounded</t>
  </si>
  <si>
    <t xml:space="preserve">  =$30.34*7677.44</t>
  </si>
  <si>
    <t xml:space="preserve">  =$30.34*7690.87</t>
  </si>
  <si>
    <t>Goes to RS 0000 in 2018-19</t>
  </si>
  <si>
    <t>Sort by Function</t>
  </si>
  <si>
    <t>0066-Retirees; 0103-Staff Development; 1400-EPA</t>
  </si>
  <si>
    <t xml:space="preserve">BDX 110, Sort by FD-OBJ-FUNC, Object Rollup to 2 digits </t>
  </si>
  <si>
    <t>Flat from Prop 39 savings</t>
  </si>
  <si>
    <t>% Increase, ongoing</t>
  </si>
  <si>
    <t>Certificated STRS cost at 12.58% for all 4 years</t>
  </si>
  <si>
    <t>Certificated STRS cost at 12.58%, 14.43%, 16.28%, 18.13%</t>
  </si>
  <si>
    <t>Year 2 of 3 $425k</t>
  </si>
  <si>
    <t>Year 3 of 3 $425k</t>
  </si>
  <si>
    <t>includes $150/tchr from board</t>
  </si>
  <si>
    <t>Removed 1-X</t>
  </si>
  <si>
    <t>Step &amp; Other Adj.</t>
  </si>
  <si>
    <t>% Change</t>
  </si>
  <si>
    <t>% Increase</t>
  </si>
  <si>
    <t>Kept 2 add'l PD days in 18-19</t>
  </si>
  <si>
    <t>Ongoing savings</t>
  </si>
  <si>
    <t>Cert. Savings, 8 FTE, less bens</t>
  </si>
  <si>
    <t>To Fund 40 - Special Reserve for Buses</t>
  </si>
  <si>
    <t>2017-18 First Interim Budget</t>
  </si>
  <si>
    <t>Tuesday, December 5, 2017</t>
  </si>
  <si>
    <t xml:space="preserve">Health insurance premium  increase for the two subsequent fiscal years for Sutter, Kaiser, Dental and Vision are estimated at </t>
  </si>
  <si>
    <t>Saving c/O for I/C</t>
  </si>
  <si>
    <t>Plugged to bal. resource</t>
  </si>
  <si>
    <t>Going to RS 0000</t>
  </si>
  <si>
    <t>Part of $425k, RS 0103</t>
  </si>
  <si>
    <t>See below</t>
  </si>
  <si>
    <t>Teachers' Salaries ELD/Literacy</t>
  </si>
  <si>
    <t>If rate stayed flat</t>
  </si>
  <si>
    <t xml:space="preserve">Increase due to </t>
  </si>
  <si>
    <t>increased STRS rate</t>
  </si>
  <si>
    <t xml:space="preserve"> ---------------------------------------------------------------------------------------------------------</t>
  </si>
  <si>
    <t>If STRS rate stayed flat, increase follows salary changes</t>
  </si>
  <si>
    <t>Combined Classified Salary</t>
  </si>
  <si>
    <t>Combined Certificated Salary</t>
  </si>
  <si>
    <t>Step Incrs. &amp; Other Adj.</t>
  </si>
  <si>
    <t>PERS Rates (Proj.) %</t>
  </si>
  <si>
    <t>If PERS rate stayed flat, increase follows salary changes</t>
  </si>
  <si>
    <t>increased PERS rate</t>
  </si>
  <si>
    <t>Increased by COLA</t>
  </si>
  <si>
    <t>Increased by CPI</t>
  </si>
  <si>
    <t>Less 1-time expenditures, increased by CPI</t>
  </si>
  <si>
    <t>Less 1-time contribution, increased by COLA</t>
  </si>
  <si>
    <t>Interest revenue only, plus COLA</t>
  </si>
  <si>
    <t>Est. decrease in facilities expenditures</t>
  </si>
  <si>
    <t>Assumptions for Two Subsequent Years</t>
  </si>
  <si>
    <t>Other Funds - MYP</t>
  </si>
  <si>
    <t xml:space="preserve">Multi-year projections (MYP) are the mathematical result of today’s decisions based on a given set of assumptions.  MYP’s are expected to change as various factors are updated and revised.    Projections will change any time the underlying factors and assumptions are modified, therefore, we must plan and prepare to make changes as conditions and situations change.
The assumptions described below are implemented in the latest MYP.  The primary source of these assumptions are the approved State Budget, California Department of Education, Department of Finance, School Services of California's Financial Projection Dartboard, other external sources and organizations, and of course the District's historical trends.  
The 2017-18 budget column is the District's First Interim Budget.   The 2016-17 column has been updated for Unaudited Actuals.  </t>
  </si>
  <si>
    <t>Funding is based on using the latest FCMAT (Fiscal Crisis &amp; Management Team) LCFF calculator (v18.2c) which includes the following factors:</t>
  </si>
  <si>
    <t xml:space="preserve">One-Time Workers' Compensation Refund </t>
  </si>
  <si>
    <t>Before</t>
  </si>
  <si>
    <t>Yellow Highlights = Changes from Budget Adoption to 1st Interim</t>
  </si>
  <si>
    <t>COMBINED</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</si>
</sst>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00"/>
    <numFmt numFmtId="166" formatCode="0.0%"/>
    <numFmt numFmtId="167" formatCode="[$-F800]dddd\,\ mmmm\ dd\,\ yyyy"/>
    <numFmt numFmtId="168" formatCode="_(* #,##0_);_(* \(#,##0\);_(* &quot;-&quot;??_);_(@_)"/>
    <numFmt numFmtId="169" formatCode="0.000%"/>
    <numFmt numFmtId="170" formatCode="&quot;$&quot;#,##0"/>
    <numFmt numFmtId="171" formatCode="_(* #,##0.00000_);_(* \(#,##0.00000\);_(* &quot;-&quot;??_);_(@_)"/>
    <numFmt numFmtId="172" formatCode="_(&quot;$&quot;* #,##0_);_(&quot;$&quot;* \(#,##0\);_(&quot;$&quot;* &quot;-&quot;??_);_(@_)"/>
    <numFmt numFmtId="173" formatCode="0.0000%"/>
    <numFmt numFmtId="174" formatCode="_(* #,##0.000_);_(* \(#,##0.000\);_(* &quot;-&quot;??_);_(@_)"/>
    <numFmt numFmtId="175" formatCode="&quot;$&quot;#,##0.00"/>
    <numFmt numFmtId="176" formatCode="0.0000000%"/>
    <numFmt numFmtId="177" formatCode="0.00000%"/>
  </numFmts>
  <fonts count="197" x14ac:knownFonts="1">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sz val="10"/>
      <name val="Arial"/>
      <family val="2"/>
    </font>
    <font>
      <b/>
      <u val="singleAccounting"/>
      <sz val="11"/>
      <color theme="1"/>
      <name val="Calibri"/>
      <family val="2"/>
      <scheme val="minor"/>
    </font>
    <font>
      <i/>
      <sz val="11"/>
      <color theme="1"/>
      <name val="Calibri"/>
      <family val="2"/>
      <scheme val="minor"/>
    </font>
    <font>
      <b/>
      <i/>
      <sz val="11"/>
      <color theme="1"/>
      <name val="Calibri"/>
      <family val="2"/>
      <scheme val="minor"/>
    </font>
    <font>
      <b/>
      <i/>
      <u/>
      <sz val="11"/>
      <color theme="1"/>
      <name val="Calibri"/>
      <family val="2"/>
      <scheme val="minor"/>
    </font>
    <font>
      <sz val="12"/>
      <name val="Arial"/>
      <family val="2"/>
    </font>
    <font>
      <sz val="12"/>
      <name val="Arial"/>
      <family val="2"/>
    </font>
    <font>
      <u/>
      <sz val="11"/>
      <color theme="1"/>
      <name val="Calibri"/>
      <family val="2"/>
      <scheme val="minor"/>
    </font>
    <font>
      <sz val="11"/>
      <color rgb="FF000000"/>
      <name val="Calibri"/>
      <family val="2"/>
    </font>
    <font>
      <i/>
      <u val="singleAccounting"/>
      <sz val="11"/>
      <color theme="1"/>
      <name val="Calibri"/>
      <family val="2"/>
      <scheme val="minor"/>
    </font>
    <font>
      <b/>
      <sz val="12"/>
      <color theme="1"/>
      <name val="Calibri"/>
      <family val="2"/>
      <scheme val="minor"/>
    </font>
    <font>
      <sz val="12"/>
      <color theme="1"/>
      <name val="Calibri"/>
      <family val="2"/>
      <scheme val="minor"/>
    </font>
    <font>
      <b/>
      <u/>
      <sz val="12"/>
      <color theme="1"/>
      <name val="Calibri"/>
      <family val="2"/>
      <scheme val="minor"/>
    </font>
    <font>
      <b/>
      <sz val="11"/>
      <color rgb="FFC00000"/>
      <name val="Calibri"/>
      <family val="2"/>
      <scheme val="minor"/>
    </font>
    <font>
      <sz val="11"/>
      <color indexed="8"/>
      <name val="Calibri"/>
      <family val="2"/>
      <scheme val="minor"/>
    </font>
    <font>
      <b/>
      <sz val="11"/>
      <color indexed="8"/>
      <name val="Calibri"/>
      <family val="2"/>
      <scheme val="minor"/>
    </font>
    <font>
      <b/>
      <sz val="12"/>
      <color rgb="FFC00000"/>
      <name val="Calibri"/>
      <family val="2"/>
      <scheme val="minor"/>
    </font>
    <font>
      <sz val="10"/>
      <color theme="1"/>
      <name val="Cambria"/>
      <family val="1"/>
    </font>
    <font>
      <sz val="11"/>
      <name val="Calibri"/>
      <family val="2"/>
      <scheme val="minor"/>
    </font>
    <font>
      <b/>
      <sz val="11"/>
      <color rgb="FF3333FF"/>
      <name val="Calibri"/>
      <family val="2"/>
      <scheme val="minor"/>
    </font>
    <font>
      <sz val="8"/>
      <color theme="1"/>
      <name val="Calibri"/>
      <family val="2"/>
      <scheme val="minor"/>
    </font>
    <font>
      <b/>
      <sz val="8"/>
      <color theme="1"/>
      <name val="Calibri"/>
      <family val="2"/>
      <scheme val="minor"/>
    </font>
    <font>
      <i/>
      <sz val="8"/>
      <color theme="1"/>
      <name val="Calibri"/>
      <family val="2"/>
      <scheme val="minor"/>
    </font>
    <font>
      <sz val="11"/>
      <color rgb="FFC00000"/>
      <name val="Calibri"/>
      <family val="2"/>
      <scheme val="minor"/>
    </font>
    <font>
      <b/>
      <sz val="11"/>
      <name val="Calibri"/>
      <family val="2"/>
      <scheme val="minor"/>
    </font>
    <font>
      <b/>
      <sz val="8"/>
      <name val="Calibri"/>
      <family val="2"/>
      <scheme val="minor"/>
    </font>
    <font>
      <sz val="8"/>
      <name val="Calibri"/>
      <family val="2"/>
      <scheme val="minor"/>
    </font>
    <font>
      <b/>
      <sz val="18"/>
      <color indexed="8"/>
      <name val="Cambria"/>
      <family val="1"/>
      <scheme val="major"/>
    </font>
    <font>
      <b/>
      <sz val="14"/>
      <name val="Cambria"/>
      <family val="1"/>
      <scheme val="major"/>
    </font>
    <font>
      <sz val="11"/>
      <name val="Arial"/>
      <family val="2"/>
    </font>
    <font>
      <sz val="12"/>
      <name val="Cambria"/>
      <family val="1"/>
      <scheme val="major"/>
    </font>
    <font>
      <b/>
      <sz val="12"/>
      <name val="Cambria"/>
      <family val="1"/>
      <scheme val="major"/>
    </font>
    <font>
      <sz val="14"/>
      <name val="Cambria"/>
      <family val="1"/>
      <scheme val="major"/>
    </font>
    <font>
      <sz val="14"/>
      <color rgb="FFC00000"/>
      <name val="Cambria"/>
      <family val="1"/>
      <scheme val="major"/>
    </font>
    <font>
      <sz val="14"/>
      <color rgb="FF3333FF"/>
      <name val="Cambria"/>
      <family val="1"/>
      <scheme val="major"/>
    </font>
    <font>
      <u val="singleAccounting"/>
      <sz val="11"/>
      <name val="Arial"/>
      <family val="2"/>
    </font>
    <font>
      <b/>
      <sz val="11"/>
      <name val="Arial"/>
      <family val="2"/>
    </font>
    <font>
      <sz val="11"/>
      <name val="Cambria"/>
      <family val="1"/>
      <scheme val="major"/>
    </font>
    <font>
      <sz val="14"/>
      <color theme="1"/>
      <name val="Cambria"/>
      <family val="1"/>
      <scheme val="major"/>
    </font>
    <font>
      <sz val="11"/>
      <color rgb="FF3333FF"/>
      <name val="Arial"/>
      <family val="2"/>
    </font>
    <font>
      <sz val="12"/>
      <color rgb="FFC00000"/>
      <name val="Cambria"/>
      <family val="1"/>
      <scheme val="major"/>
    </font>
    <font>
      <sz val="12"/>
      <color indexed="8"/>
      <name val="Arial"/>
      <family val="2"/>
    </font>
    <font>
      <sz val="9"/>
      <name val="Arial"/>
      <family val="2"/>
    </font>
    <font>
      <b/>
      <sz val="14"/>
      <color rgb="FF3333FF"/>
      <name val="Cambria"/>
      <family val="1"/>
      <scheme val="major"/>
    </font>
    <font>
      <sz val="14"/>
      <color indexed="8"/>
      <name val="Cambria"/>
      <family val="1"/>
      <scheme val="major"/>
    </font>
    <font>
      <b/>
      <i/>
      <sz val="11"/>
      <color rgb="FF3333FF"/>
      <name val="Cambria"/>
      <family val="1"/>
      <scheme val="major"/>
    </font>
    <font>
      <b/>
      <u/>
      <sz val="14"/>
      <color rgb="FF3333FF"/>
      <name val="Cambria"/>
      <family val="1"/>
      <scheme val="major"/>
    </font>
    <font>
      <sz val="14"/>
      <color indexed="48"/>
      <name val="Cambria"/>
      <family val="1"/>
      <scheme val="major"/>
    </font>
    <font>
      <b/>
      <sz val="14"/>
      <color indexed="8"/>
      <name val="Cambria"/>
      <family val="1"/>
      <scheme val="major"/>
    </font>
    <font>
      <sz val="10"/>
      <color indexed="8"/>
      <name val="Cambria"/>
      <family val="1"/>
      <scheme val="major"/>
    </font>
    <font>
      <sz val="12"/>
      <color indexed="48"/>
      <name val="Arial"/>
      <family val="2"/>
    </font>
    <font>
      <i/>
      <sz val="11"/>
      <color indexed="8"/>
      <name val="Cambria"/>
      <family val="1"/>
      <scheme val="major"/>
    </font>
    <font>
      <b/>
      <i/>
      <sz val="11"/>
      <name val="Cambria"/>
      <family val="1"/>
      <scheme val="major"/>
    </font>
    <font>
      <b/>
      <sz val="14"/>
      <color indexed="53"/>
      <name val="Cambria"/>
      <family val="1"/>
      <scheme val="major"/>
    </font>
    <font>
      <b/>
      <sz val="14"/>
      <color theme="9" tint="-0.249977111117893"/>
      <name val="Cambria"/>
      <family val="1"/>
      <scheme val="major"/>
    </font>
    <font>
      <i/>
      <sz val="11"/>
      <color indexed="53"/>
      <name val="Cambria"/>
      <family val="1"/>
      <scheme val="major"/>
    </font>
    <font>
      <i/>
      <sz val="11"/>
      <color theme="9" tint="-0.249977111117893"/>
      <name val="Cambria"/>
      <family val="1"/>
      <scheme val="major"/>
    </font>
    <font>
      <i/>
      <sz val="11"/>
      <color rgb="FF3333FF"/>
      <name val="Cambria"/>
      <family val="1"/>
      <scheme val="major"/>
    </font>
    <font>
      <sz val="14"/>
      <color indexed="10"/>
      <name val="Cambria"/>
      <family val="1"/>
      <scheme val="major"/>
    </font>
    <font>
      <b/>
      <sz val="12"/>
      <name val="Arial"/>
      <family val="2"/>
    </font>
    <font>
      <b/>
      <sz val="14"/>
      <color indexed="10"/>
      <name val="Cambria"/>
      <family val="1"/>
      <scheme val="major"/>
    </font>
    <font>
      <sz val="12"/>
      <color rgb="FFC00000"/>
      <name val="Arial"/>
      <family val="2"/>
    </font>
    <font>
      <sz val="14"/>
      <color indexed="12"/>
      <name val="Cambria"/>
      <family val="1"/>
      <scheme val="major"/>
    </font>
    <font>
      <b/>
      <sz val="13"/>
      <name val="Cambria"/>
      <family val="1"/>
      <scheme val="major"/>
    </font>
    <font>
      <b/>
      <sz val="14"/>
      <color indexed="48"/>
      <name val="Cambria"/>
      <family val="1"/>
      <scheme val="major"/>
    </font>
    <font>
      <i/>
      <sz val="11"/>
      <color indexed="48"/>
      <name val="Cambria"/>
      <family val="1"/>
      <scheme val="major"/>
    </font>
    <font>
      <b/>
      <sz val="14"/>
      <color indexed="60"/>
      <name val="Cambria"/>
      <family val="1"/>
      <scheme val="major"/>
    </font>
    <font>
      <b/>
      <u/>
      <sz val="14"/>
      <name val="Cambria"/>
      <family val="1"/>
      <scheme val="major"/>
    </font>
    <font>
      <u/>
      <sz val="14"/>
      <name val="Cambria"/>
      <family val="1"/>
      <scheme val="major"/>
    </font>
    <font>
      <sz val="14"/>
      <color indexed="17"/>
      <name val="Cambria"/>
      <family val="1"/>
      <scheme val="major"/>
    </font>
    <font>
      <b/>
      <u val="singleAccounting"/>
      <sz val="14"/>
      <name val="Cambria"/>
      <family val="1"/>
      <scheme val="major"/>
    </font>
    <font>
      <b/>
      <u val="singleAccounting"/>
      <sz val="12"/>
      <name val="Arial"/>
      <family val="2"/>
    </font>
    <font>
      <sz val="13"/>
      <name val="Cambria"/>
      <family val="1"/>
      <scheme val="major"/>
    </font>
    <font>
      <b/>
      <u/>
      <sz val="14"/>
      <color indexed="8"/>
      <name val="Cambria"/>
      <family val="1"/>
      <scheme val="major"/>
    </font>
    <font>
      <u val="singleAccounting"/>
      <sz val="14"/>
      <color indexed="8"/>
      <name val="Cambria"/>
      <family val="1"/>
      <scheme val="major"/>
    </font>
    <font>
      <b/>
      <u/>
      <sz val="13"/>
      <color indexed="8"/>
      <name val="Cambria"/>
      <family val="1"/>
      <scheme val="major"/>
    </font>
    <font>
      <b/>
      <u/>
      <sz val="13"/>
      <name val="Cambria"/>
      <family val="1"/>
      <scheme val="major"/>
    </font>
    <font>
      <i/>
      <sz val="11"/>
      <color rgb="FFC00000"/>
      <name val="Calibri"/>
      <family val="2"/>
      <scheme val="minor"/>
    </font>
    <font>
      <i/>
      <sz val="11"/>
      <name val="Calibri"/>
      <family val="2"/>
      <scheme val="minor"/>
    </font>
    <font>
      <sz val="10"/>
      <name val="Arial Narrow"/>
      <family val="2"/>
    </font>
    <font>
      <b/>
      <sz val="10"/>
      <name val="Arial Narrow"/>
      <family val="2"/>
    </font>
    <font>
      <sz val="11"/>
      <name val="Arial Narrow"/>
      <family val="2"/>
    </font>
    <font>
      <b/>
      <sz val="11"/>
      <name val="Arial Narrow"/>
      <family val="2"/>
    </font>
    <font>
      <sz val="9"/>
      <name val="Arial Narrow"/>
      <family val="2"/>
    </font>
    <font>
      <sz val="10"/>
      <color theme="1"/>
      <name val="Arial Narrow"/>
      <family val="2"/>
    </font>
    <font>
      <b/>
      <u/>
      <sz val="11"/>
      <name val="Arial Narrow"/>
      <family val="2"/>
    </font>
    <font>
      <b/>
      <sz val="11"/>
      <color rgb="FFFF0000"/>
      <name val="Calibri"/>
      <family val="2"/>
      <scheme val="minor"/>
    </font>
    <font>
      <b/>
      <i/>
      <sz val="11"/>
      <name val="Calibri"/>
      <family val="2"/>
      <scheme val="minor"/>
    </font>
    <font>
      <sz val="9"/>
      <color indexed="8"/>
      <name val="Arial"/>
      <family val="2"/>
    </font>
    <font>
      <u val="singleAccounting"/>
      <sz val="9"/>
      <name val="Arial"/>
      <family val="2"/>
    </font>
    <font>
      <sz val="9"/>
      <color rgb="FF008000"/>
      <name val="Arial"/>
      <family val="2"/>
    </font>
    <font>
      <sz val="9"/>
      <name val="Cambria"/>
      <family val="1"/>
      <scheme val="major"/>
    </font>
    <font>
      <sz val="8"/>
      <name val="Cambria"/>
      <family val="1"/>
      <scheme val="major"/>
    </font>
    <font>
      <b/>
      <sz val="11"/>
      <color rgb="FF008000"/>
      <name val="Calibri"/>
      <family val="2"/>
      <scheme val="minor"/>
    </font>
    <font>
      <sz val="12"/>
      <color theme="1"/>
      <name val="Cambria"/>
      <family val="1"/>
    </font>
    <font>
      <b/>
      <sz val="12"/>
      <color theme="1"/>
      <name val="Cambria"/>
      <family val="1"/>
    </font>
    <font>
      <b/>
      <u/>
      <sz val="12"/>
      <color theme="1"/>
      <name val="Cambria"/>
      <family val="1"/>
    </font>
    <font>
      <sz val="12"/>
      <name val="Cambria"/>
      <family val="1"/>
    </font>
    <font>
      <b/>
      <u/>
      <sz val="12"/>
      <color theme="0"/>
      <name val="Cambria"/>
      <family val="1"/>
    </font>
    <font>
      <sz val="12"/>
      <color theme="0"/>
      <name val="Cambria"/>
      <family val="1"/>
    </font>
    <font>
      <b/>
      <sz val="12"/>
      <color rgb="FFC00000"/>
      <name val="Cambria"/>
      <family val="1"/>
    </font>
    <font>
      <sz val="12"/>
      <color rgb="FFC00000"/>
      <name val="Cambria"/>
      <family val="1"/>
    </font>
    <font>
      <sz val="11"/>
      <color rgb="FF3333FF"/>
      <name val="Calibri"/>
      <family val="2"/>
      <scheme val="minor"/>
    </font>
    <font>
      <u/>
      <sz val="11"/>
      <name val="Calibri"/>
      <family val="2"/>
      <scheme val="minor"/>
    </font>
    <font>
      <i/>
      <sz val="9"/>
      <name val="Calibri"/>
      <family val="2"/>
      <scheme val="minor"/>
    </font>
    <font>
      <sz val="9"/>
      <name val="Calibri"/>
      <family val="2"/>
      <scheme val="minor"/>
    </font>
    <font>
      <i/>
      <u val="singleAccounting"/>
      <sz val="9"/>
      <name val="Calibri"/>
      <family val="2"/>
      <scheme val="minor"/>
    </font>
    <font>
      <b/>
      <u/>
      <sz val="12"/>
      <name val="Calibri"/>
      <family val="2"/>
      <scheme val="minor"/>
    </font>
    <font>
      <b/>
      <sz val="12"/>
      <name val="Calibri"/>
      <family val="2"/>
      <scheme val="minor"/>
    </font>
    <font>
      <sz val="12"/>
      <name val="Calibri"/>
      <family val="2"/>
      <scheme val="minor"/>
    </font>
    <font>
      <b/>
      <u val="singleAccounting"/>
      <sz val="11"/>
      <name val="Calibri"/>
      <family val="2"/>
      <scheme val="minor"/>
    </font>
    <font>
      <i/>
      <sz val="8"/>
      <name val="Calibri"/>
      <family val="2"/>
      <scheme val="minor"/>
    </font>
    <font>
      <sz val="8"/>
      <color indexed="8"/>
      <name val="Arial"/>
      <family val="2"/>
    </font>
    <font>
      <b/>
      <sz val="16"/>
      <color rgb="FFC00000"/>
      <name val="Cambria"/>
      <family val="1"/>
      <scheme val="major"/>
    </font>
    <font>
      <b/>
      <sz val="14"/>
      <color rgb="FFC00000"/>
      <name val="Cambria"/>
      <family val="1"/>
      <scheme val="major"/>
    </font>
    <font>
      <sz val="10"/>
      <color indexed="8"/>
      <name val="Arial"/>
      <family val="2"/>
    </font>
    <font>
      <sz val="10"/>
      <color indexed="48"/>
      <name val="Arial"/>
      <family val="2"/>
    </font>
    <font>
      <b/>
      <sz val="11"/>
      <name val="Cambria"/>
      <family val="1"/>
      <scheme val="major"/>
    </font>
    <font>
      <sz val="8"/>
      <color rgb="FFC00000"/>
      <name val="Calibri"/>
      <family val="2"/>
      <scheme val="minor"/>
    </font>
    <font>
      <sz val="9"/>
      <color indexed="81"/>
      <name val="Tahoma"/>
      <family val="2"/>
    </font>
    <font>
      <sz val="10"/>
      <color theme="1"/>
      <name val="Calibri"/>
      <family val="2"/>
      <scheme val="minor"/>
    </font>
    <font>
      <b/>
      <u/>
      <sz val="12"/>
      <name val="Arial"/>
      <family val="2"/>
    </font>
    <font>
      <b/>
      <u/>
      <sz val="11"/>
      <name val="Arial"/>
      <family val="2"/>
    </font>
    <font>
      <sz val="11"/>
      <color rgb="FFC00000"/>
      <name val="Arial"/>
      <family val="2"/>
    </font>
    <font>
      <sz val="9"/>
      <color rgb="FFC00000"/>
      <name val="Arial"/>
      <family val="2"/>
    </font>
    <font>
      <sz val="12"/>
      <color theme="1"/>
      <name val="Arial"/>
      <family val="2"/>
    </font>
    <font>
      <b/>
      <sz val="12"/>
      <color rgb="FF3333FF"/>
      <name val="Arial"/>
      <family val="2"/>
    </font>
    <font>
      <sz val="11"/>
      <color rgb="FF3333FF"/>
      <name val="Cambria"/>
      <family val="1"/>
      <scheme val="major"/>
    </font>
    <font>
      <sz val="11"/>
      <color rgb="FFFF0000"/>
      <name val="Calibri"/>
      <family val="2"/>
      <scheme val="minor"/>
    </font>
    <font>
      <b/>
      <u val="singleAccounting"/>
      <sz val="11"/>
      <color rgb="FFC00000"/>
      <name val="Calibri"/>
      <family val="2"/>
      <scheme val="minor"/>
    </font>
    <font>
      <b/>
      <sz val="11"/>
      <color rgb="FF7030A0"/>
      <name val="Calibri"/>
      <family val="2"/>
      <scheme val="minor"/>
    </font>
    <font>
      <b/>
      <sz val="12"/>
      <color rgb="FF3333FF"/>
      <name val="Calibri"/>
      <family val="2"/>
      <scheme val="minor"/>
    </font>
    <font>
      <b/>
      <i/>
      <sz val="9"/>
      <color rgb="FF008000"/>
      <name val="Calibri"/>
      <family val="2"/>
      <scheme val="minor"/>
    </font>
    <font>
      <b/>
      <sz val="11"/>
      <color theme="9" tint="-0.249977111117893"/>
      <name val="Calibri"/>
      <family val="2"/>
      <scheme val="minor"/>
    </font>
    <font>
      <i/>
      <sz val="9"/>
      <color rgb="FF008000"/>
      <name val="Calibri"/>
      <family val="2"/>
      <scheme val="minor"/>
    </font>
    <font>
      <i/>
      <sz val="9"/>
      <color theme="9" tint="-0.249977111117893"/>
      <name val="Calibri"/>
      <family val="2"/>
      <scheme val="minor"/>
    </font>
    <font>
      <b/>
      <i/>
      <sz val="11"/>
      <color rgb="FFC00000"/>
      <name val="Calibri"/>
      <family val="2"/>
      <scheme val="minor"/>
    </font>
    <font>
      <u val="singleAccounting"/>
      <sz val="11"/>
      <color theme="1"/>
      <name val="Calibri"/>
      <family val="2"/>
      <scheme val="minor"/>
    </font>
    <font>
      <sz val="11"/>
      <color rgb="FF000000"/>
      <name val="Calibri"/>
      <family val="2"/>
    </font>
    <font>
      <i/>
      <sz val="12"/>
      <name val="Calibri"/>
      <family val="2"/>
    </font>
    <font>
      <sz val="12"/>
      <name val="Courier New"/>
      <family val="3"/>
    </font>
    <font>
      <sz val="11"/>
      <name val="Courier New"/>
      <family val="3"/>
    </font>
    <font>
      <b/>
      <sz val="12"/>
      <name val="Courier New"/>
      <family val="3"/>
    </font>
    <font>
      <sz val="9"/>
      <name val="Courier New"/>
      <family val="3"/>
    </font>
    <font>
      <b/>
      <sz val="11"/>
      <name val="Courier New"/>
      <family val="3"/>
    </font>
    <font>
      <u val="singleAccounting"/>
      <sz val="9"/>
      <name val="Courier New"/>
      <family val="3"/>
    </font>
    <font>
      <sz val="9"/>
      <color indexed="8"/>
      <name val="Courier New"/>
      <family val="3"/>
    </font>
    <font>
      <sz val="11"/>
      <color rgb="FF3333FF"/>
      <name val="Courier New"/>
      <family val="3"/>
    </font>
    <font>
      <u val="singleAccounting"/>
      <sz val="11"/>
      <name val="Courier New"/>
      <family val="3"/>
    </font>
    <font>
      <b/>
      <sz val="12"/>
      <color rgb="FF7030A0"/>
      <name val="Courier New"/>
      <family val="3"/>
    </font>
    <font>
      <sz val="12"/>
      <color indexed="8"/>
      <name val="Courier New"/>
      <family val="3"/>
    </font>
    <font>
      <sz val="12"/>
      <color indexed="48"/>
      <name val="Courier New"/>
      <family val="3"/>
    </font>
    <font>
      <b/>
      <i/>
      <sz val="11"/>
      <color rgb="FF3333FF"/>
      <name val="Calibri"/>
      <family val="2"/>
      <scheme val="minor"/>
    </font>
    <font>
      <sz val="8"/>
      <color indexed="8"/>
      <name val="Calibri"/>
      <family val="2"/>
      <scheme val="minor"/>
    </font>
    <font>
      <b/>
      <sz val="10"/>
      <name val="Cambria"/>
      <family val="1"/>
      <scheme val="major"/>
    </font>
    <font>
      <sz val="10"/>
      <name val="Cambria"/>
      <family val="1"/>
      <scheme val="major"/>
    </font>
    <font>
      <i/>
      <sz val="10"/>
      <name val="Cambria"/>
      <family val="1"/>
      <scheme val="major"/>
    </font>
    <font>
      <sz val="14"/>
      <color theme="0"/>
      <name val="Cambria"/>
      <family val="1"/>
      <scheme val="major"/>
    </font>
    <font>
      <u/>
      <sz val="11"/>
      <name val="Arial"/>
      <family val="2"/>
    </font>
    <font>
      <b/>
      <u val="singleAccounting"/>
      <sz val="9"/>
      <name val="Courier New"/>
      <family val="3"/>
    </font>
    <font>
      <u/>
      <sz val="9"/>
      <name val="Courier New"/>
      <family val="3"/>
    </font>
    <font>
      <sz val="11"/>
      <color indexed="8"/>
      <name val="Courier New"/>
      <family val="3"/>
    </font>
    <font>
      <b/>
      <u val="singleAccounting"/>
      <sz val="11"/>
      <name val="Courier New"/>
      <family val="3"/>
    </font>
    <font>
      <b/>
      <sz val="11"/>
      <color rgb="FFC00000"/>
      <name val="Courier New"/>
      <family val="3"/>
    </font>
    <font>
      <sz val="11"/>
      <color indexed="48"/>
      <name val="Courier New"/>
      <family val="3"/>
    </font>
    <font>
      <u/>
      <sz val="11"/>
      <name val="Courier New"/>
      <family val="3"/>
    </font>
    <font>
      <b/>
      <u/>
      <sz val="11"/>
      <color rgb="FF3333FF"/>
      <name val="Calibri"/>
      <family val="2"/>
      <scheme val="minor"/>
    </font>
    <font>
      <b/>
      <u/>
      <sz val="12"/>
      <name val="Cambria"/>
      <family val="1"/>
      <scheme val="major"/>
    </font>
    <font>
      <b/>
      <i/>
      <sz val="12"/>
      <color rgb="FF3333FF"/>
      <name val="Cambria"/>
      <family val="1"/>
      <scheme val="major"/>
    </font>
    <font>
      <b/>
      <sz val="12"/>
      <color indexed="8"/>
      <name val="Cambria"/>
      <family val="1"/>
      <scheme val="major"/>
    </font>
    <font>
      <sz val="12"/>
      <color indexed="8"/>
      <name val="Cambria"/>
      <family val="1"/>
      <scheme val="major"/>
    </font>
    <font>
      <i/>
      <sz val="12"/>
      <color indexed="8"/>
      <name val="Cambria"/>
      <family val="1"/>
      <scheme val="major"/>
    </font>
    <font>
      <b/>
      <i/>
      <sz val="12"/>
      <name val="Cambria"/>
      <family val="1"/>
      <scheme val="major"/>
    </font>
    <font>
      <b/>
      <sz val="12"/>
      <color indexed="53"/>
      <name val="Cambria"/>
      <family val="1"/>
      <scheme val="major"/>
    </font>
    <font>
      <i/>
      <sz val="12"/>
      <color theme="9" tint="-0.249977111117893"/>
      <name val="Cambria"/>
      <family val="1"/>
      <scheme val="major"/>
    </font>
    <font>
      <b/>
      <sz val="12"/>
      <color rgb="FF3333FF"/>
      <name val="Cambria"/>
      <family val="1"/>
      <scheme val="major"/>
    </font>
    <font>
      <i/>
      <sz val="12"/>
      <color rgb="FF3333FF"/>
      <name val="Cambria"/>
      <family val="1"/>
      <scheme val="major"/>
    </font>
    <font>
      <sz val="12"/>
      <color rgb="FF3333FF"/>
      <name val="Courier New"/>
      <family val="3"/>
    </font>
    <font>
      <sz val="16"/>
      <name val="Cambria"/>
      <family val="1"/>
      <scheme val="major"/>
    </font>
    <font>
      <i/>
      <sz val="11"/>
      <color rgb="FF3333FF"/>
      <name val="Calibri"/>
      <family val="2"/>
      <scheme val="minor"/>
    </font>
    <font>
      <b/>
      <sz val="11"/>
      <color rgb="FF3333FF"/>
      <name val="Cambria"/>
      <family val="1"/>
      <scheme val="major"/>
    </font>
    <font>
      <sz val="11"/>
      <color indexed="8"/>
      <name val="Arial"/>
      <family val="2"/>
    </font>
    <font>
      <b/>
      <u/>
      <sz val="12"/>
      <color rgb="FF3333FF"/>
      <name val="Cambria"/>
      <family val="1"/>
    </font>
    <font>
      <sz val="12"/>
      <color rgb="FF3333FF"/>
      <name val="Cambria"/>
      <family val="1"/>
    </font>
    <font>
      <sz val="11"/>
      <color rgb="FF008000"/>
      <name val="Cambria"/>
      <family val="1"/>
      <scheme val="major"/>
    </font>
    <font>
      <sz val="11"/>
      <color theme="1"/>
      <name val="Cambria"/>
      <family val="1"/>
      <scheme val="major"/>
    </font>
    <font>
      <b/>
      <sz val="11"/>
      <color theme="1"/>
      <name val="Cambria"/>
      <family val="1"/>
      <scheme val="major"/>
    </font>
    <font>
      <b/>
      <u/>
      <sz val="11"/>
      <color theme="1"/>
      <name val="Cambria"/>
      <family val="1"/>
      <scheme val="major"/>
    </font>
    <font>
      <b/>
      <sz val="11"/>
      <color rgb="FF008000"/>
      <name val="Cambria"/>
      <family val="1"/>
      <scheme val="major"/>
    </font>
    <font>
      <b/>
      <u/>
      <sz val="11"/>
      <color rgb="FF008000"/>
      <name val="Cambria"/>
      <family val="1"/>
      <scheme val="major"/>
    </font>
    <font>
      <i/>
      <sz val="10"/>
      <color theme="1"/>
      <name val="Cambria"/>
      <family val="1"/>
    </font>
    <font>
      <i/>
      <sz val="10"/>
      <name val="Cambria"/>
      <family val="1"/>
    </font>
    <font>
      <i/>
      <sz val="10"/>
      <color rgb="FF3333FF"/>
      <name val="Cambria"/>
      <family val="1"/>
    </font>
  </fonts>
  <fills count="26">
    <fill>
      <patternFill patternType="none"/>
    </fill>
    <fill>
      <patternFill patternType="gray125"/>
    </fill>
    <fill>
      <patternFill patternType="solid">
        <fgColor theme="4" tint="0.7999816888943144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FFFF99"/>
        <bgColor indexed="64"/>
      </patternFill>
    </fill>
    <fill>
      <patternFill patternType="solid">
        <fgColor rgb="FFFFFF00"/>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FFCC"/>
        <bgColor indexed="64"/>
      </patternFill>
    </fill>
    <fill>
      <patternFill patternType="solid">
        <fgColor indexed="43"/>
        <bgColor indexed="64"/>
      </patternFill>
    </fill>
    <fill>
      <patternFill patternType="solid">
        <fgColor rgb="FF99CCFF"/>
        <bgColor indexed="64"/>
      </patternFill>
    </fill>
    <fill>
      <patternFill patternType="solid">
        <fgColor indexed="42"/>
        <bgColor indexed="64"/>
      </patternFill>
    </fill>
    <fill>
      <patternFill patternType="solid">
        <fgColor rgb="FFCCFFCC"/>
        <bgColor indexed="64"/>
      </patternFill>
    </fill>
    <fill>
      <patternFill patternType="solid">
        <fgColor indexed="9"/>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39997558519241921"/>
        <bgColor indexed="64"/>
      </patternFill>
    </fill>
  </fills>
  <borders count="132">
    <border>
      <left/>
      <right/>
      <top/>
      <bottom/>
      <diagonal/>
    </border>
    <border>
      <left/>
      <right/>
      <top style="thin">
        <color indexed="64"/>
      </top>
      <bottom/>
      <diagonal/>
    </border>
    <border>
      <left/>
      <right/>
      <top/>
      <bottom style="thin">
        <color indexed="64"/>
      </bottom>
      <diagonal/>
    </border>
    <border>
      <left/>
      <right/>
      <top/>
      <bottom style="dashed">
        <color auto="1"/>
      </bottom>
      <diagonal/>
    </border>
    <border>
      <left/>
      <right style="thick">
        <color rgb="FFC00000"/>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double">
        <color indexed="64"/>
      </bottom>
      <diagonal/>
    </border>
    <border>
      <left/>
      <right/>
      <top style="thick">
        <color theme="3" tint="0.59996337778862885"/>
      </top>
      <bottom/>
      <diagonal/>
    </border>
    <border>
      <left style="thick">
        <color theme="3" tint="0.59996337778862885"/>
      </left>
      <right style="thick">
        <color theme="3" tint="0.59996337778862885"/>
      </right>
      <top style="thin">
        <color indexed="64"/>
      </top>
      <bottom style="thick">
        <color theme="3" tint="0.59996337778862885"/>
      </bottom>
      <diagonal/>
    </border>
    <border>
      <left style="thick">
        <color theme="3" tint="0.59996337778862885"/>
      </left>
      <right style="thick">
        <color theme="3" tint="0.59996337778862885"/>
      </right>
      <top/>
      <bottom style="thin">
        <color indexed="64"/>
      </bottom>
      <diagonal/>
    </border>
    <border>
      <left/>
      <right/>
      <top style="dashed">
        <color theme="5" tint="0.59996337778862885"/>
      </top>
      <bottom style="dashed">
        <color theme="5" tint="0.59996337778862885"/>
      </bottom>
      <diagonal/>
    </border>
    <border>
      <left style="thick">
        <color theme="3" tint="0.59996337778862885"/>
      </left>
      <right style="thick">
        <color theme="3" tint="0.59996337778862885"/>
      </right>
      <top/>
      <bottom/>
      <diagonal/>
    </border>
    <border>
      <left/>
      <right/>
      <top/>
      <bottom style="dashed">
        <color theme="5" tint="0.59996337778862885"/>
      </bottom>
      <diagonal/>
    </border>
    <border>
      <left style="thick">
        <color theme="3" tint="0.39994506668294322"/>
      </left>
      <right style="thick">
        <color theme="3" tint="0.39991454817346722"/>
      </right>
      <top/>
      <bottom/>
      <diagonal/>
    </border>
    <border>
      <left/>
      <right style="thick">
        <color theme="3" tint="0.39994506668294322"/>
      </right>
      <top/>
      <bottom/>
      <diagonal/>
    </border>
    <border>
      <left style="thick">
        <color theme="3" tint="0.39994506668294322"/>
      </left>
      <right style="thick">
        <color theme="3" tint="0.39994506668294322"/>
      </right>
      <top/>
      <bottom/>
      <diagonal/>
    </border>
    <border>
      <left style="thick">
        <color theme="3" tint="0.39994506668294322"/>
      </left>
      <right style="thick">
        <color theme="3" tint="0.39991454817346722"/>
      </right>
      <top style="thick">
        <color theme="3" tint="0.39991454817346722"/>
      </top>
      <bottom style="thin">
        <color indexed="64"/>
      </bottom>
      <diagonal/>
    </border>
    <border>
      <left style="thick">
        <color rgb="FF3333FF"/>
      </left>
      <right style="thick">
        <color rgb="FF3333FF"/>
      </right>
      <top style="thin">
        <color indexed="64"/>
      </top>
      <bottom/>
      <diagonal/>
    </border>
    <border>
      <left style="thick">
        <color rgb="FF3333FF"/>
      </left>
      <right style="thick">
        <color rgb="FF3333FF"/>
      </right>
      <top/>
      <bottom style="thin">
        <color auto="1"/>
      </bottom>
      <diagonal/>
    </border>
    <border>
      <left style="thin">
        <color indexed="64"/>
      </left>
      <right/>
      <top/>
      <bottom style="hair">
        <color indexed="23"/>
      </bottom>
      <diagonal/>
    </border>
    <border>
      <left/>
      <right/>
      <top/>
      <bottom style="hair">
        <color indexed="23"/>
      </bottom>
      <diagonal/>
    </border>
    <border>
      <left style="thick">
        <color rgb="FF3333FF"/>
      </left>
      <right style="thick">
        <color rgb="FF3333FF"/>
      </right>
      <top/>
      <bottom style="hair">
        <color indexed="23"/>
      </bottom>
      <diagonal/>
    </border>
    <border>
      <left style="thin">
        <color indexed="64"/>
      </left>
      <right/>
      <top style="hair">
        <color indexed="23"/>
      </top>
      <bottom style="hair">
        <color indexed="23"/>
      </bottom>
      <diagonal/>
    </border>
    <border>
      <left/>
      <right/>
      <top style="hair">
        <color indexed="23"/>
      </top>
      <bottom style="hair">
        <color indexed="23"/>
      </bottom>
      <diagonal/>
    </border>
    <border>
      <left style="thick">
        <color rgb="FF3333FF"/>
      </left>
      <right style="thick">
        <color rgb="FF3333FF"/>
      </right>
      <top style="hair">
        <color indexed="23"/>
      </top>
      <bottom style="hair">
        <color indexed="23"/>
      </bottom>
      <diagonal/>
    </border>
    <border>
      <left/>
      <right/>
      <top style="hair">
        <color indexed="23"/>
      </top>
      <bottom style="thin">
        <color indexed="64"/>
      </bottom>
      <diagonal/>
    </border>
    <border>
      <left style="thick">
        <color rgb="FF3333FF"/>
      </left>
      <right style="thick">
        <color rgb="FF3333FF"/>
      </right>
      <top style="hair">
        <color indexed="23"/>
      </top>
      <bottom style="thin">
        <color indexed="64"/>
      </bottom>
      <diagonal/>
    </border>
    <border>
      <left style="thin">
        <color indexed="64"/>
      </left>
      <right/>
      <top style="thin">
        <color indexed="64"/>
      </top>
      <bottom style="thin">
        <color indexed="64"/>
      </bottom>
      <diagonal/>
    </border>
    <border>
      <left style="thick">
        <color rgb="FF3333FF"/>
      </left>
      <right style="thick">
        <color rgb="FF3333FF"/>
      </right>
      <top style="thin">
        <color indexed="64"/>
      </top>
      <bottom style="thin">
        <color auto="1"/>
      </bottom>
      <diagonal/>
    </border>
    <border>
      <left/>
      <right style="thin">
        <color indexed="64"/>
      </right>
      <top style="thin">
        <color indexed="64"/>
      </top>
      <bottom style="thin">
        <color indexed="64"/>
      </bottom>
      <diagonal/>
    </border>
    <border>
      <left style="thick">
        <color rgb="FF3333FF"/>
      </left>
      <right style="thick">
        <color rgb="FF3333FF"/>
      </right>
      <top/>
      <bottom/>
      <diagonal/>
    </border>
    <border>
      <left style="thin">
        <color indexed="64"/>
      </left>
      <right/>
      <top style="hair">
        <color indexed="23"/>
      </top>
      <bottom style="thin">
        <color indexed="64"/>
      </bottom>
      <diagonal/>
    </border>
    <border>
      <left style="thick">
        <color rgb="FF3333FF"/>
      </left>
      <right style="thick">
        <color rgb="FF3333FF"/>
      </right>
      <top style="hair">
        <color indexed="23"/>
      </top>
      <bottom style="hair">
        <color indexed="64"/>
      </bottom>
      <diagonal/>
    </border>
    <border>
      <left/>
      <right/>
      <top/>
      <bottom style="hair">
        <color auto="1"/>
      </bottom>
      <diagonal/>
    </border>
    <border>
      <left/>
      <right/>
      <top style="hair">
        <color auto="1"/>
      </top>
      <bottom style="hair">
        <color auto="1"/>
      </bottom>
      <diagonal/>
    </border>
    <border>
      <left/>
      <right/>
      <top style="hair">
        <color auto="1"/>
      </top>
      <bottom style="thin">
        <color indexed="64"/>
      </bottom>
      <diagonal/>
    </border>
    <border>
      <left/>
      <right/>
      <top style="hair">
        <color auto="1"/>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diagonal/>
    </border>
    <border>
      <left style="thin">
        <color indexed="64"/>
      </left>
      <right style="thin">
        <color indexed="64"/>
      </right>
      <top style="double">
        <color indexed="64"/>
      </top>
      <bottom/>
      <diagonal/>
    </border>
    <border>
      <left style="thin">
        <color indexed="64"/>
      </left>
      <right style="thin">
        <color indexed="64"/>
      </right>
      <top style="hair">
        <color auto="1"/>
      </top>
      <bottom style="thin">
        <color indexed="64"/>
      </bottom>
      <diagonal/>
    </border>
    <border>
      <left style="thin">
        <color indexed="64"/>
      </left>
      <right/>
      <top style="thin">
        <color indexed="64"/>
      </top>
      <bottom style="double">
        <color indexed="64"/>
      </bottom>
      <diagonal/>
    </border>
    <border>
      <left style="thin">
        <color indexed="64"/>
      </left>
      <right/>
      <top style="hair">
        <color auto="1"/>
      </top>
      <bottom style="hair">
        <color auto="1"/>
      </bottom>
      <diagonal/>
    </border>
    <border>
      <left style="thin">
        <color indexed="64"/>
      </left>
      <right/>
      <top style="hair">
        <color auto="1"/>
      </top>
      <bottom/>
      <diagonal/>
    </border>
    <border>
      <left style="thin">
        <color indexed="64"/>
      </left>
      <right/>
      <top style="hair">
        <color auto="1"/>
      </top>
      <bottom style="thin">
        <color indexed="64"/>
      </bottom>
      <diagonal/>
    </border>
    <border>
      <left style="thin">
        <color indexed="64"/>
      </left>
      <right/>
      <top/>
      <bottom style="hair">
        <color auto="1"/>
      </bottom>
      <diagonal/>
    </border>
    <border>
      <left style="thin">
        <color indexed="64"/>
      </left>
      <right style="thin">
        <color indexed="64"/>
      </right>
      <top/>
      <bottom style="hair">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hair">
        <color auto="1"/>
      </bottom>
      <diagonal/>
    </border>
    <border>
      <left/>
      <right/>
      <top style="thin">
        <color indexed="64"/>
      </top>
      <bottom style="hair">
        <color auto="1"/>
      </bottom>
      <diagonal/>
    </border>
    <border>
      <left/>
      <right style="thin">
        <color indexed="64"/>
      </right>
      <top style="hair">
        <color auto="1"/>
      </top>
      <bottom style="hair">
        <color auto="1"/>
      </bottom>
      <diagonal/>
    </border>
    <border>
      <left/>
      <right style="thin">
        <color indexed="64"/>
      </right>
      <top/>
      <bottom style="hair">
        <color auto="1"/>
      </bottom>
      <diagonal/>
    </border>
    <border>
      <left style="thin">
        <color indexed="64"/>
      </left>
      <right/>
      <top style="double">
        <color indexed="64"/>
      </top>
      <bottom/>
      <diagonal/>
    </border>
    <border>
      <left/>
      <right/>
      <top style="double">
        <color indexed="64"/>
      </top>
      <bottom/>
      <diagonal/>
    </border>
    <border>
      <left style="thin">
        <color indexed="64"/>
      </left>
      <right style="thin">
        <color indexed="64"/>
      </right>
      <top style="thin">
        <color indexed="64"/>
      </top>
      <bottom style="hair">
        <color auto="1"/>
      </bottom>
      <diagonal/>
    </border>
    <border>
      <left/>
      <right style="thin">
        <color indexed="64"/>
      </right>
      <top style="hair">
        <color indexed="64"/>
      </top>
      <bottom/>
      <diagonal/>
    </border>
    <border>
      <left/>
      <right style="thin">
        <color indexed="64"/>
      </right>
      <top style="double">
        <color indexed="64"/>
      </top>
      <bottom/>
      <diagonal/>
    </border>
    <border>
      <left/>
      <right/>
      <top style="double">
        <color indexed="64"/>
      </top>
      <bottom style="thin">
        <color indexed="64"/>
      </bottom>
      <diagonal/>
    </border>
    <border>
      <left style="thin">
        <color indexed="64"/>
      </left>
      <right style="thin">
        <color indexed="64"/>
      </right>
      <top/>
      <bottom style="hair">
        <color indexed="23"/>
      </bottom>
      <diagonal/>
    </border>
    <border>
      <left style="thin">
        <color indexed="64"/>
      </left>
      <right style="thin">
        <color indexed="64"/>
      </right>
      <top style="hair">
        <color indexed="23"/>
      </top>
      <bottom style="hair">
        <color indexed="23"/>
      </bottom>
      <diagonal/>
    </border>
    <border>
      <left style="thin">
        <color indexed="64"/>
      </left>
      <right style="thin">
        <color indexed="64"/>
      </right>
      <top style="hair">
        <color indexed="23"/>
      </top>
      <bottom style="thin">
        <color indexed="64"/>
      </bottom>
      <diagonal/>
    </border>
    <border>
      <left style="thin">
        <color indexed="64"/>
      </left>
      <right style="thick">
        <color rgb="FF3333FF"/>
      </right>
      <top style="thin">
        <color indexed="64"/>
      </top>
      <bottom style="thin">
        <color auto="1"/>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style="hair">
        <color indexed="23"/>
      </bottom>
      <diagonal/>
    </border>
    <border>
      <left style="double">
        <color indexed="64"/>
      </left>
      <right/>
      <top style="hair">
        <color indexed="23"/>
      </top>
      <bottom style="hair">
        <color indexed="23"/>
      </bottom>
      <diagonal/>
    </border>
    <border>
      <left style="double">
        <color indexed="64"/>
      </left>
      <right/>
      <top style="hair">
        <color indexed="23"/>
      </top>
      <bottom style="thin">
        <color indexed="64"/>
      </bottom>
      <diagonal/>
    </border>
    <border>
      <left style="double">
        <color indexed="64"/>
      </left>
      <right/>
      <top/>
      <bottom/>
      <diagonal/>
    </border>
    <border>
      <left style="double">
        <color indexed="64"/>
      </left>
      <right/>
      <top style="thin">
        <color indexed="64"/>
      </top>
      <bottom style="hair">
        <color auto="1"/>
      </bottom>
      <diagonal/>
    </border>
    <border>
      <left style="double">
        <color indexed="64"/>
      </left>
      <right/>
      <top style="hair">
        <color auto="1"/>
      </top>
      <bottom style="hair">
        <color auto="1"/>
      </bottom>
      <diagonal/>
    </border>
    <border>
      <left style="double">
        <color indexed="64"/>
      </left>
      <right/>
      <top/>
      <bottom style="hair">
        <color indexed="64"/>
      </bottom>
      <diagonal/>
    </border>
    <border>
      <left style="thin">
        <color indexed="64"/>
      </left>
      <right style="thick">
        <color rgb="FF3333FF"/>
      </right>
      <top style="thin">
        <color indexed="64"/>
      </top>
      <bottom/>
      <diagonal/>
    </border>
    <border>
      <left style="thin">
        <color indexed="64"/>
      </left>
      <right style="thick">
        <color rgb="FF3333FF"/>
      </right>
      <top/>
      <bottom style="thin">
        <color auto="1"/>
      </bottom>
      <diagonal/>
    </border>
    <border>
      <left style="thin">
        <color indexed="64"/>
      </left>
      <right style="thick">
        <color rgb="FF3333FF"/>
      </right>
      <top/>
      <bottom style="hair">
        <color indexed="23"/>
      </bottom>
      <diagonal/>
    </border>
    <border>
      <left style="thin">
        <color indexed="64"/>
      </left>
      <right style="thick">
        <color rgb="FF3333FF"/>
      </right>
      <top style="hair">
        <color indexed="23"/>
      </top>
      <bottom style="hair">
        <color indexed="23"/>
      </bottom>
      <diagonal/>
    </border>
    <border>
      <left style="thin">
        <color indexed="64"/>
      </left>
      <right style="thick">
        <color rgb="FF3333FF"/>
      </right>
      <top style="hair">
        <color indexed="23"/>
      </top>
      <bottom style="thin">
        <color indexed="64"/>
      </bottom>
      <diagonal/>
    </border>
    <border>
      <left style="thin">
        <color indexed="64"/>
      </left>
      <right style="thick">
        <color rgb="FF3333FF"/>
      </right>
      <top/>
      <bottom/>
      <diagonal/>
    </border>
    <border>
      <left style="thin">
        <color indexed="64"/>
      </left>
      <right style="thick">
        <color rgb="FF3333FF"/>
      </right>
      <top style="hair">
        <color indexed="23"/>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style="hair">
        <color auto="1"/>
      </top>
      <bottom style="hair">
        <color auto="1"/>
      </bottom>
      <diagonal/>
    </border>
    <border>
      <left style="thin">
        <color indexed="64"/>
      </left>
      <right/>
      <top style="hair">
        <color auto="1"/>
      </top>
      <bottom style="hair">
        <color auto="1"/>
      </bottom>
      <diagonal/>
    </border>
    <border>
      <left style="thin">
        <color indexed="64"/>
      </left>
      <right/>
      <top style="hair">
        <color auto="1"/>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thick">
        <color rgb="FF3333FF"/>
      </left>
      <right style="thick">
        <color rgb="FF3333FF"/>
      </right>
      <top/>
      <bottom style="hair">
        <color auto="1"/>
      </bottom>
      <diagonal/>
    </border>
    <border>
      <left style="thick">
        <color rgb="FF3333FF"/>
      </left>
      <right style="thick">
        <color rgb="FF3333FF"/>
      </right>
      <top style="hair">
        <color auto="1"/>
      </top>
      <bottom style="hair">
        <color auto="1"/>
      </bottom>
      <diagonal/>
    </border>
    <border>
      <left style="thick">
        <color rgb="FF3333FF"/>
      </left>
      <right style="thick">
        <color rgb="FF3333FF"/>
      </right>
      <top style="thin">
        <color indexed="64"/>
      </top>
      <bottom style="double">
        <color indexed="64"/>
      </bottom>
      <diagonal/>
    </border>
    <border>
      <left style="thick">
        <color rgb="FF3333FF"/>
      </left>
      <right style="thick">
        <color rgb="FF3333FF"/>
      </right>
      <top style="double">
        <color indexed="64"/>
      </top>
      <bottom/>
      <diagonal/>
    </border>
    <border>
      <left style="thick">
        <color rgb="FF3333FF"/>
      </left>
      <right style="thick">
        <color rgb="FF3333FF"/>
      </right>
      <top style="hair">
        <color auto="1"/>
      </top>
      <bottom/>
      <diagonal/>
    </border>
    <border>
      <left style="thick">
        <color rgb="FF3333FF"/>
      </left>
      <right style="thick">
        <color rgb="FF3333FF"/>
      </right>
      <top/>
      <bottom style="double">
        <color indexed="64"/>
      </bottom>
      <diagonal/>
    </border>
    <border>
      <left style="thick">
        <color rgb="FF3333FF"/>
      </left>
      <right style="thick">
        <color rgb="FF3333FF"/>
      </right>
      <top/>
      <bottom style="thick">
        <color rgb="FF3333FF"/>
      </bottom>
      <diagonal/>
    </border>
    <border>
      <left style="thin">
        <color indexed="64"/>
      </left>
      <right/>
      <top style="hair">
        <color auto="1"/>
      </top>
      <bottom style="thin">
        <color indexed="64"/>
      </bottom>
      <diagonal/>
    </border>
    <border>
      <left/>
      <right style="thin">
        <color indexed="64"/>
      </right>
      <top style="hair">
        <color auto="1"/>
      </top>
      <bottom style="thin">
        <color indexed="64"/>
      </bottom>
      <diagonal/>
    </border>
    <border>
      <left style="thick">
        <color rgb="FF3333FF"/>
      </left>
      <right style="thick">
        <color rgb="FF3333FF"/>
      </right>
      <top style="hair">
        <color auto="1"/>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ck">
        <color rgb="FF3333FF"/>
      </left>
      <right style="thick">
        <color rgb="FF3333FF"/>
      </right>
      <top style="thin">
        <color indexed="64"/>
      </top>
      <bottom style="hair">
        <color auto="1"/>
      </bottom>
      <diagonal/>
    </border>
    <border>
      <left style="thick">
        <color rgb="FF3333FF"/>
      </left>
      <right style="thick">
        <color rgb="FF3333FF"/>
      </right>
      <top style="double">
        <color indexed="64"/>
      </top>
      <bottom style="thin">
        <color indexed="64"/>
      </bottom>
      <diagonal/>
    </border>
    <border>
      <left style="thick">
        <color rgb="FF3333FF"/>
      </left>
      <right style="thick">
        <color rgb="FF3333FF"/>
      </right>
      <top style="thick">
        <color rgb="FF3333FF"/>
      </top>
      <bottom/>
      <diagonal/>
    </border>
    <border>
      <left/>
      <right style="thick">
        <color theme="3" tint="0.39991454817346722"/>
      </right>
      <top/>
      <bottom style="thin">
        <color indexed="64"/>
      </bottom>
      <diagonal/>
    </border>
    <border>
      <left/>
      <right style="thick">
        <color theme="3" tint="0.39991454817346722"/>
      </right>
      <top/>
      <bottom/>
      <diagonal/>
    </border>
    <border>
      <left/>
      <right style="thick">
        <color theme="3" tint="0.59996337778862885"/>
      </right>
      <top/>
      <bottom/>
      <diagonal/>
    </border>
    <border>
      <left/>
      <right style="thick">
        <color theme="3" tint="0.59996337778862885"/>
      </right>
      <top/>
      <bottom style="thin">
        <color indexed="64"/>
      </bottom>
      <diagonal/>
    </border>
    <border>
      <left/>
      <right style="thick">
        <color theme="3" tint="0.59996337778862885"/>
      </right>
      <top style="thin">
        <color indexed="64"/>
      </top>
      <bottom/>
      <diagonal/>
    </border>
    <border>
      <left/>
      <right style="thin">
        <color indexed="64"/>
      </right>
      <top/>
      <bottom style="hair">
        <color indexed="23"/>
      </bottom>
      <diagonal/>
    </border>
    <border>
      <left/>
      <right style="thin">
        <color indexed="64"/>
      </right>
      <top style="hair">
        <color indexed="23"/>
      </top>
      <bottom style="hair">
        <color indexed="23"/>
      </bottom>
      <diagonal/>
    </border>
    <border>
      <left/>
      <right style="thin">
        <color indexed="64"/>
      </right>
      <top style="hair">
        <color indexed="23"/>
      </top>
      <bottom style="thin">
        <color indexed="64"/>
      </bottom>
      <diagonal/>
    </border>
    <border>
      <left/>
      <right style="double">
        <color indexed="64"/>
      </right>
      <top style="thin">
        <color indexed="64"/>
      </top>
      <bottom style="thin">
        <color indexed="64"/>
      </bottom>
      <diagonal/>
    </border>
    <border>
      <left/>
      <right/>
      <top style="hair">
        <color indexed="23"/>
      </top>
      <bottom style="hair">
        <color indexed="23"/>
      </bottom>
      <diagonal/>
    </border>
    <border>
      <left/>
      <right/>
      <top style="hair">
        <color indexed="23"/>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bottom style="hair">
        <color indexed="23"/>
      </bottom>
      <diagonal/>
    </border>
    <border>
      <left style="thin">
        <color indexed="64"/>
      </left>
      <right style="double">
        <color indexed="64"/>
      </right>
      <top style="hair">
        <color indexed="23"/>
      </top>
      <bottom style="hair">
        <color indexed="23"/>
      </bottom>
      <diagonal/>
    </border>
    <border>
      <left style="thin">
        <color indexed="64"/>
      </left>
      <right style="double">
        <color indexed="64"/>
      </right>
      <top style="hair">
        <color indexed="23"/>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diagonal/>
    </border>
  </borders>
  <cellStyleXfs count="49">
    <xf numFmtId="167" fontId="0" fillId="0" borderId="0"/>
    <xf numFmtId="43" fontId="1" fillId="0" borderId="0" applyFont="0" applyFill="0" applyBorder="0" applyAlignment="0" applyProtection="0"/>
    <xf numFmtId="9" fontId="1" fillId="0" borderId="0" applyFont="0" applyFill="0" applyBorder="0" applyAlignment="0" applyProtection="0"/>
    <xf numFmtId="167" fontId="4" fillId="0" borderId="0"/>
    <xf numFmtId="167" fontId="1" fillId="0" borderId="0"/>
    <xf numFmtId="9" fontId="9" fillId="0" borderId="0" applyFont="0" applyFill="0" applyBorder="0" applyAlignment="0" applyProtection="0"/>
    <xf numFmtId="167" fontId="10" fillId="0" borderId="0"/>
    <xf numFmtId="167" fontId="1" fillId="0" borderId="0"/>
    <xf numFmtId="43" fontId="9"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1" fillId="0" borderId="0"/>
    <xf numFmtId="167" fontId="1" fillId="0" borderId="0"/>
    <xf numFmtId="167" fontId="12"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167" fontId="9" fillId="0" borderId="0"/>
    <xf numFmtId="167" fontId="9" fillId="0" borderId="0"/>
    <xf numFmtId="167" fontId="1" fillId="0" borderId="0"/>
    <xf numFmtId="167" fontId="4" fillId="0" borderId="0"/>
    <xf numFmtId="44"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167" fontId="9" fillId="0" borderId="0"/>
    <xf numFmtId="0" fontId="4" fillId="0" borderId="0"/>
    <xf numFmtId="44" fontId="4"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42" fillId="0" borderId="0"/>
  </cellStyleXfs>
  <cellXfs count="2218">
    <xf numFmtId="167" fontId="0" fillId="0" borderId="0" xfId="0"/>
    <xf numFmtId="167" fontId="2" fillId="0" borderId="0" xfId="0" applyFont="1" applyAlignment="1">
      <alignment horizontal="right"/>
    </xf>
    <xf numFmtId="43" fontId="0" fillId="0" borderId="0" xfId="1" applyFont="1"/>
    <xf numFmtId="43" fontId="0" fillId="0" borderId="0" xfId="1" applyFont="1" applyAlignment="1">
      <alignment horizontal="center"/>
    </xf>
    <xf numFmtId="167" fontId="2" fillId="0" borderId="0" xfId="0" applyFont="1" applyBorder="1"/>
    <xf numFmtId="43" fontId="2" fillId="0" borderId="0" xfId="1" applyFont="1" applyBorder="1" applyAlignment="1">
      <alignment horizontal="center"/>
    </xf>
    <xf numFmtId="43" fontId="2" fillId="0" borderId="0" xfId="1" applyFont="1" applyBorder="1"/>
    <xf numFmtId="167" fontId="2" fillId="0" borderId="0" xfId="0" applyFont="1" applyBorder="1" applyAlignment="1">
      <alignment horizontal="left"/>
    </xf>
    <xf numFmtId="43" fontId="2" fillId="0" borderId="1" xfId="1" applyFont="1" applyBorder="1" applyAlignment="1">
      <alignment horizontal="center"/>
    </xf>
    <xf numFmtId="43" fontId="2" fillId="0" borderId="0" xfId="1" applyFont="1" applyAlignment="1">
      <alignment horizontal="center"/>
    </xf>
    <xf numFmtId="43" fontId="2" fillId="0" borderId="0" xfId="1" applyFont="1"/>
    <xf numFmtId="164" fontId="0" fillId="0" borderId="0" xfId="0" applyNumberFormat="1" applyFont="1" applyAlignment="1">
      <alignment horizontal="left"/>
    </xf>
    <xf numFmtId="49" fontId="0" fillId="0" borderId="0" xfId="0" applyNumberFormat="1" applyFont="1" applyAlignment="1">
      <alignment horizontal="right"/>
    </xf>
    <xf numFmtId="167" fontId="2" fillId="0" borderId="0" xfId="0" applyFont="1"/>
    <xf numFmtId="43" fontId="2" fillId="0" borderId="2" xfId="1" applyFont="1" applyBorder="1" applyAlignment="1">
      <alignment horizontal="center"/>
    </xf>
    <xf numFmtId="9" fontId="2" fillId="0" borderId="0" xfId="2" applyFont="1" applyAlignment="1">
      <alignment horizontal="center"/>
    </xf>
    <xf numFmtId="43" fontId="0" fillId="0" borderId="0" xfId="0" applyNumberFormat="1"/>
    <xf numFmtId="43" fontId="0" fillId="0" borderId="2" xfId="1" applyFont="1" applyBorder="1"/>
    <xf numFmtId="43" fontId="0" fillId="0" borderId="0" xfId="1" applyNumberFormat="1" applyFont="1" applyAlignment="1">
      <alignment horizontal="center"/>
    </xf>
    <xf numFmtId="43" fontId="2" fillId="0" borderId="0" xfId="0" applyNumberFormat="1" applyFont="1" applyAlignment="1">
      <alignment horizontal="center"/>
    </xf>
    <xf numFmtId="49" fontId="2" fillId="0" borderId="0" xfId="0" applyNumberFormat="1" applyFont="1" applyAlignment="1">
      <alignment horizontal="right"/>
    </xf>
    <xf numFmtId="49" fontId="2" fillId="0" borderId="0" xfId="0" applyNumberFormat="1" applyFont="1" applyAlignment="1">
      <alignment horizontal="left"/>
    </xf>
    <xf numFmtId="49" fontId="2" fillId="0" borderId="0" xfId="0" applyNumberFormat="1" applyFont="1" applyBorder="1" applyAlignment="1">
      <alignment horizontal="left"/>
    </xf>
    <xf numFmtId="14" fontId="2" fillId="5" borderId="0" xfId="0" applyNumberFormat="1" applyFont="1" applyFill="1" applyAlignment="1">
      <alignment horizontal="left"/>
    </xf>
    <xf numFmtId="43" fontId="0" fillId="0" borderId="1" xfId="1" applyFont="1" applyBorder="1" applyAlignment="1">
      <alignment horizontal="center"/>
    </xf>
    <xf numFmtId="43" fontId="0" fillId="0" borderId="0" xfId="1" applyFont="1" applyBorder="1" applyAlignment="1">
      <alignment horizontal="center"/>
    </xf>
    <xf numFmtId="167" fontId="2" fillId="0" borderId="0" xfId="0" applyFont="1" applyBorder="1" applyAlignment="1">
      <alignment horizontal="right"/>
    </xf>
    <xf numFmtId="43" fontId="0" fillId="0" borderId="0" xfId="1" applyNumberFormat="1" applyFont="1" applyBorder="1" applyAlignment="1">
      <alignment horizontal="center"/>
    </xf>
    <xf numFmtId="14" fontId="2" fillId="0" borderId="0" xfId="0" applyNumberFormat="1" applyFont="1" applyFill="1" applyBorder="1" applyAlignment="1">
      <alignment horizontal="left"/>
    </xf>
    <xf numFmtId="43" fontId="2" fillId="0" borderId="0" xfId="1" applyFont="1" applyFill="1" applyBorder="1" applyAlignment="1">
      <alignment horizontal="center"/>
    </xf>
    <xf numFmtId="43" fontId="0" fillId="0" borderId="0" xfId="1" applyFont="1" applyBorder="1" applyAlignment="1">
      <alignment horizontal="left"/>
    </xf>
    <xf numFmtId="43" fontId="2" fillId="0" borderId="0" xfId="0" applyNumberFormat="1" applyFont="1" applyBorder="1" applyAlignment="1">
      <alignment horizontal="left"/>
    </xf>
    <xf numFmtId="43" fontId="2" fillId="0" borderId="0" xfId="1" applyFont="1" applyFill="1" applyBorder="1" applyAlignment="1">
      <alignment horizontal="left"/>
    </xf>
    <xf numFmtId="43" fontId="2" fillId="0" borderId="0" xfId="1" applyFont="1" applyBorder="1" applyAlignment="1">
      <alignment horizontal="left"/>
    </xf>
    <xf numFmtId="43" fontId="5" fillId="0" borderId="0" xfId="1" applyFont="1" applyBorder="1" applyAlignment="1">
      <alignment horizontal="left"/>
    </xf>
    <xf numFmtId="43" fontId="5" fillId="0" borderId="0" xfId="1" applyFont="1" applyBorder="1" applyAlignment="1">
      <alignment horizontal="center"/>
    </xf>
    <xf numFmtId="43" fontId="0" fillId="0" borderId="0" xfId="1" applyFont="1" applyBorder="1"/>
    <xf numFmtId="43" fontId="2" fillId="0" borderId="0" xfId="1" applyFont="1" applyAlignment="1">
      <alignment horizontal="right"/>
    </xf>
    <xf numFmtId="43" fontId="2" fillId="0" borderId="1" xfId="0" applyNumberFormat="1" applyFont="1" applyBorder="1"/>
    <xf numFmtId="167" fontId="0" fillId="0" borderId="0" xfId="0" applyFont="1"/>
    <xf numFmtId="167" fontId="0" fillId="0" borderId="2" xfId="0" applyFont="1" applyBorder="1"/>
    <xf numFmtId="167" fontId="0" fillId="0" borderId="2" xfId="0" applyFont="1" applyBorder="1" applyAlignment="1">
      <alignment horizontal="center"/>
    </xf>
    <xf numFmtId="165" fontId="0" fillId="0" borderId="2" xfId="0" applyNumberFormat="1" applyFont="1" applyBorder="1" applyAlignment="1">
      <alignment horizontal="left"/>
    </xf>
    <xf numFmtId="167" fontId="0" fillId="0" borderId="0" xfId="0" applyFont="1" applyBorder="1" applyAlignment="1">
      <alignment horizontal="left"/>
    </xf>
    <xf numFmtId="167" fontId="0" fillId="0" borderId="0" xfId="0" applyFont="1" applyAlignment="1">
      <alignment horizontal="center"/>
    </xf>
    <xf numFmtId="43" fontId="0" fillId="0" borderId="0" xfId="0" applyNumberFormat="1" applyFont="1"/>
    <xf numFmtId="167" fontId="0" fillId="0" borderId="0" xfId="0" applyFont="1" applyAlignment="1">
      <alignment horizontal="right"/>
    </xf>
    <xf numFmtId="43" fontId="0" fillId="0" borderId="1" xfId="0" applyNumberFormat="1" applyFont="1" applyBorder="1" applyAlignment="1">
      <alignment horizontal="center"/>
    </xf>
    <xf numFmtId="167" fontId="0" fillId="0" borderId="0" xfId="0" applyFont="1" applyFill="1" applyBorder="1" applyAlignment="1">
      <alignment horizontal="left"/>
    </xf>
    <xf numFmtId="43" fontId="0" fillId="0" borderId="0" xfId="0" applyNumberFormat="1" applyFont="1" applyAlignment="1">
      <alignment horizontal="center"/>
    </xf>
    <xf numFmtId="43" fontId="0" fillId="0" borderId="0" xfId="1" applyFont="1" applyBorder="1" applyAlignment="1"/>
    <xf numFmtId="167" fontId="0" fillId="0" borderId="0" xfId="0" applyFont="1" applyBorder="1"/>
    <xf numFmtId="10" fontId="0" fillId="0" borderId="0" xfId="2" applyNumberFormat="1" applyFont="1" applyAlignment="1">
      <alignment horizontal="right"/>
    </xf>
    <xf numFmtId="43" fontId="2" fillId="0" borderId="0" xfId="0" applyNumberFormat="1" applyFont="1"/>
    <xf numFmtId="167" fontId="2" fillId="0" borderId="0" xfId="0" applyFont="1" applyAlignment="1">
      <alignment horizontal="right" wrapText="1"/>
    </xf>
    <xf numFmtId="49" fontId="3" fillId="0" borderId="0" xfId="0" applyNumberFormat="1" applyFont="1" applyAlignment="1">
      <alignment horizontal="left"/>
    </xf>
    <xf numFmtId="167" fontId="0" fillId="0" borderId="0" xfId="0" applyFont="1" applyFill="1"/>
    <xf numFmtId="43" fontId="2" fillId="0" borderId="0" xfId="1" applyFont="1" applyFill="1" applyBorder="1"/>
    <xf numFmtId="167" fontId="2" fillId="0" borderId="0" xfId="0" applyFont="1" applyFill="1" applyBorder="1"/>
    <xf numFmtId="167" fontId="0" fillId="0" borderId="0" xfId="0" applyFont="1" applyFill="1" applyBorder="1"/>
    <xf numFmtId="43" fontId="0" fillId="0" borderId="0" xfId="0" applyNumberFormat="1" applyFont="1" applyFill="1" applyBorder="1"/>
    <xf numFmtId="43" fontId="0" fillId="0" borderId="0" xfId="1" applyFont="1" applyFill="1" applyBorder="1" applyAlignment="1">
      <alignment horizontal="center"/>
    </xf>
    <xf numFmtId="43" fontId="0" fillId="0" borderId="0" xfId="0" applyNumberFormat="1" applyFont="1" applyFill="1" applyBorder="1" applyAlignment="1">
      <alignment horizontal="center"/>
    </xf>
    <xf numFmtId="167" fontId="0" fillId="0" borderId="0" xfId="0" applyFont="1" applyFill="1" applyBorder="1" applyAlignment="1">
      <alignment horizontal="center"/>
    </xf>
    <xf numFmtId="43" fontId="0" fillId="0" borderId="0" xfId="1" applyNumberFormat="1" applyFont="1" applyFill="1" applyBorder="1" applyAlignment="1">
      <alignment horizontal="center"/>
    </xf>
    <xf numFmtId="9" fontId="2" fillId="0" borderId="0" xfId="2" applyFont="1" applyFill="1" applyBorder="1" applyAlignment="1">
      <alignment horizontal="center"/>
    </xf>
    <xf numFmtId="43" fontId="0" fillId="0" borderId="0" xfId="1" applyFont="1" applyFill="1" applyBorder="1"/>
    <xf numFmtId="43" fontId="0" fillId="0" borderId="0" xfId="0" applyNumberFormat="1" applyFont="1" applyBorder="1"/>
    <xf numFmtId="43" fontId="0" fillId="0" borderId="0" xfId="0" applyNumberFormat="1" applyFont="1" applyBorder="1" applyAlignment="1">
      <alignment horizontal="center"/>
    </xf>
    <xf numFmtId="167" fontId="0" fillId="0" borderId="0" xfId="0" applyFont="1" applyBorder="1" applyAlignment="1">
      <alignment horizontal="center"/>
    </xf>
    <xf numFmtId="9" fontId="2" fillId="0" borderId="0" xfId="2" applyFont="1" applyBorder="1" applyAlignment="1">
      <alignment horizontal="center"/>
    </xf>
    <xf numFmtId="167" fontId="7" fillId="0" borderId="0" xfId="0" applyFont="1" applyBorder="1" applyAlignment="1">
      <alignment horizontal="left"/>
    </xf>
    <xf numFmtId="167" fontId="8" fillId="0" borderId="0" xfId="0" applyFont="1" applyAlignment="1">
      <alignment horizontal="left"/>
    </xf>
    <xf numFmtId="167" fontId="6" fillId="0" borderId="0" xfId="0" applyFont="1" applyAlignment="1">
      <alignment horizontal="left"/>
    </xf>
    <xf numFmtId="167" fontId="7" fillId="0" borderId="0" xfId="0" applyFont="1" applyAlignment="1">
      <alignment horizontal="left"/>
    </xf>
    <xf numFmtId="9" fontId="6" fillId="0" borderId="0" xfId="2" applyFont="1" applyBorder="1" applyAlignment="1">
      <alignment horizontal="left"/>
    </xf>
    <xf numFmtId="167" fontId="2" fillId="0" borderId="0" xfId="0" applyFont="1" applyAlignment="1">
      <alignment wrapText="1"/>
    </xf>
    <xf numFmtId="43" fontId="2" fillId="0" borderId="0" xfId="1" applyNumberFormat="1" applyFont="1" applyAlignment="1">
      <alignment horizontal="center"/>
    </xf>
    <xf numFmtId="43" fontId="2" fillId="0" borderId="1" xfId="0" applyNumberFormat="1" applyFont="1" applyBorder="1" applyAlignment="1">
      <alignment horizontal="center"/>
    </xf>
    <xf numFmtId="43" fontId="5" fillId="0" borderId="0" xfId="1" applyFont="1" applyFill="1" applyBorder="1" applyAlignment="1">
      <alignment horizontal="left"/>
    </xf>
    <xf numFmtId="43" fontId="6" fillId="0" borderId="0" xfId="0" applyNumberFormat="1" applyFont="1" applyAlignment="1">
      <alignment horizontal="left"/>
    </xf>
    <xf numFmtId="9" fontId="0" fillId="0" borderId="0" xfId="2" applyFont="1" applyBorder="1"/>
    <xf numFmtId="171" fontId="0" fillId="0" borderId="0" xfId="1" applyNumberFormat="1" applyFont="1" applyBorder="1"/>
    <xf numFmtId="10" fontId="6" fillId="0" borderId="0" xfId="2" applyNumberFormat="1" applyFont="1" applyAlignment="1">
      <alignment horizontal="right"/>
    </xf>
    <xf numFmtId="166" fontId="6" fillId="0" borderId="0" xfId="2" applyNumberFormat="1" applyFont="1" applyAlignment="1">
      <alignment horizontal="right"/>
    </xf>
    <xf numFmtId="167" fontId="0" fillId="0" borderId="0" xfId="0" applyFont="1" applyBorder="1" applyAlignment="1">
      <alignment horizontal="right"/>
    </xf>
    <xf numFmtId="43" fontId="6" fillId="0" borderId="0" xfId="2" applyNumberFormat="1" applyFont="1" applyBorder="1" applyAlignment="1">
      <alignment horizontal="left"/>
    </xf>
    <xf numFmtId="43" fontId="13" fillId="0" borderId="0" xfId="1" applyFont="1" applyBorder="1" applyAlignment="1">
      <alignment horizontal="left"/>
    </xf>
    <xf numFmtId="167" fontId="14" fillId="0" borderId="0" xfId="0" applyFont="1" applyFill="1" applyAlignment="1">
      <alignment horizontal="center"/>
    </xf>
    <xf numFmtId="167" fontId="15" fillId="0" borderId="0" xfId="0" applyFont="1"/>
    <xf numFmtId="167" fontId="14" fillId="4" borderId="0" xfId="0" applyFont="1" applyFill="1" applyAlignment="1">
      <alignment horizontal="center"/>
    </xf>
    <xf numFmtId="167" fontId="14" fillId="3" borderId="0" xfId="0" applyFont="1" applyFill="1" applyAlignment="1">
      <alignment horizontal="right"/>
    </xf>
    <xf numFmtId="167" fontId="14" fillId="3" borderId="0" xfId="0" applyFont="1" applyFill="1" applyAlignment="1"/>
    <xf numFmtId="167" fontId="14" fillId="0" borderId="0" xfId="0" applyFont="1" applyFill="1" applyBorder="1" applyAlignment="1">
      <alignment horizontal="center"/>
    </xf>
    <xf numFmtId="167" fontId="14" fillId="2" borderId="0" xfId="0" applyFont="1" applyFill="1" applyAlignment="1"/>
    <xf numFmtId="167" fontId="14" fillId="2" borderId="0" xfId="0" applyFont="1" applyFill="1" applyAlignment="1">
      <alignment horizontal="right"/>
    </xf>
    <xf numFmtId="167" fontId="15" fillId="0" borderId="0" xfId="0" applyFont="1" applyAlignment="1">
      <alignment horizontal="right"/>
    </xf>
    <xf numFmtId="43" fontId="6" fillId="0" borderId="0" xfId="1" applyFont="1" applyAlignment="1">
      <alignment horizontal="center"/>
    </xf>
    <xf numFmtId="167" fontId="6" fillId="0" borderId="0" xfId="0" applyFont="1" applyBorder="1" applyAlignment="1">
      <alignment horizontal="left"/>
    </xf>
    <xf numFmtId="43" fontId="6" fillId="0" borderId="0" xfId="1" applyFont="1"/>
    <xf numFmtId="167" fontId="6" fillId="0" borderId="0" xfId="0" applyFont="1"/>
    <xf numFmtId="49" fontId="16" fillId="0" borderId="0" xfId="0" applyNumberFormat="1" applyFont="1" applyAlignment="1">
      <alignment horizontal="left"/>
    </xf>
    <xf numFmtId="49" fontId="2" fillId="0" borderId="0" xfId="0" applyNumberFormat="1" applyFont="1" applyBorder="1" applyAlignment="1">
      <alignment horizontal="right"/>
    </xf>
    <xf numFmtId="167" fontId="2" fillId="0" borderId="0" xfId="0" applyFont="1" applyBorder="1" applyAlignment="1">
      <alignment wrapText="1"/>
    </xf>
    <xf numFmtId="9" fontId="2" fillId="0" borderId="0" xfId="2" applyFont="1" applyAlignment="1">
      <alignment horizontal="left"/>
    </xf>
    <xf numFmtId="167" fontId="18" fillId="0" borderId="0" xfId="0" applyFont="1"/>
    <xf numFmtId="43" fontId="19" fillId="0" borderId="0" xfId="1" applyFont="1" applyFill="1" applyBorder="1" applyAlignment="1">
      <alignment horizontal="left"/>
    </xf>
    <xf numFmtId="43" fontId="0" fillId="0" borderId="3" xfId="1" applyFont="1" applyBorder="1"/>
    <xf numFmtId="43" fontId="0" fillId="0" borderId="0" xfId="1" applyFont="1" applyFill="1"/>
    <xf numFmtId="167" fontId="0" fillId="0" borderId="4" xfId="0" applyFont="1" applyBorder="1"/>
    <xf numFmtId="167" fontId="15" fillId="0" borderId="4" xfId="0" applyFont="1" applyBorder="1" applyAlignment="1">
      <alignment horizontal="right"/>
    </xf>
    <xf numFmtId="167" fontId="2" fillId="0" borderId="4" xfId="0" applyFont="1" applyBorder="1"/>
    <xf numFmtId="43" fontId="0" fillId="0" borderId="1" xfId="1" applyFont="1" applyBorder="1"/>
    <xf numFmtId="43" fontId="0" fillId="0" borderId="0" xfId="1" applyFont="1" applyAlignment="1">
      <alignment horizontal="center" vertical="top"/>
    </xf>
    <xf numFmtId="43" fontId="0" fillId="0" borderId="0" xfId="1" applyFont="1" applyAlignment="1">
      <alignment vertical="top"/>
    </xf>
    <xf numFmtId="43" fontId="0" fillId="0" borderId="0" xfId="1" applyFont="1" applyBorder="1" applyAlignment="1">
      <alignment vertical="top"/>
    </xf>
    <xf numFmtId="43" fontId="0" fillId="0" borderId="0" xfId="1" applyFont="1" applyFill="1" applyBorder="1" applyAlignment="1">
      <alignment vertical="top"/>
    </xf>
    <xf numFmtId="43" fontId="0" fillId="0" borderId="0" xfId="1" applyFont="1" applyBorder="1" applyAlignment="1">
      <alignment horizontal="center" vertical="top"/>
    </xf>
    <xf numFmtId="43" fontId="0" fillId="0" borderId="0" xfId="1" applyFont="1" applyFill="1" applyBorder="1" applyAlignment="1">
      <alignment horizontal="center" vertical="top"/>
    </xf>
    <xf numFmtId="43" fontId="20" fillId="6" borderId="0" xfId="1" applyFont="1" applyFill="1" applyAlignment="1">
      <alignment horizontal="center"/>
    </xf>
    <xf numFmtId="167" fontId="21" fillId="0" borderId="0" xfId="4" applyFont="1" applyAlignment="1">
      <alignment horizontal="right" vertical="top"/>
    </xf>
    <xf numFmtId="43" fontId="2" fillId="0" borderId="1" xfId="1" applyFont="1" applyFill="1" applyBorder="1" applyAlignment="1">
      <alignment horizontal="center"/>
    </xf>
    <xf numFmtId="43" fontId="6" fillId="0" borderId="0" xfId="1" applyFont="1" applyBorder="1" applyAlignment="1">
      <alignment horizontal="left"/>
    </xf>
    <xf numFmtId="43" fontId="6" fillId="0" borderId="0" xfId="1" applyFont="1" applyAlignment="1">
      <alignment horizontal="left"/>
    </xf>
    <xf numFmtId="43" fontId="14" fillId="2" borderId="0" xfId="1" applyFont="1" applyFill="1" applyAlignment="1">
      <alignment horizontal="right"/>
    </xf>
    <xf numFmtId="43" fontId="0" fillId="0" borderId="0" xfId="1" applyFont="1" applyAlignment="1">
      <alignment horizontal="left"/>
    </xf>
    <xf numFmtId="43" fontId="2" fillId="0" borderId="0" xfId="1" applyFont="1" applyAlignment="1">
      <alignment horizontal="left"/>
    </xf>
    <xf numFmtId="43" fontId="7" fillId="0" borderId="0" xfId="1" applyFont="1" applyAlignment="1">
      <alignment horizontal="left"/>
    </xf>
    <xf numFmtId="43" fontId="7" fillId="0" borderId="0" xfId="1" applyFont="1" applyBorder="1" applyAlignment="1">
      <alignment horizontal="left"/>
    </xf>
    <xf numFmtId="43" fontId="6" fillId="0" borderId="0" xfId="1" applyFont="1" applyAlignment="1">
      <alignment horizontal="right"/>
    </xf>
    <xf numFmtId="43" fontId="0" fillId="0" borderId="0" xfId="1" applyFont="1" applyAlignment="1">
      <alignment horizontal="right"/>
    </xf>
    <xf numFmtId="167" fontId="24" fillId="0" borderId="0" xfId="0" applyFont="1" applyFill="1"/>
    <xf numFmtId="49" fontId="25" fillId="0" borderId="0" xfId="0" applyNumberFormat="1" applyFont="1" applyBorder="1" applyAlignment="1">
      <alignment horizontal="right"/>
    </xf>
    <xf numFmtId="10" fontId="26" fillId="0" borderId="0" xfId="2" applyNumberFormat="1" applyFont="1" applyAlignment="1">
      <alignment horizontal="right"/>
    </xf>
    <xf numFmtId="43" fontId="26" fillId="0" borderId="0" xfId="1" applyFont="1" applyAlignment="1">
      <alignment horizontal="right"/>
    </xf>
    <xf numFmtId="43" fontId="24" fillId="0" borderId="0" xfId="1" applyFont="1" applyFill="1" applyBorder="1" applyAlignment="1">
      <alignment horizontal="center"/>
    </xf>
    <xf numFmtId="43" fontId="26" fillId="0" borderId="0" xfId="1" applyFont="1" applyAlignment="1">
      <alignment horizontal="left"/>
    </xf>
    <xf numFmtId="167" fontId="24" fillId="0" borderId="0" xfId="0" applyFont="1"/>
    <xf numFmtId="167" fontId="26" fillId="0" borderId="0" xfId="0" applyFont="1" applyAlignment="1">
      <alignment horizontal="left"/>
    </xf>
    <xf numFmtId="167" fontId="24" fillId="0" borderId="4" xfId="0" applyFont="1" applyBorder="1"/>
    <xf numFmtId="43" fontId="24" fillId="0" borderId="0" xfId="1" applyFont="1" applyFill="1" applyBorder="1"/>
    <xf numFmtId="167" fontId="24" fillId="0" borderId="0" xfId="0" applyFont="1" applyAlignment="1">
      <alignment horizontal="right"/>
    </xf>
    <xf numFmtId="43" fontId="24" fillId="0" borderId="0" xfId="1" applyFont="1" applyAlignment="1">
      <alignment horizontal="right"/>
    </xf>
    <xf numFmtId="167" fontId="24" fillId="0" borderId="0" xfId="0" applyFont="1" applyFill="1" applyBorder="1"/>
    <xf numFmtId="43" fontId="24" fillId="0" borderId="0" xfId="1" applyFont="1"/>
    <xf numFmtId="43" fontId="24" fillId="0" borderId="1" xfId="1" applyFont="1" applyBorder="1" applyAlignment="1">
      <alignment horizontal="right"/>
    </xf>
    <xf numFmtId="167" fontId="0" fillId="0" borderId="0" xfId="0" applyNumberFormat="1" applyFont="1" applyFill="1"/>
    <xf numFmtId="167" fontId="14" fillId="0" borderId="0" xfId="0" applyNumberFormat="1" applyFont="1" applyFill="1" applyAlignment="1">
      <alignment horizontal="center"/>
    </xf>
    <xf numFmtId="167" fontId="2" fillId="0" borderId="0" xfId="1" applyNumberFormat="1" applyFont="1" applyFill="1" applyBorder="1" applyAlignment="1">
      <alignment horizontal="left"/>
    </xf>
    <xf numFmtId="167" fontId="5" fillId="0" borderId="0" xfId="1" applyNumberFormat="1" applyFont="1" applyFill="1" applyBorder="1" applyAlignment="1">
      <alignment horizontal="left"/>
    </xf>
    <xf numFmtId="167" fontId="2" fillId="0" borderId="0" xfId="0" applyNumberFormat="1" applyFont="1" applyFill="1" applyBorder="1"/>
    <xf numFmtId="167" fontId="0" fillId="0" borderId="0" xfId="1" applyNumberFormat="1" applyFont="1" applyFill="1" applyBorder="1" applyAlignment="1">
      <alignment horizontal="center"/>
    </xf>
    <xf numFmtId="167" fontId="0" fillId="0" borderId="0" xfId="1" applyNumberFormat="1" applyFont="1" applyFill="1" applyBorder="1"/>
    <xf numFmtId="167" fontId="2" fillId="0" borderId="0" xfId="1" applyNumberFormat="1" applyFont="1" applyFill="1" applyBorder="1" applyAlignment="1">
      <alignment horizontal="center"/>
    </xf>
    <xf numFmtId="167" fontId="2" fillId="0" borderId="0" xfId="1" applyNumberFormat="1" applyFont="1" applyFill="1" applyBorder="1"/>
    <xf numFmtId="167" fontId="0" fillId="0" borderId="0" xfId="0" applyNumberFormat="1" applyFont="1" applyFill="1" applyBorder="1"/>
    <xf numFmtId="167" fontId="24" fillId="0" borderId="0" xfId="0" applyNumberFormat="1" applyFont="1" applyFill="1"/>
    <xf numFmtId="167" fontId="26" fillId="0" borderId="0" xfId="2" applyNumberFormat="1" applyFont="1" applyAlignment="1">
      <alignment horizontal="right"/>
    </xf>
    <xf numFmtId="167" fontId="24" fillId="0" borderId="0" xfId="1" applyNumberFormat="1" applyFont="1" applyFill="1" applyBorder="1"/>
    <xf numFmtId="167" fontId="24" fillId="0" borderId="0" xfId="0" applyNumberFormat="1" applyFont="1" applyAlignment="1">
      <alignment horizontal="right"/>
    </xf>
    <xf numFmtId="43" fontId="2" fillId="0" borderId="1" xfId="1" applyFont="1" applyBorder="1"/>
    <xf numFmtId="43" fontId="27" fillId="0" borderId="0" xfId="1" applyFont="1"/>
    <xf numFmtId="43" fontId="0" fillId="5" borderId="0" xfId="1" applyFont="1" applyFill="1" applyAlignment="1">
      <alignment horizontal="center"/>
    </xf>
    <xf numFmtId="167" fontId="9" fillId="0" borderId="0" xfId="28"/>
    <xf numFmtId="167" fontId="28" fillId="0" borderId="0" xfId="28" applyFont="1"/>
    <xf numFmtId="167" fontId="22" fillId="0" borderId="0" xfId="28" applyFont="1"/>
    <xf numFmtId="167" fontId="22" fillId="0" borderId="0" xfId="28" applyFont="1" applyAlignment="1">
      <alignment horizontal="left"/>
    </xf>
    <xf numFmtId="167" fontId="28" fillId="0" borderId="0" xfId="28" applyFont="1" applyFill="1" applyBorder="1" applyAlignment="1">
      <alignment horizontal="center" vertical="center" wrapText="1"/>
    </xf>
    <xf numFmtId="167" fontId="22" fillId="0" borderId="0" xfId="28" applyFont="1" applyFill="1" applyBorder="1"/>
    <xf numFmtId="43" fontId="22" fillId="0" borderId="0" xfId="8" applyFont="1" applyFill="1" applyBorder="1"/>
    <xf numFmtId="167" fontId="22" fillId="5" borderId="0" xfId="28" applyFont="1" applyFill="1" applyAlignment="1">
      <alignment horizontal="left"/>
    </xf>
    <xf numFmtId="43" fontId="22" fillId="5" borderId="0" xfId="8" applyFont="1" applyFill="1" applyBorder="1"/>
    <xf numFmtId="167" fontId="23" fillId="0" borderId="0" xfId="28" applyFont="1"/>
    <xf numFmtId="167" fontId="23" fillId="0" borderId="0" xfId="28" applyFont="1" applyAlignment="1">
      <alignment horizontal="left"/>
    </xf>
    <xf numFmtId="43" fontId="23" fillId="0" borderId="0" xfId="8" applyFont="1" applyFill="1" applyBorder="1"/>
    <xf numFmtId="40" fontId="22" fillId="0" borderId="0" xfId="8" applyNumberFormat="1" applyFont="1" applyFill="1" applyBorder="1"/>
    <xf numFmtId="167" fontId="29" fillId="0" borderId="0" xfId="28" applyFont="1"/>
    <xf numFmtId="167" fontId="30" fillId="0" borderId="0" xfId="28" applyFont="1"/>
    <xf numFmtId="167" fontId="30" fillId="0" borderId="0" xfId="28" applyFont="1" applyAlignment="1">
      <alignment horizontal="right"/>
    </xf>
    <xf numFmtId="43" fontId="30" fillId="0" borderId="0" xfId="8" applyFont="1" applyFill="1" applyBorder="1"/>
    <xf numFmtId="167" fontId="22" fillId="0" borderId="7" xfId="29" applyFont="1" applyBorder="1"/>
    <xf numFmtId="167" fontId="22" fillId="0" borderId="0" xfId="29" applyFont="1" applyBorder="1"/>
    <xf numFmtId="167" fontId="22" fillId="0" borderId="0" xfId="29" applyFont="1" applyBorder="1" applyAlignment="1">
      <alignment horizontal="left"/>
    </xf>
    <xf numFmtId="167" fontId="22" fillId="0" borderId="0" xfId="29" quotePrefix="1" applyFont="1" applyBorder="1" applyAlignment="1">
      <alignment horizontal="center"/>
    </xf>
    <xf numFmtId="43" fontId="22" fillId="0" borderId="0" xfId="8" quotePrefix="1" applyFont="1" applyBorder="1" applyAlignment="1">
      <alignment horizontal="center"/>
    </xf>
    <xf numFmtId="43" fontId="22" fillId="0" borderId="0" xfId="8" quotePrefix="1" applyFont="1" applyFill="1" applyBorder="1" applyAlignment="1">
      <alignment horizontal="center"/>
    </xf>
    <xf numFmtId="43" fontId="22" fillId="0" borderId="8" xfId="8" applyFont="1" applyFill="1" applyBorder="1" applyAlignment="1">
      <alignment horizontal="center"/>
    </xf>
    <xf numFmtId="167" fontId="22" fillId="0" borderId="0" xfId="29" quotePrefix="1" applyFont="1" applyFill="1" applyBorder="1" applyAlignment="1">
      <alignment horizontal="center"/>
    </xf>
    <xf numFmtId="167" fontId="22" fillId="0" borderId="8" xfId="29" applyFont="1" applyFill="1" applyBorder="1" applyAlignment="1">
      <alignment horizontal="center"/>
    </xf>
    <xf numFmtId="167" fontId="28" fillId="0" borderId="7" xfId="29" applyFont="1" applyBorder="1"/>
    <xf numFmtId="167" fontId="28" fillId="0" borderId="0" xfId="29" applyFont="1" applyBorder="1"/>
    <xf numFmtId="167" fontId="28" fillId="0" borderId="0" xfId="29" applyFont="1" applyBorder="1" applyAlignment="1">
      <alignment horizontal="left"/>
    </xf>
    <xf numFmtId="168" fontId="22" fillId="0" borderId="0" xfId="8" applyNumberFormat="1" applyFont="1" applyBorder="1"/>
    <xf numFmtId="168" fontId="22" fillId="0" borderId="8" xfId="8" applyNumberFormat="1" applyFont="1" applyBorder="1"/>
    <xf numFmtId="43" fontId="22" fillId="0" borderId="0" xfId="8" applyFont="1" applyBorder="1"/>
    <xf numFmtId="43" fontId="22" fillId="0" borderId="8" xfId="8" applyFont="1" applyBorder="1"/>
    <xf numFmtId="167" fontId="22" fillId="0" borderId="7" xfId="29" applyFont="1" applyFill="1" applyBorder="1"/>
    <xf numFmtId="167" fontId="22" fillId="0" borderId="0" xfId="29" applyFont="1" applyFill="1" applyBorder="1"/>
    <xf numFmtId="167" fontId="22" fillId="0" borderId="0" xfId="29" applyFont="1" applyFill="1" applyBorder="1" applyAlignment="1">
      <alignment horizontal="left"/>
    </xf>
    <xf numFmtId="43" fontId="22" fillId="0" borderId="0" xfId="8" applyFont="1"/>
    <xf numFmtId="167" fontId="22" fillId="0" borderId="9" xfId="29" applyFont="1" applyFill="1" applyBorder="1"/>
    <xf numFmtId="167" fontId="22" fillId="0" borderId="2" xfId="29" applyFont="1" applyFill="1" applyBorder="1"/>
    <xf numFmtId="167" fontId="22" fillId="0" borderId="2" xfId="29" applyFont="1" applyFill="1" applyBorder="1" applyAlignment="1">
      <alignment horizontal="left"/>
    </xf>
    <xf numFmtId="43" fontId="22" fillId="0" borderId="2" xfId="8" applyFont="1" applyBorder="1"/>
    <xf numFmtId="43" fontId="22" fillId="0" borderId="10" xfId="8" applyFont="1" applyBorder="1"/>
    <xf numFmtId="167" fontId="22" fillId="0" borderId="0" xfId="28" applyFont="1" applyAlignment="1">
      <alignment horizontal="right"/>
    </xf>
    <xf numFmtId="167" fontId="30" fillId="0" borderId="0" xfId="28" applyFont="1" applyAlignment="1">
      <alignment horizontal="left"/>
    </xf>
    <xf numFmtId="43" fontId="22" fillId="0" borderId="8" xfId="8" quotePrefix="1" applyFont="1" applyFill="1" applyBorder="1" applyAlignment="1">
      <alignment horizontal="center"/>
    </xf>
    <xf numFmtId="167" fontId="22" fillId="0" borderId="8" xfId="29" quotePrefix="1" applyFont="1" applyFill="1" applyBorder="1" applyAlignment="1">
      <alignment horizontal="center"/>
    </xf>
    <xf numFmtId="167" fontId="28" fillId="0" borderId="5" xfId="29" applyFont="1" applyBorder="1"/>
    <xf numFmtId="167" fontId="28" fillId="0" borderId="1" xfId="29" applyFont="1" applyBorder="1"/>
    <xf numFmtId="167" fontId="28" fillId="0" borderId="1" xfId="29" applyFont="1" applyBorder="1" applyAlignment="1">
      <alignment horizontal="left"/>
    </xf>
    <xf numFmtId="167" fontId="28" fillId="0" borderId="1" xfId="29" quotePrefix="1" applyFont="1" applyBorder="1" applyAlignment="1">
      <alignment horizontal="center"/>
    </xf>
    <xf numFmtId="167" fontId="28" fillId="0" borderId="1" xfId="29" quotePrefix="1" applyFont="1" applyFill="1" applyBorder="1" applyAlignment="1">
      <alignment horizontal="center"/>
    </xf>
    <xf numFmtId="167" fontId="28" fillId="0" borderId="6" xfId="29" quotePrefix="1" applyFont="1" applyFill="1" applyBorder="1" applyAlignment="1">
      <alignment horizontal="center"/>
    </xf>
    <xf numFmtId="167" fontId="28" fillId="0" borderId="6" xfId="29" applyFont="1" applyFill="1" applyBorder="1" applyAlignment="1">
      <alignment horizontal="center"/>
    </xf>
    <xf numFmtId="43" fontId="0" fillId="6" borderId="0" xfId="1" applyFont="1" applyFill="1" applyAlignment="1">
      <alignment horizontal="center"/>
    </xf>
    <xf numFmtId="167" fontId="33" fillId="0" borderId="0" xfId="29" applyFont="1" applyFill="1"/>
    <xf numFmtId="167" fontId="34" fillId="0" borderId="0" xfId="29" applyFont="1" applyFill="1"/>
    <xf numFmtId="167" fontId="35" fillId="0" borderId="0" xfId="29" applyFont="1" applyFill="1" applyBorder="1"/>
    <xf numFmtId="167" fontId="36" fillId="0" borderId="0" xfId="29" applyFont="1" applyFill="1"/>
    <xf numFmtId="168" fontId="36" fillId="0" borderId="0" xfId="8" applyNumberFormat="1" applyFont="1" applyFill="1"/>
    <xf numFmtId="167" fontId="41" fillId="0" borderId="0" xfId="29" applyFont="1"/>
    <xf numFmtId="168" fontId="36" fillId="0" borderId="0" xfId="8" applyNumberFormat="1" applyFont="1" applyFill="1" applyBorder="1"/>
    <xf numFmtId="44" fontId="36" fillId="0" borderId="0" xfId="29" applyNumberFormat="1" applyFont="1" applyFill="1"/>
    <xf numFmtId="167" fontId="33" fillId="0" borderId="0" xfId="29" applyFont="1" applyFill="1" applyAlignment="1">
      <alignment horizontal="right"/>
    </xf>
    <xf numFmtId="172" fontId="36" fillId="0" borderId="0" xfId="29" applyNumberFormat="1" applyFont="1" applyFill="1"/>
    <xf numFmtId="167" fontId="9" fillId="0" borderId="0" xfId="29" applyFont="1" applyFill="1"/>
    <xf numFmtId="167" fontId="41" fillId="0" borderId="0" xfId="29" applyFont="1" applyFill="1"/>
    <xf numFmtId="172" fontId="58" fillId="0" borderId="0" xfId="16" applyNumberFormat="1" applyFont="1" applyFill="1"/>
    <xf numFmtId="10" fontId="60" fillId="0" borderId="0" xfId="5" applyNumberFormat="1" applyFont="1" applyFill="1" applyAlignment="1">
      <alignment vertical="top"/>
    </xf>
    <xf numFmtId="167" fontId="35" fillId="0" borderId="0" xfId="29" applyFont="1" applyFill="1" applyBorder="1" applyAlignment="1">
      <alignment horizontal="center"/>
    </xf>
    <xf numFmtId="167" fontId="63" fillId="0" borderId="0" xfId="29" applyFont="1" applyFill="1" applyBorder="1" applyAlignment="1">
      <alignment horizontal="center" vertical="center" wrapText="1"/>
    </xf>
    <xf numFmtId="167" fontId="9" fillId="0" borderId="0" xfId="29" applyFont="1"/>
    <xf numFmtId="167" fontId="32" fillId="0" borderId="0" xfId="29" applyFont="1" applyFill="1" applyBorder="1"/>
    <xf numFmtId="167" fontId="63" fillId="0" borderId="0" xfId="29" applyFont="1" applyFill="1" applyBorder="1"/>
    <xf numFmtId="167" fontId="64" fillId="0" borderId="0" xfId="29" applyFont="1" applyFill="1" applyAlignment="1"/>
    <xf numFmtId="172" fontId="36" fillId="0" borderId="0" xfId="16" applyNumberFormat="1" applyFont="1" applyFill="1" applyBorder="1"/>
    <xf numFmtId="172" fontId="9" fillId="0" borderId="0" xfId="16" applyNumberFormat="1" applyFont="1" applyFill="1" applyBorder="1"/>
    <xf numFmtId="168" fontId="9" fillId="0" borderId="0" xfId="8" applyNumberFormat="1" applyFont="1" applyFill="1" applyBorder="1"/>
    <xf numFmtId="168" fontId="37" fillId="0" borderId="0" xfId="8" applyNumberFormat="1" applyFont="1" applyFill="1" applyBorder="1"/>
    <xf numFmtId="168" fontId="65" fillId="0" borderId="0" xfId="8" applyNumberFormat="1" applyFont="1" applyFill="1" applyBorder="1"/>
    <xf numFmtId="167" fontId="65" fillId="0" borderId="0" xfId="29" applyFont="1"/>
    <xf numFmtId="172" fontId="36" fillId="0" borderId="1" xfId="16" applyNumberFormat="1" applyFont="1" applyFill="1" applyBorder="1"/>
    <xf numFmtId="172" fontId="9" fillId="0" borderId="0" xfId="29" applyNumberFormat="1" applyFont="1" applyFill="1" applyBorder="1"/>
    <xf numFmtId="168" fontId="9" fillId="0" borderId="0" xfId="8" applyNumberFormat="1" applyFont="1" applyFill="1" applyBorder="1" applyAlignment="1">
      <alignment vertical="top"/>
    </xf>
    <xf numFmtId="167" fontId="9" fillId="0" borderId="0" xfId="29" applyFont="1" applyAlignment="1">
      <alignment vertical="top"/>
    </xf>
    <xf numFmtId="168" fontId="65" fillId="0" borderId="0" xfId="8" applyNumberFormat="1" applyFont="1" applyFill="1" applyBorder="1" applyAlignment="1">
      <alignment vertical="top"/>
    </xf>
    <xf numFmtId="167" fontId="65" fillId="0" borderId="0" xfId="29" applyFont="1" applyAlignment="1">
      <alignment vertical="top"/>
    </xf>
    <xf numFmtId="172" fontId="63" fillId="0" borderId="0" xfId="16" applyNumberFormat="1" applyFont="1" applyFill="1" applyBorder="1"/>
    <xf numFmtId="168" fontId="46" fillId="0" borderId="0" xfId="8" applyNumberFormat="1" applyFont="1" applyFill="1" applyBorder="1"/>
    <xf numFmtId="168" fontId="9" fillId="0" borderId="0" xfId="8" applyNumberFormat="1" applyFont="1" applyFill="1" applyBorder="1" applyAlignment="1"/>
    <xf numFmtId="167" fontId="9" fillId="0" borderId="0" xfId="29" applyFont="1" applyAlignment="1"/>
    <xf numFmtId="167" fontId="63" fillId="15" borderId="0" xfId="29" applyFont="1" applyFill="1" applyBorder="1" applyAlignment="1">
      <alignment horizontal="center" vertical="center" wrapText="1"/>
    </xf>
    <xf numFmtId="172" fontId="68" fillId="14" borderId="1" xfId="16" applyNumberFormat="1" applyFont="1" applyFill="1" applyBorder="1" applyAlignment="1"/>
    <xf numFmtId="167" fontId="9" fillId="15" borderId="0" xfId="29" applyFont="1" applyFill="1" applyBorder="1"/>
    <xf numFmtId="10" fontId="69" fillId="14" borderId="13" xfId="5" applyNumberFormat="1" applyFont="1" applyFill="1" applyBorder="1" applyAlignment="1">
      <alignment vertical="top"/>
    </xf>
    <xf numFmtId="10" fontId="48" fillId="0" borderId="0" xfId="5" applyNumberFormat="1" applyFont="1" applyFill="1" applyAlignment="1">
      <alignment horizontal="center"/>
    </xf>
    <xf numFmtId="10" fontId="70" fillId="0" borderId="0" xfId="5" applyNumberFormat="1" applyFont="1" applyFill="1" applyAlignment="1">
      <alignment horizontal="center"/>
    </xf>
    <xf numFmtId="10" fontId="36" fillId="0" borderId="0" xfId="5" applyNumberFormat="1" applyFont="1" applyFill="1" applyAlignment="1">
      <alignment horizontal="center"/>
    </xf>
    <xf numFmtId="166" fontId="36" fillId="0" borderId="0" xfId="5" applyNumberFormat="1" applyFont="1" applyFill="1" applyAlignment="1">
      <alignment horizontal="center"/>
    </xf>
    <xf numFmtId="44" fontId="36" fillId="0" borderId="0" xfId="16" applyFont="1" applyFill="1" applyAlignment="1">
      <alignment horizontal="center"/>
    </xf>
    <xf numFmtId="172" fontId="36" fillId="0" borderId="0" xfId="16" applyNumberFormat="1" applyFont="1" applyFill="1" applyAlignment="1">
      <alignment horizontal="center"/>
    </xf>
    <xf numFmtId="168" fontId="36" fillId="0" borderId="0" xfId="8" applyNumberFormat="1" applyFont="1" applyFill="1" applyAlignment="1">
      <alignment horizontal="center"/>
    </xf>
    <xf numFmtId="43" fontId="74" fillId="0" borderId="0" xfId="8" applyFont="1" applyFill="1" applyAlignment="1">
      <alignment horizontal="center"/>
    </xf>
    <xf numFmtId="172" fontId="52" fillId="0" borderId="0" xfId="16" applyNumberFormat="1" applyFont="1" applyFill="1" applyAlignment="1">
      <alignment horizontal="center"/>
    </xf>
    <xf numFmtId="168" fontId="48" fillId="0" borderId="0" xfId="8" applyNumberFormat="1" applyFont="1" applyFill="1" applyAlignment="1">
      <alignment horizontal="center"/>
    </xf>
    <xf numFmtId="168" fontId="48" fillId="0" borderId="0" xfId="8" applyNumberFormat="1" applyFont="1" applyFill="1" applyAlignment="1">
      <alignment horizontal="center" vertical="top"/>
    </xf>
    <xf numFmtId="9" fontId="71" fillId="0" borderId="0" xfId="5" applyFont="1" applyFill="1" applyAlignment="1">
      <alignment horizontal="center"/>
    </xf>
    <xf numFmtId="168" fontId="78" fillId="0" borderId="0" xfId="8" applyNumberFormat="1" applyFont="1" applyFill="1" applyAlignment="1">
      <alignment horizontal="center" vertical="top"/>
    </xf>
    <xf numFmtId="10" fontId="80" fillId="0" borderId="0" xfId="5" applyNumberFormat="1" applyFont="1" applyFill="1" applyAlignment="1">
      <alignment horizontal="center"/>
    </xf>
    <xf numFmtId="10" fontId="47" fillId="0" borderId="0" xfId="5" applyNumberFormat="1" applyFont="1" applyFill="1" applyAlignment="1">
      <alignment horizontal="center"/>
    </xf>
    <xf numFmtId="166" fontId="47" fillId="0" borderId="0" xfId="5" applyNumberFormat="1" applyFont="1" applyFill="1" applyAlignment="1">
      <alignment horizontal="center"/>
    </xf>
    <xf numFmtId="173" fontId="47" fillId="0" borderId="0" xfId="5" applyNumberFormat="1" applyFont="1" applyFill="1" applyAlignment="1">
      <alignment horizontal="center"/>
    </xf>
    <xf numFmtId="167" fontId="9" fillId="0" borderId="0" xfId="29" applyFont="1" applyFill="1" applyBorder="1"/>
    <xf numFmtId="10" fontId="36" fillId="0" borderId="0" xfId="5" applyNumberFormat="1" applyFont="1" applyFill="1" applyBorder="1" applyAlignment="1">
      <alignment horizontal="center"/>
    </xf>
    <xf numFmtId="10" fontId="48" fillId="0" borderId="0" xfId="5" applyNumberFormat="1" applyFont="1" applyFill="1" applyBorder="1" applyAlignment="1">
      <alignment horizontal="center"/>
    </xf>
    <xf numFmtId="43" fontId="34" fillId="0" borderId="0" xfId="8" applyFont="1" applyFill="1"/>
    <xf numFmtId="43" fontId="0" fillId="0" borderId="2" xfId="1" applyFont="1" applyBorder="1" applyAlignment="1">
      <alignment horizontal="center"/>
    </xf>
    <xf numFmtId="43" fontId="2" fillId="0" borderId="0" xfId="1" applyFont="1" applyBorder="1" applyAlignment="1">
      <alignment horizontal="right"/>
    </xf>
    <xf numFmtId="43" fontId="0" fillId="0" borderId="2" xfId="1" applyFont="1" applyBorder="1" applyAlignment="1">
      <alignment horizontal="left"/>
    </xf>
    <xf numFmtId="43" fontId="3" fillId="0" borderId="0" xfId="1" applyFont="1" applyAlignment="1">
      <alignment horizontal="left"/>
    </xf>
    <xf numFmtId="43" fontId="14" fillId="0" borderId="0" xfId="1" applyFont="1" applyFill="1" applyAlignment="1">
      <alignment horizontal="center"/>
    </xf>
    <xf numFmtId="43" fontId="15" fillId="0" borderId="0" xfId="1" applyFont="1"/>
    <xf numFmtId="43" fontId="14" fillId="4" borderId="0" xfId="1" applyFont="1" applyFill="1" applyAlignment="1">
      <alignment horizontal="center"/>
    </xf>
    <xf numFmtId="43" fontId="0" fillId="0" borderId="0" xfId="1" applyFont="1" applyFill="1" applyBorder="1" applyAlignment="1">
      <alignment horizontal="left"/>
    </xf>
    <xf numFmtId="43" fontId="0" fillId="0" borderId="0" xfId="1" applyFont="1" applyAlignment="1">
      <alignment horizontal="right" vertical="top"/>
    </xf>
    <xf numFmtId="43" fontId="0" fillId="0" borderId="0" xfId="1" applyFont="1" applyBorder="1" applyAlignment="1">
      <alignment horizontal="left" vertical="top"/>
    </xf>
    <xf numFmtId="43" fontId="0" fillId="0" borderId="0" xfId="1" applyFont="1" applyBorder="1" applyAlignment="1">
      <alignment vertical="top" wrapText="1"/>
    </xf>
    <xf numFmtId="43" fontId="6" fillId="0" borderId="1" xfId="1" applyFont="1" applyBorder="1" applyAlignment="1">
      <alignment horizontal="center"/>
    </xf>
    <xf numFmtId="43" fontId="2" fillId="0" borderId="3" xfId="1" applyFont="1" applyBorder="1" applyAlignment="1">
      <alignment horizontal="right"/>
    </xf>
    <xf numFmtId="43" fontId="6" fillId="0" borderId="3" xfId="1" applyFont="1" applyBorder="1"/>
    <xf numFmtId="43" fontId="6" fillId="0" borderId="3" xfId="1" applyFont="1" applyBorder="1" applyAlignment="1">
      <alignment horizontal="center"/>
    </xf>
    <xf numFmtId="43" fontId="0" fillId="0" borderId="3" xfId="1" applyFont="1" applyBorder="1" applyAlignment="1">
      <alignment horizontal="left"/>
    </xf>
    <xf numFmtId="43" fontId="0" fillId="0" borderId="3" xfId="1" applyFont="1" applyFill="1" applyBorder="1"/>
    <xf numFmtId="43" fontId="2" fillId="0" borderId="3" xfId="1" applyFont="1" applyBorder="1" applyAlignment="1">
      <alignment horizontal="left"/>
    </xf>
    <xf numFmtId="43" fontId="2" fillId="0" borderId="0" xfId="1" applyFont="1" applyAlignment="1">
      <alignment horizontal="right" wrapText="1"/>
    </xf>
    <xf numFmtId="43" fontId="0" fillId="0" borderId="0" xfId="1" applyFont="1" applyFill="1" applyAlignment="1">
      <alignment horizontal="center"/>
    </xf>
    <xf numFmtId="43" fontId="2" fillId="0" borderId="0" xfId="1" applyFont="1" applyFill="1" applyAlignment="1">
      <alignment horizontal="right" wrapText="1"/>
    </xf>
    <xf numFmtId="43" fontId="17" fillId="0" borderId="0" xfId="1" applyFont="1" applyFill="1" applyBorder="1" applyAlignment="1">
      <alignment horizontal="left"/>
    </xf>
    <xf numFmtId="43" fontId="5" fillId="0" borderId="0" xfId="1" applyFont="1"/>
    <xf numFmtId="43" fontId="5" fillId="0" borderId="0" xfId="1" applyFont="1" applyBorder="1"/>
    <xf numFmtId="10" fontId="32" fillId="0" borderId="0" xfId="5" applyNumberFormat="1" applyFont="1" applyFill="1" applyAlignment="1">
      <alignment horizontal="center"/>
    </xf>
    <xf numFmtId="172" fontId="73" fillId="0" borderId="0" xfId="16" applyNumberFormat="1" applyFont="1" applyFill="1" applyAlignment="1">
      <alignment horizontal="center"/>
    </xf>
    <xf numFmtId="172" fontId="42" fillId="0" borderId="0" xfId="16" applyNumberFormat="1" applyFont="1" applyFill="1" applyAlignment="1">
      <alignment horizontal="center"/>
    </xf>
    <xf numFmtId="172" fontId="9" fillId="0" borderId="0" xfId="16" applyNumberFormat="1" applyFont="1" applyFill="1" applyBorder="1" applyAlignment="1">
      <alignment horizontal="center"/>
    </xf>
    <xf numFmtId="44" fontId="9" fillId="0" borderId="0" xfId="16" applyFont="1" applyFill="1" applyBorder="1" applyAlignment="1">
      <alignment horizontal="center"/>
    </xf>
    <xf numFmtId="172" fontId="74" fillId="0" borderId="0" xfId="16" applyNumberFormat="1" applyFont="1" applyFill="1" applyAlignment="1">
      <alignment horizontal="center"/>
    </xf>
    <xf numFmtId="172" fontId="75" fillId="0" borderId="0" xfId="16" quotePrefix="1" applyNumberFormat="1" applyFont="1" applyFill="1" applyBorder="1" applyAlignment="1">
      <alignment horizontal="center"/>
    </xf>
    <xf numFmtId="172" fontId="63" fillId="0" borderId="0" xfId="16" applyNumberFormat="1" applyFont="1" applyFill="1" applyBorder="1" applyAlignment="1">
      <alignment horizontal="center"/>
    </xf>
    <xf numFmtId="167" fontId="63" fillId="0" borderId="0" xfId="29" applyFont="1" applyFill="1"/>
    <xf numFmtId="168" fontId="9" fillId="0" borderId="0" xfId="8" applyNumberFormat="1" applyFont="1" applyFill="1" applyBorder="1" applyAlignment="1">
      <alignment horizontal="center"/>
    </xf>
    <xf numFmtId="167" fontId="9" fillId="0" borderId="0" xfId="29" applyFont="1" applyFill="1" applyBorder="1" applyAlignment="1"/>
    <xf numFmtId="167" fontId="9" fillId="0" borderId="0" xfId="29" applyFont="1" applyFill="1" applyAlignment="1"/>
    <xf numFmtId="167" fontId="9" fillId="0" borderId="0" xfId="29" applyFont="1" applyFill="1" applyBorder="1" applyAlignment="1">
      <alignment vertical="top"/>
    </xf>
    <xf numFmtId="167" fontId="9" fillId="0" borderId="0" xfId="29" applyFont="1" applyFill="1" applyAlignment="1">
      <alignment vertical="top"/>
    </xf>
    <xf numFmtId="9" fontId="77" fillId="0" borderId="0" xfId="5" applyFont="1" applyFill="1" applyAlignment="1">
      <alignment horizontal="center"/>
    </xf>
    <xf numFmtId="10" fontId="79" fillId="0" borderId="0" xfId="5" applyNumberFormat="1" applyFont="1" applyFill="1" applyAlignment="1">
      <alignment horizontal="center"/>
    </xf>
    <xf numFmtId="169" fontId="47" fillId="0" borderId="0" xfId="5" applyNumberFormat="1" applyFont="1" applyFill="1" applyAlignment="1">
      <alignment horizontal="center"/>
    </xf>
    <xf numFmtId="166" fontId="48" fillId="0" borderId="0" xfId="5" applyNumberFormat="1" applyFont="1" applyFill="1" applyAlignment="1">
      <alignment horizontal="center"/>
    </xf>
    <xf numFmtId="14" fontId="2" fillId="5" borderId="0" xfId="1" applyNumberFormat="1" applyFont="1" applyFill="1" applyAlignment="1">
      <alignment horizontal="left"/>
    </xf>
    <xf numFmtId="43" fontId="1" fillId="0" borderId="0" xfId="1" applyFont="1"/>
    <xf numFmtId="43" fontId="0" fillId="0" borderId="4" xfId="1" applyFont="1" applyBorder="1"/>
    <xf numFmtId="43" fontId="7" fillId="0" borderId="1" xfId="1" applyFont="1" applyBorder="1"/>
    <xf numFmtId="43" fontId="14" fillId="3" borderId="0" xfId="1" applyFont="1" applyFill="1" applyAlignment="1">
      <alignment horizontal="right"/>
    </xf>
    <xf numFmtId="43" fontId="14" fillId="0" borderId="0" xfId="1" applyFont="1" applyFill="1" applyBorder="1" applyAlignment="1">
      <alignment horizontal="center"/>
    </xf>
    <xf numFmtId="43" fontId="15" fillId="0" borderId="0" xfId="1" applyFont="1" applyAlignment="1">
      <alignment horizontal="right"/>
    </xf>
    <xf numFmtId="43" fontId="15" fillId="0" borderId="4" xfId="1" applyFont="1" applyBorder="1" applyAlignment="1">
      <alignment horizontal="right"/>
    </xf>
    <xf numFmtId="43" fontId="18" fillId="0" borderId="0" xfId="1" applyFont="1"/>
    <xf numFmtId="43" fontId="2" fillId="0" borderId="4" xfId="1" applyFont="1" applyBorder="1"/>
    <xf numFmtId="43" fontId="24" fillId="0" borderId="0" xfId="1" applyFont="1" applyFill="1"/>
    <xf numFmtId="43" fontId="24" fillId="0" borderId="4" xfId="1" applyFont="1" applyBorder="1"/>
    <xf numFmtId="43" fontId="2" fillId="0" borderId="0" xfId="1" applyFont="1" applyBorder="1" applyAlignment="1">
      <alignment wrapText="1"/>
    </xf>
    <xf numFmtId="49" fontId="0" fillId="0" borderId="0" xfId="1" applyNumberFormat="1" applyFont="1"/>
    <xf numFmtId="49" fontId="2" fillId="0" borderId="0" xfId="1" applyNumberFormat="1" applyFont="1"/>
    <xf numFmtId="49" fontId="2" fillId="0" borderId="0" xfId="1" applyNumberFormat="1" applyFont="1" applyBorder="1"/>
    <xf numFmtId="49" fontId="0" fillId="0" borderId="0" xfId="1" applyNumberFormat="1" applyFont="1" applyBorder="1"/>
    <xf numFmtId="49" fontId="11" fillId="0" borderId="0" xfId="0" applyNumberFormat="1" applyFont="1" applyBorder="1"/>
    <xf numFmtId="49" fontId="11" fillId="0" borderId="0" xfId="0" applyNumberFormat="1" applyFont="1" applyBorder="1" applyAlignment="1">
      <alignment horizontal="left"/>
    </xf>
    <xf numFmtId="49" fontId="0" fillId="0" borderId="0" xfId="0" applyNumberFormat="1" applyFont="1"/>
    <xf numFmtId="49" fontId="15" fillId="0" borderId="0" xfId="0" applyNumberFormat="1" applyFont="1"/>
    <xf numFmtId="49" fontId="2" fillId="0" borderId="0" xfId="0" applyNumberFormat="1" applyFont="1"/>
    <xf numFmtId="49" fontId="2" fillId="0" borderId="0" xfId="0" applyNumberFormat="1" applyFont="1" applyBorder="1"/>
    <xf numFmtId="49" fontId="0" fillId="0" borderId="0" xfId="0" applyNumberFormat="1" applyFont="1" applyAlignment="1">
      <alignment horizontal="left"/>
    </xf>
    <xf numFmtId="49" fontId="0" fillId="0" borderId="0" xfId="0" applyNumberFormat="1" applyFont="1" applyBorder="1"/>
    <xf numFmtId="49" fontId="26" fillId="0" borderId="0" xfId="2" applyNumberFormat="1" applyFont="1" applyAlignment="1">
      <alignment horizontal="right"/>
    </xf>
    <xf numFmtId="49" fontId="24" fillId="0" borderId="0" xfId="0" applyNumberFormat="1" applyFont="1" applyAlignment="1">
      <alignment horizontal="right"/>
    </xf>
    <xf numFmtId="49" fontId="2" fillId="0" borderId="0" xfId="0" applyNumberFormat="1" applyFont="1" applyBorder="1" applyAlignment="1">
      <alignment wrapText="1"/>
    </xf>
    <xf numFmtId="43" fontId="0" fillId="5" borderId="0" xfId="1" applyFont="1" applyFill="1"/>
    <xf numFmtId="49" fontId="19" fillId="0" borderId="0" xfId="1" applyNumberFormat="1" applyFont="1" applyFill="1" applyBorder="1" applyAlignment="1">
      <alignment horizontal="left"/>
    </xf>
    <xf numFmtId="49" fontId="5" fillId="0" borderId="0" xfId="1" applyNumberFormat="1" applyFont="1" applyBorder="1" applyAlignment="1">
      <alignment horizontal="left"/>
    </xf>
    <xf numFmtId="49" fontId="24" fillId="0" borderId="0" xfId="1" applyNumberFormat="1" applyFont="1"/>
    <xf numFmtId="49" fontId="6" fillId="0" borderId="0" xfId="0" applyNumberFormat="1" applyFont="1" applyBorder="1" applyAlignment="1">
      <alignment horizontal="left"/>
    </xf>
    <xf numFmtId="49" fontId="6" fillId="0" borderId="0" xfId="0" applyNumberFormat="1" applyFont="1"/>
    <xf numFmtId="49" fontId="14" fillId="4" borderId="0" xfId="0" applyNumberFormat="1" applyFont="1" applyFill="1" applyAlignment="1">
      <alignment horizontal="center"/>
    </xf>
    <xf numFmtId="49" fontId="18" fillId="0" borderId="0" xfId="0" applyNumberFormat="1" applyFont="1"/>
    <xf numFmtId="49" fontId="0" fillId="0" borderId="0" xfId="2" applyNumberFormat="1" applyFont="1" applyBorder="1"/>
    <xf numFmtId="49" fontId="24" fillId="0" borderId="0" xfId="0" applyNumberFormat="1" applyFont="1"/>
    <xf numFmtId="49" fontId="24" fillId="0" borderId="0" xfId="0" applyNumberFormat="1" applyFont="1" applyBorder="1"/>
    <xf numFmtId="49" fontId="2" fillId="0" borderId="0" xfId="1" applyNumberFormat="1" applyFont="1" applyBorder="1" applyAlignment="1">
      <alignment horizontal="center"/>
    </xf>
    <xf numFmtId="49" fontId="24" fillId="0" borderId="0" xfId="1" applyNumberFormat="1" applyFont="1" applyBorder="1" applyAlignment="1">
      <alignment horizontal="center"/>
    </xf>
    <xf numFmtId="49" fontId="6" fillId="0" borderId="0" xfId="0" applyNumberFormat="1" applyFont="1" applyBorder="1"/>
    <xf numFmtId="49" fontId="14" fillId="3" borderId="0" xfId="0" applyNumberFormat="1" applyFont="1" applyFill="1" applyAlignment="1"/>
    <xf numFmtId="49" fontId="26" fillId="0" borderId="0" xfId="0" applyNumberFormat="1" applyFont="1" applyAlignment="1">
      <alignment horizontal="left"/>
    </xf>
    <xf numFmtId="49" fontId="14" fillId="2" borderId="0" xfId="0" applyNumberFormat="1" applyFont="1" applyFill="1" applyAlignment="1">
      <alignment horizontal="right"/>
    </xf>
    <xf numFmtId="49" fontId="7" fillId="0" borderId="0" xfId="0" applyNumberFormat="1" applyFont="1" applyAlignment="1">
      <alignment horizontal="left"/>
    </xf>
    <xf numFmtId="49" fontId="6" fillId="0" borderId="0" xfId="0" applyNumberFormat="1" applyFont="1" applyAlignment="1">
      <alignment horizontal="left"/>
    </xf>
    <xf numFmtId="49" fontId="7" fillId="0" borderId="0" xfId="0" applyNumberFormat="1" applyFont="1" applyBorder="1" applyAlignment="1">
      <alignment horizontal="left"/>
    </xf>
    <xf numFmtId="9" fontId="6" fillId="0" borderId="0" xfId="2" applyFont="1" applyAlignment="1">
      <alignment horizontal="left"/>
    </xf>
    <xf numFmtId="10" fontId="6" fillId="0" borderId="0" xfId="2" applyNumberFormat="1" applyFont="1" applyBorder="1" applyAlignment="1">
      <alignment horizontal="left"/>
    </xf>
    <xf numFmtId="10" fontId="6" fillId="0" borderId="0" xfId="2" applyNumberFormat="1" applyFont="1"/>
    <xf numFmtId="10" fontId="14" fillId="3" borderId="0" xfId="2" applyNumberFormat="1" applyFont="1" applyFill="1" applyAlignment="1">
      <alignment horizontal="right"/>
    </xf>
    <xf numFmtId="10" fontId="2" fillId="0" borderId="0" xfId="2" applyNumberFormat="1" applyFont="1" applyAlignment="1">
      <alignment horizontal="right"/>
    </xf>
    <xf numFmtId="10" fontId="2" fillId="0" borderId="0" xfId="2" applyNumberFormat="1" applyFont="1" applyBorder="1" applyAlignment="1">
      <alignment horizontal="right"/>
    </xf>
    <xf numFmtId="10" fontId="0" fillId="0" borderId="0" xfId="2" applyNumberFormat="1" applyFont="1" applyBorder="1" applyAlignment="1">
      <alignment horizontal="right"/>
    </xf>
    <xf numFmtId="10" fontId="24" fillId="0" borderId="0" xfId="2" applyNumberFormat="1" applyFont="1" applyAlignment="1">
      <alignment horizontal="right"/>
    </xf>
    <xf numFmtId="10" fontId="2" fillId="0" borderId="0" xfId="2" applyNumberFormat="1" applyFont="1" applyBorder="1" applyAlignment="1">
      <alignment wrapText="1"/>
    </xf>
    <xf numFmtId="10" fontId="0" fillId="0" borderId="0" xfId="2" applyNumberFormat="1" applyFont="1"/>
    <xf numFmtId="10" fontId="14" fillId="2" borderId="0" xfId="2" applyNumberFormat="1" applyFont="1" applyFill="1" applyAlignment="1"/>
    <xf numFmtId="10" fontId="2" fillId="0" borderId="0" xfId="2" applyNumberFormat="1" applyFont="1"/>
    <xf numFmtId="10" fontId="2" fillId="0" borderId="0" xfId="2" applyNumberFormat="1" applyFont="1" applyBorder="1"/>
    <xf numFmtId="10" fontId="14" fillId="2" borderId="0" xfId="2" applyNumberFormat="1" applyFont="1" applyFill="1" applyAlignment="1">
      <alignment horizontal="right"/>
    </xf>
    <xf numFmtId="10" fontId="0" fillId="0" borderId="0" xfId="2" applyNumberFormat="1" applyFont="1" applyBorder="1"/>
    <xf numFmtId="43" fontId="27" fillId="0" borderId="0" xfId="1" applyFont="1" applyFill="1"/>
    <xf numFmtId="43" fontId="27" fillId="0" borderId="0" xfId="1" applyFont="1" applyAlignment="1">
      <alignment horizontal="center"/>
    </xf>
    <xf numFmtId="43" fontId="27" fillId="0" borderId="0" xfId="1" applyFont="1" applyFill="1" applyBorder="1" applyAlignment="1">
      <alignment horizontal="center"/>
    </xf>
    <xf numFmtId="43" fontId="27" fillId="0" borderId="4" xfId="1" applyFont="1" applyBorder="1"/>
    <xf numFmtId="43" fontId="81" fillId="0" borderId="0" xfId="1" applyFont="1" applyAlignment="1">
      <alignment horizontal="right"/>
    </xf>
    <xf numFmtId="43" fontId="26" fillId="0" borderId="0" xfId="1" applyFont="1" applyBorder="1" applyAlignment="1">
      <alignment horizontal="right"/>
    </xf>
    <xf numFmtId="43" fontId="22" fillId="0" borderId="0" xfId="1" applyFont="1" applyFill="1"/>
    <xf numFmtId="43" fontId="22" fillId="0" borderId="0" xfId="1" applyFont="1"/>
    <xf numFmtId="10" fontId="82" fillId="0" borderId="0" xfId="2" applyNumberFormat="1" applyFont="1" applyAlignment="1">
      <alignment horizontal="right"/>
    </xf>
    <xf numFmtId="43" fontId="22" fillId="0" borderId="0" xfId="1" applyFont="1" applyAlignment="1">
      <alignment horizontal="center"/>
    </xf>
    <xf numFmtId="43" fontId="22" fillId="0" borderId="0" xfId="1" applyFont="1" applyFill="1" applyBorder="1" applyAlignment="1">
      <alignment horizontal="center"/>
    </xf>
    <xf numFmtId="43" fontId="22" fillId="0" borderId="4" xfId="1" applyFont="1" applyBorder="1"/>
    <xf numFmtId="43" fontId="82" fillId="0" borderId="0" xfId="1" applyFont="1" applyAlignment="1">
      <alignment horizontal="right"/>
    </xf>
    <xf numFmtId="43" fontId="14" fillId="4" borderId="0" xfId="1" applyFont="1" applyFill="1" applyAlignment="1"/>
    <xf numFmtId="167" fontId="83" fillId="0" borderId="0" xfId="31" applyFont="1"/>
    <xf numFmtId="172" fontId="83" fillId="0" borderId="0" xfId="32" applyNumberFormat="1" applyFont="1"/>
    <xf numFmtId="174" fontId="83" fillId="0" borderId="0" xfId="33" applyNumberFormat="1" applyFont="1"/>
    <xf numFmtId="172" fontId="84" fillId="0" borderId="12" xfId="32" applyNumberFormat="1" applyFont="1" applyBorder="1"/>
    <xf numFmtId="172" fontId="83" fillId="0" borderId="14" xfId="32" applyNumberFormat="1" applyFont="1" applyBorder="1"/>
    <xf numFmtId="172" fontId="84" fillId="0" borderId="0" xfId="31" applyNumberFormat="1" applyFont="1"/>
    <xf numFmtId="172" fontId="84" fillId="0" borderId="15" xfId="32" applyNumberFormat="1" applyFont="1" applyBorder="1"/>
    <xf numFmtId="172" fontId="84" fillId="0" borderId="0" xfId="32" applyNumberFormat="1" applyFont="1"/>
    <xf numFmtId="172" fontId="83" fillId="0" borderId="2" xfId="31" applyNumberFormat="1" applyFont="1" applyFill="1" applyBorder="1"/>
    <xf numFmtId="172" fontId="83" fillId="10" borderId="16" xfId="32" applyNumberFormat="1" applyFont="1" applyFill="1" applyBorder="1"/>
    <xf numFmtId="172" fontId="83" fillId="10" borderId="2" xfId="32" applyNumberFormat="1" applyFont="1" applyFill="1" applyBorder="1"/>
    <xf numFmtId="167" fontId="85" fillId="0" borderId="0" xfId="31" applyFont="1" applyAlignment="1">
      <alignment horizontal="left" indent="1"/>
    </xf>
    <xf numFmtId="172" fontId="83" fillId="0" borderId="0" xfId="31" applyNumberFormat="1" applyFont="1" applyFill="1" applyBorder="1"/>
    <xf numFmtId="172" fontId="83" fillId="10" borderId="18" xfId="32" applyNumberFormat="1" applyFont="1" applyFill="1" applyBorder="1"/>
    <xf numFmtId="172" fontId="83" fillId="10" borderId="0" xfId="32" applyNumberFormat="1" applyFont="1" applyFill="1" applyBorder="1"/>
    <xf numFmtId="167" fontId="83" fillId="4" borderId="0" xfId="31" applyFont="1" applyFill="1"/>
    <xf numFmtId="172" fontId="83" fillId="4" borderId="18" xfId="32" applyNumberFormat="1" applyFont="1" applyFill="1" applyBorder="1"/>
    <xf numFmtId="172" fontId="83" fillId="4" borderId="0" xfId="32" applyNumberFormat="1" applyFont="1" applyFill="1"/>
    <xf numFmtId="167" fontId="86" fillId="4" borderId="0" xfId="31" applyFont="1" applyFill="1" applyAlignment="1">
      <alignment horizontal="left"/>
    </xf>
    <xf numFmtId="168" fontId="83" fillId="0" borderId="0" xfId="33" applyNumberFormat="1" applyFont="1" applyAlignment="1">
      <alignment vertical="top"/>
    </xf>
    <xf numFmtId="168" fontId="83" fillId="0" borderId="18" xfId="33" applyNumberFormat="1" applyFont="1" applyBorder="1" applyAlignment="1">
      <alignment vertical="top"/>
    </xf>
    <xf numFmtId="172" fontId="84" fillId="0" borderId="18" xfId="32" applyNumberFormat="1" applyFont="1" applyBorder="1"/>
    <xf numFmtId="172" fontId="83" fillId="0" borderId="0" xfId="31" applyNumberFormat="1" applyFont="1" applyFill="1"/>
    <xf numFmtId="168" fontId="83" fillId="0" borderId="0" xfId="33" applyNumberFormat="1" applyFont="1"/>
    <xf numFmtId="168" fontId="83" fillId="0" borderId="18" xfId="33" applyNumberFormat="1" applyFont="1" applyBorder="1"/>
    <xf numFmtId="167" fontId="84" fillId="0" borderId="0" xfId="31" applyFont="1"/>
    <xf numFmtId="167" fontId="86" fillId="0" borderId="0" xfId="31" applyFont="1" applyAlignment="1">
      <alignment horizontal="left" indent="1"/>
    </xf>
    <xf numFmtId="172" fontId="83" fillId="0" borderId="18" xfId="32" applyNumberFormat="1" applyFont="1" applyBorder="1"/>
    <xf numFmtId="167" fontId="83" fillId="0" borderId="0" xfId="31" applyFont="1" applyBorder="1"/>
    <xf numFmtId="172" fontId="83" fillId="0" borderId="19" xfId="31" applyNumberFormat="1" applyFont="1" applyFill="1" applyBorder="1"/>
    <xf numFmtId="172" fontId="83" fillId="10" borderId="20" xfId="32" applyNumberFormat="1" applyFont="1" applyFill="1" applyBorder="1"/>
    <xf numFmtId="167" fontId="85" fillId="0" borderId="0" xfId="31" applyFont="1" applyBorder="1" applyAlignment="1">
      <alignment horizontal="left" indent="1"/>
    </xf>
    <xf numFmtId="167" fontId="83" fillId="2" borderId="0" xfId="31" applyFont="1" applyFill="1" applyBorder="1"/>
    <xf numFmtId="172" fontId="83" fillId="2" borderId="22" xfId="32" applyNumberFormat="1" applyFont="1" applyFill="1" applyBorder="1"/>
    <xf numFmtId="172" fontId="83" fillId="2" borderId="0" xfId="32" applyNumberFormat="1" applyFont="1" applyFill="1" applyBorder="1"/>
    <xf numFmtId="167" fontId="86" fillId="2" borderId="0" xfId="31" applyFont="1" applyFill="1" applyBorder="1" applyAlignment="1">
      <alignment horizontal="left"/>
    </xf>
    <xf numFmtId="172" fontId="83" fillId="0" borderId="0" xfId="32" applyNumberFormat="1" applyFont="1" applyFill="1" applyBorder="1"/>
    <xf numFmtId="172" fontId="83" fillId="0" borderId="0" xfId="32" applyNumberFormat="1" applyFont="1" applyFill="1"/>
    <xf numFmtId="167" fontId="83" fillId="0" borderId="0" xfId="31" applyFont="1" applyFill="1"/>
    <xf numFmtId="172" fontId="83" fillId="0" borderId="20" xfId="32" applyNumberFormat="1" applyFont="1" applyFill="1" applyBorder="1"/>
    <xf numFmtId="167" fontId="85" fillId="0" borderId="0" xfId="31" applyFont="1" applyFill="1" applyAlignment="1">
      <alignment horizontal="left" indent="1"/>
    </xf>
    <xf numFmtId="172" fontId="83" fillId="0" borderId="0" xfId="31" applyNumberFormat="1" applyFont="1"/>
    <xf numFmtId="167" fontId="89" fillId="2" borderId="0" xfId="31" applyFont="1" applyFill="1" applyBorder="1"/>
    <xf numFmtId="167" fontId="83" fillId="2" borderId="0" xfId="31" applyFont="1" applyFill="1"/>
    <xf numFmtId="172" fontId="83" fillId="2" borderId="20" xfId="32" applyNumberFormat="1" applyFont="1" applyFill="1" applyBorder="1"/>
    <xf numFmtId="172" fontId="83" fillId="2" borderId="21" xfId="32" applyNumberFormat="1" applyFont="1" applyFill="1" applyBorder="1"/>
    <xf numFmtId="167" fontId="89" fillId="2" borderId="0" xfId="31" applyFont="1" applyFill="1"/>
    <xf numFmtId="167" fontId="84" fillId="0" borderId="2" xfId="31" applyFont="1" applyBorder="1" applyAlignment="1">
      <alignment horizontal="center"/>
    </xf>
    <xf numFmtId="172" fontId="84" fillId="0" borderId="23" xfId="32" applyNumberFormat="1" applyFont="1" applyBorder="1" applyAlignment="1">
      <alignment horizontal="center"/>
    </xf>
    <xf numFmtId="167" fontId="86" fillId="0" borderId="2" xfId="31" applyFont="1" applyBorder="1"/>
    <xf numFmtId="49" fontId="85" fillId="0" borderId="0" xfId="31" applyNumberFormat="1" applyFont="1" applyBorder="1" applyAlignment="1">
      <alignment horizontal="left" indent="1"/>
    </xf>
    <xf numFmtId="10" fontId="90" fillId="0" borderId="0" xfId="2" applyNumberFormat="1" applyFont="1"/>
    <xf numFmtId="43" fontId="22" fillId="0" borderId="0" xfId="1" applyFont="1" applyFill="1" applyBorder="1"/>
    <xf numFmtId="10" fontId="82" fillId="0" borderId="0" xfId="2" applyNumberFormat="1" applyFont="1" applyFill="1" applyAlignment="1">
      <alignment horizontal="right"/>
    </xf>
    <xf numFmtId="167" fontId="22" fillId="0" borderId="0" xfId="0" applyFont="1" applyFill="1"/>
    <xf numFmtId="43" fontId="28" fillId="0" borderId="1" xfId="1" applyFont="1" applyFill="1" applyBorder="1" applyAlignment="1">
      <alignment horizontal="center"/>
    </xf>
    <xf numFmtId="43" fontId="28" fillId="0" borderId="0" xfId="1" applyFont="1" applyFill="1" applyBorder="1" applyAlignment="1">
      <alignment horizontal="center"/>
    </xf>
    <xf numFmtId="43" fontId="28" fillId="0" borderId="0" xfId="1" applyFont="1" applyFill="1" applyBorder="1"/>
    <xf numFmtId="167" fontId="28" fillId="0" borderId="0" xfId="0" applyFont="1" applyFill="1" applyBorder="1"/>
    <xf numFmtId="43" fontId="46" fillId="0" borderId="0" xfId="1" applyFont="1" applyFill="1"/>
    <xf numFmtId="43" fontId="46" fillId="0" borderId="0" xfId="1" applyFont="1" applyFill="1" applyBorder="1"/>
    <xf numFmtId="43" fontId="46" fillId="0" borderId="0" xfId="8" applyFont="1" applyBorder="1" applyAlignment="1">
      <alignment horizontal="right"/>
    </xf>
    <xf numFmtId="43" fontId="94" fillId="0" borderId="0" xfId="8" applyFont="1" applyBorder="1" applyAlignment="1">
      <alignment horizontal="right"/>
    </xf>
    <xf numFmtId="167" fontId="33" fillId="0" borderId="0" xfId="29" applyFont="1" applyFill="1" applyBorder="1" applyAlignment="1">
      <alignment vertical="top"/>
    </xf>
    <xf numFmtId="0" fontId="86" fillId="0" borderId="2" xfId="31" applyNumberFormat="1" applyFont="1" applyBorder="1" applyAlignment="1">
      <alignment horizontal="center"/>
    </xf>
    <xf numFmtId="0" fontId="83" fillId="2" borderId="0" xfId="31" applyNumberFormat="1" applyFont="1" applyFill="1" applyAlignment="1">
      <alignment horizontal="center"/>
    </xf>
    <xf numFmtId="0" fontId="83" fillId="0" borderId="0" xfId="31" applyNumberFormat="1" applyFont="1" applyFill="1" applyAlignment="1">
      <alignment horizontal="center"/>
    </xf>
    <xf numFmtId="0" fontId="83" fillId="2" borderId="0" xfId="31" applyNumberFormat="1" applyFont="1" applyFill="1" applyBorder="1" applyAlignment="1">
      <alignment horizontal="center"/>
    </xf>
    <xf numFmtId="0" fontId="83" fillId="0" borderId="0" xfId="31" applyNumberFormat="1" applyFont="1" applyFill="1" applyBorder="1" applyAlignment="1">
      <alignment horizontal="center"/>
    </xf>
    <xf numFmtId="0" fontId="83" fillId="2" borderId="0" xfId="31" applyNumberFormat="1" applyFont="1" applyFill="1" applyBorder="1"/>
    <xf numFmtId="0" fontId="83" fillId="0" borderId="0" xfId="31" applyNumberFormat="1" applyFont="1" applyBorder="1" applyAlignment="1">
      <alignment horizontal="center"/>
    </xf>
    <xf numFmtId="0" fontId="83" fillId="0" borderId="19" xfId="31" applyNumberFormat="1" applyFont="1" applyBorder="1" applyAlignment="1">
      <alignment horizontal="center"/>
    </xf>
    <xf numFmtId="0" fontId="83" fillId="0" borderId="0" xfId="31" applyNumberFormat="1" applyFont="1"/>
    <xf numFmtId="0" fontId="84" fillId="4" borderId="0" xfId="31" applyNumberFormat="1" applyFont="1" applyFill="1"/>
    <xf numFmtId="0" fontId="83" fillId="4" borderId="0" xfId="31" applyNumberFormat="1" applyFont="1" applyFill="1"/>
    <xf numFmtId="0" fontId="83" fillId="0" borderId="17" xfId="31" applyNumberFormat="1" applyFont="1" applyBorder="1" applyAlignment="1">
      <alignment horizontal="left"/>
    </xf>
    <xf numFmtId="0" fontId="84" fillId="0" borderId="0" xfId="31" applyNumberFormat="1" applyFont="1"/>
    <xf numFmtId="0" fontId="84" fillId="0" borderId="0" xfId="31" applyNumberFormat="1" applyFont="1" applyAlignment="1">
      <alignment horizontal="right"/>
    </xf>
    <xf numFmtId="0" fontId="83" fillId="0" borderId="0" xfId="31" applyNumberFormat="1" applyFont="1" applyAlignment="1">
      <alignment horizontal="right"/>
    </xf>
    <xf numFmtId="167" fontId="98" fillId="0" borderId="0" xfId="4" applyFont="1" applyFill="1"/>
    <xf numFmtId="167" fontId="99" fillId="0" borderId="0" xfId="4" applyFont="1" applyAlignment="1">
      <alignment horizontal="left"/>
    </xf>
    <xf numFmtId="167" fontId="99" fillId="0" borderId="0" xfId="4" applyFont="1"/>
    <xf numFmtId="167" fontId="98" fillId="0" borderId="0" xfId="4" applyFont="1"/>
    <xf numFmtId="167" fontId="100" fillId="0" borderId="0" xfId="4" applyFont="1" applyFill="1" applyAlignment="1">
      <alignment horizontal="center"/>
    </xf>
    <xf numFmtId="167" fontId="98" fillId="0" borderId="0" xfId="4" applyFont="1" applyFill="1" applyAlignment="1">
      <alignment horizontal="justify" vertical="top" wrapText="1"/>
    </xf>
    <xf numFmtId="167" fontId="98" fillId="0" borderId="0" xfId="4" applyFont="1" applyAlignment="1">
      <alignment horizontal="left"/>
    </xf>
    <xf numFmtId="167" fontId="99" fillId="9" borderId="0" xfId="4" applyFont="1" applyFill="1" applyAlignment="1">
      <alignment horizontal="left"/>
    </xf>
    <xf numFmtId="167" fontId="98" fillId="9" borderId="0" xfId="4" applyFont="1" applyFill="1"/>
    <xf numFmtId="167" fontId="98" fillId="0" borderId="0" xfId="4" applyFont="1" applyFill="1" applyAlignment="1"/>
    <xf numFmtId="167" fontId="98" fillId="0" borderId="0" xfId="4" applyFont="1" applyFill="1" applyAlignment="1">
      <alignment horizontal="left"/>
    </xf>
    <xf numFmtId="167" fontId="101" fillId="0" borderId="0" xfId="4" applyFont="1" applyFill="1" applyAlignment="1"/>
    <xf numFmtId="167" fontId="99" fillId="0" borderId="0" xfId="4" applyFont="1" applyFill="1"/>
    <xf numFmtId="167" fontId="100" fillId="0" borderId="0" xfId="4" applyFont="1" applyAlignment="1">
      <alignment horizontal="right"/>
    </xf>
    <xf numFmtId="167" fontId="102" fillId="0" borderId="0" xfId="4" applyFont="1" applyAlignment="1">
      <alignment horizontal="right"/>
    </xf>
    <xf numFmtId="167" fontId="98" fillId="0" borderId="0" xfId="4" applyFont="1" applyAlignment="1">
      <alignment horizontal="right"/>
    </xf>
    <xf numFmtId="10" fontId="103" fillId="0" borderId="0" xfId="5" applyNumberFormat="1" applyFont="1"/>
    <xf numFmtId="167" fontId="98" fillId="0" borderId="0" xfId="4" applyFont="1" applyFill="1" applyAlignment="1">
      <alignment vertical="center"/>
    </xf>
    <xf numFmtId="167" fontId="98" fillId="0" borderId="0" xfId="4" applyFont="1" applyAlignment="1">
      <alignment vertical="center"/>
    </xf>
    <xf numFmtId="10" fontId="103" fillId="0" borderId="0" xfId="5" applyNumberFormat="1" applyFont="1" applyAlignment="1">
      <alignment vertical="center"/>
    </xf>
    <xf numFmtId="167" fontId="98" fillId="0" borderId="0" xfId="4" applyFont="1" applyAlignment="1"/>
    <xf numFmtId="167" fontId="98" fillId="0" borderId="0" xfId="4" applyFont="1" applyAlignment="1">
      <alignment horizontal="right" vertical="top"/>
    </xf>
    <xf numFmtId="167" fontId="101" fillId="0" borderId="0" xfId="4" applyFont="1"/>
    <xf numFmtId="167" fontId="98" fillId="0" borderId="0" xfId="4" applyFont="1" applyAlignment="1">
      <alignment horizontal="right" wrapText="1"/>
    </xf>
    <xf numFmtId="167" fontId="104" fillId="0" borderId="0" xfId="6" applyFont="1" applyFill="1" applyAlignment="1">
      <alignment horizontal="right"/>
    </xf>
    <xf numFmtId="167" fontId="101" fillId="9" borderId="0" xfId="4" applyFont="1" applyFill="1"/>
    <xf numFmtId="167" fontId="104" fillId="9" borderId="0" xfId="6" applyFont="1" applyFill="1" applyAlignment="1">
      <alignment horizontal="right"/>
    </xf>
    <xf numFmtId="167" fontId="100" fillId="0" borderId="0" xfId="4" applyFont="1" applyFill="1" applyAlignment="1">
      <alignment horizontal="right"/>
    </xf>
    <xf numFmtId="168" fontId="98" fillId="0" borderId="0" xfId="8" applyNumberFormat="1" applyFont="1" applyFill="1"/>
    <xf numFmtId="168" fontId="98" fillId="0" borderId="0" xfId="8" applyNumberFormat="1" applyFont="1"/>
    <xf numFmtId="168" fontId="103" fillId="0" borderId="0" xfId="8" applyNumberFormat="1" applyFont="1"/>
    <xf numFmtId="168" fontId="101" fillId="0" borderId="0" xfId="4" applyNumberFormat="1" applyFont="1" applyFill="1" applyAlignment="1">
      <alignment vertical="top"/>
    </xf>
    <xf numFmtId="167" fontId="98" fillId="0" borderId="0" xfId="4" applyFont="1" applyAlignment="1">
      <alignment horizontal="left" vertical="top"/>
    </xf>
    <xf numFmtId="167" fontId="98" fillId="0" borderId="0" xfId="4" applyFont="1" applyAlignment="1">
      <alignment horizontal="right" vertical="top" wrapText="1"/>
    </xf>
    <xf numFmtId="168" fontId="101" fillId="0" borderId="0" xfId="4" applyNumberFormat="1" applyFont="1" applyAlignment="1">
      <alignment vertical="top"/>
    </xf>
    <xf numFmtId="168" fontId="103" fillId="0" borderId="0" xfId="4" applyNumberFormat="1" applyFont="1" applyAlignment="1">
      <alignment vertical="top"/>
    </xf>
    <xf numFmtId="167" fontId="98" fillId="0" borderId="0" xfId="4" applyFont="1" applyAlignment="1">
      <alignment vertical="top"/>
    </xf>
    <xf numFmtId="167" fontId="99" fillId="9" borderId="0" xfId="4" applyFont="1" applyFill="1" applyAlignment="1">
      <alignment horizontal="right"/>
    </xf>
    <xf numFmtId="170" fontId="98" fillId="0" borderId="0" xfId="4" applyNumberFormat="1" applyFont="1"/>
    <xf numFmtId="167" fontId="98" fillId="0" borderId="0" xfId="4" applyFont="1" applyFill="1" applyAlignment="1">
      <alignment horizontal="left" wrapText="1"/>
    </xf>
    <xf numFmtId="167" fontId="103" fillId="0" borderId="0" xfId="4" applyFont="1"/>
    <xf numFmtId="167" fontId="105" fillId="0" borderId="0" xfId="4" applyFont="1" applyFill="1"/>
    <xf numFmtId="167" fontId="105" fillId="0" borderId="0" xfId="4" applyFont="1" applyAlignment="1">
      <alignment horizontal="right"/>
    </xf>
    <xf numFmtId="167" fontId="105" fillId="0" borderId="0" xfId="4" applyFont="1" applyBorder="1"/>
    <xf numFmtId="167" fontId="105" fillId="0" borderId="0" xfId="4" applyFont="1"/>
    <xf numFmtId="167" fontId="98" fillId="0" borderId="0" xfId="4" applyFont="1" applyBorder="1"/>
    <xf numFmtId="167" fontId="98" fillId="0" borderId="0" xfId="4" applyNumberFormat="1" applyFont="1" applyAlignment="1">
      <alignment horizontal="right"/>
    </xf>
    <xf numFmtId="10" fontId="98" fillId="0" borderId="0" xfId="2" applyNumberFormat="1" applyFont="1"/>
    <xf numFmtId="167" fontId="102" fillId="0" borderId="0" xfId="4" applyFont="1" applyFill="1" applyAlignment="1">
      <alignment horizontal="right"/>
    </xf>
    <xf numFmtId="167" fontId="98" fillId="0" borderId="0" xfId="4" applyFont="1" applyFill="1" applyAlignment="1">
      <alignment vertical="top"/>
    </xf>
    <xf numFmtId="167" fontId="98" fillId="0" borderId="0" xfId="4" applyFont="1" applyAlignment="1">
      <alignment vertical="top" wrapText="1"/>
    </xf>
    <xf numFmtId="170" fontId="98" fillId="0" borderId="0" xfId="4" applyNumberFormat="1" applyFont="1" applyAlignment="1">
      <alignment vertical="top"/>
    </xf>
    <xf numFmtId="170" fontId="98" fillId="0" borderId="0" xfId="4" applyNumberFormat="1" applyFont="1" applyFill="1" applyAlignment="1">
      <alignment vertical="top"/>
    </xf>
    <xf numFmtId="170" fontId="103" fillId="0" borderId="0" xfId="4" applyNumberFormat="1" applyFont="1" applyFill="1" applyAlignment="1">
      <alignment vertical="top"/>
    </xf>
    <xf numFmtId="167" fontId="99" fillId="0" borderId="0" xfId="4" applyFont="1" applyAlignment="1">
      <alignment horizontal="right"/>
    </xf>
    <xf numFmtId="10" fontId="103" fillId="0" borderId="0" xfId="4" applyNumberFormat="1" applyFont="1" applyAlignment="1">
      <alignment horizontal="right"/>
    </xf>
    <xf numFmtId="167" fontId="99" fillId="0" borderId="0" xfId="4" applyFont="1" applyFill="1" applyAlignment="1">
      <alignment horizontal="left"/>
    </xf>
    <xf numFmtId="167" fontId="99" fillId="0" borderId="0" xfId="4" applyFont="1" applyFill="1" applyAlignment="1">
      <alignment horizontal="right"/>
    </xf>
    <xf numFmtId="167" fontId="101" fillId="0" borderId="0" xfId="4" applyFont="1" applyFill="1"/>
    <xf numFmtId="43" fontId="106" fillId="0" borderId="0" xfId="1" applyFont="1"/>
    <xf numFmtId="43" fontId="108" fillId="0" borderId="0" xfId="1" applyFont="1" applyAlignment="1">
      <alignment horizontal="center"/>
    </xf>
    <xf numFmtId="167" fontId="108" fillId="0" borderId="0" xfId="0" applyFont="1" applyBorder="1" applyAlignment="1">
      <alignment horizontal="left"/>
    </xf>
    <xf numFmtId="43" fontId="108" fillId="0" borderId="0" xfId="1" applyFont="1"/>
    <xf numFmtId="167" fontId="109" fillId="0" borderId="0" xfId="0" applyFont="1" applyFill="1" applyBorder="1"/>
    <xf numFmtId="43" fontId="108" fillId="0" borderId="0" xfId="1" applyFont="1" applyBorder="1" applyAlignment="1">
      <alignment horizontal="left"/>
    </xf>
    <xf numFmtId="167" fontId="109" fillId="0" borderId="0" xfId="0" applyFont="1"/>
    <xf numFmtId="167" fontId="109" fillId="0" borderId="4" xfId="0" applyFont="1" applyBorder="1"/>
    <xf numFmtId="43" fontId="108" fillId="0" borderId="0" xfId="2" applyNumberFormat="1" applyFont="1" applyBorder="1" applyAlignment="1">
      <alignment horizontal="left"/>
    </xf>
    <xf numFmtId="167" fontId="109" fillId="0" borderId="0" xfId="0" applyFont="1" applyBorder="1"/>
    <xf numFmtId="167" fontId="22" fillId="0" borderId="0" xfId="0" applyFont="1"/>
    <xf numFmtId="43" fontId="110" fillId="0" borderId="0" xfId="1" applyFont="1" applyBorder="1" applyAlignment="1">
      <alignment horizontal="left"/>
    </xf>
    <xf numFmtId="43" fontId="108" fillId="0" borderId="1" xfId="1" applyFont="1" applyBorder="1"/>
    <xf numFmtId="167" fontId="108" fillId="0" borderId="0" xfId="0" applyFont="1"/>
    <xf numFmtId="43" fontId="82" fillId="0" borderId="0" xfId="1" applyFont="1" applyBorder="1" applyAlignment="1">
      <alignment horizontal="left"/>
    </xf>
    <xf numFmtId="167" fontId="22" fillId="0" borderId="0" xfId="0" applyFont="1" applyFill="1" applyBorder="1"/>
    <xf numFmtId="167" fontId="22" fillId="0" borderId="4" xfId="0" applyFont="1" applyBorder="1"/>
    <xf numFmtId="43" fontId="82" fillId="0" borderId="0" xfId="2" applyNumberFormat="1" applyFont="1" applyBorder="1" applyAlignment="1">
      <alignment horizontal="left"/>
    </xf>
    <xf numFmtId="167" fontId="22" fillId="0" borderId="0" xfId="0" applyFont="1" applyBorder="1"/>
    <xf numFmtId="43" fontId="82" fillId="0" borderId="0" xfId="1" applyFont="1" applyAlignment="1">
      <alignment horizontal="left"/>
    </xf>
    <xf numFmtId="167" fontId="82" fillId="0" borderId="0" xfId="0" applyFont="1" applyAlignment="1">
      <alignment horizontal="left"/>
    </xf>
    <xf numFmtId="167" fontId="112" fillId="0" borderId="0" xfId="0" applyFont="1" applyFill="1" applyAlignment="1">
      <alignment horizontal="center"/>
    </xf>
    <xf numFmtId="43" fontId="112" fillId="4" borderId="0" xfId="1" applyFont="1" applyFill="1" applyAlignment="1">
      <alignment horizontal="center"/>
    </xf>
    <xf numFmtId="167" fontId="113" fillId="0" borderId="0" xfId="0" applyFont="1"/>
    <xf numFmtId="43" fontId="112" fillId="3" borderId="0" xfId="1" applyFont="1" applyFill="1" applyAlignment="1">
      <alignment horizontal="right"/>
    </xf>
    <xf numFmtId="167" fontId="112" fillId="0" borderId="0" xfId="0" applyFont="1" applyFill="1" applyBorder="1" applyAlignment="1">
      <alignment horizontal="center"/>
    </xf>
    <xf numFmtId="43" fontId="112" fillId="2" borderId="0" xfId="1" applyFont="1" applyFill="1" applyAlignment="1">
      <alignment horizontal="right"/>
    </xf>
    <xf numFmtId="167" fontId="113" fillId="0" borderId="0" xfId="0" applyFont="1" applyAlignment="1">
      <alignment horizontal="right"/>
    </xf>
    <xf numFmtId="167" fontId="113" fillId="0" borderId="4" xfId="0" applyFont="1" applyBorder="1" applyAlignment="1">
      <alignment horizontal="right"/>
    </xf>
    <xf numFmtId="167" fontId="112" fillId="2" borderId="0" xfId="0" applyFont="1" applyFill="1" applyAlignment="1">
      <alignment horizontal="right"/>
    </xf>
    <xf numFmtId="43" fontId="22" fillId="0" borderId="0" xfId="0" applyNumberFormat="1" applyFont="1" applyFill="1" applyBorder="1"/>
    <xf numFmtId="43" fontId="22" fillId="0" borderId="0" xfId="0" applyNumberFormat="1" applyFont="1" applyAlignment="1">
      <alignment horizontal="left"/>
    </xf>
    <xf numFmtId="167" fontId="22" fillId="0" borderId="0" xfId="0" applyFont="1" applyAlignment="1">
      <alignment horizontal="left"/>
    </xf>
    <xf numFmtId="43" fontId="28" fillId="0" borderId="1" xfId="1" applyFont="1" applyBorder="1" applyAlignment="1">
      <alignment horizontal="center"/>
    </xf>
    <xf numFmtId="43" fontId="22" fillId="0" borderId="0" xfId="0" applyNumberFormat="1" applyFont="1" applyFill="1" applyBorder="1" applyAlignment="1">
      <alignment horizontal="center"/>
    </xf>
    <xf numFmtId="43" fontId="28" fillId="0" borderId="1" xfId="0" applyNumberFormat="1" applyFont="1" applyBorder="1" applyAlignment="1">
      <alignment horizontal="center"/>
    </xf>
    <xf numFmtId="167" fontId="22" fillId="0" borderId="0" xfId="0" applyFont="1" applyFill="1" applyBorder="1" applyAlignment="1">
      <alignment horizontal="center"/>
    </xf>
    <xf numFmtId="167" fontId="22" fillId="0" borderId="0" xfId="0" applyFont="1" applyAlignment="1">
      <alignment horizontal="right"/>
    </xf>
    <xf numFmtId="167" fontId="22" fillId="0" borderId="0" xfId="0" applyFont="1" applyAlignment="1">
      <alignment horizontal="center"/>
    </xf>
    <xf numFmtId="43" fontId="28" fillId="0" borderId="0" xfId="1" applyFont="1" applyAlignment="1">
      <alignment horizontal="center"/>
    </xf>
    <xf numFmtId="43" fontId="22" fillId="0" borderId="0" xfId="1" applyNumberFormat="1" applyFont="1" applyFill="1" applyBorder="1" applyAlignment="1">
      <alignment horizontal="center"/>
    </xf>
    <xf numFmtId="43" fontId="28" fillId="0" borderId="0" xfId="1" applyNumberFormat="1" applyFont="1" applyAlignment="1">
      <alignment horizontal="center"/>
    </xf>
    <xf numFmtId="43" fontId="28" fillId="0" borderId="0" xfId="1" applyFont="1"/>
    <xf numFmtId="43" fontId="28" fillId="0" borderId="0" xfId="0" applyNumberFormat="1" applyFont="1" applyAlignment="1">
      <alignment horizontal="center"/>
    </xf>
    <xf numFmtId="43" fontId="22" fillId="0" borderId="0" xfId="0" applyNumberFormat="1" applyFont="1" applyAlignment="1">
      <alignment horizontal="center"/>
    </xf>
    <xf numFmtId="43" fontId="28" fillId="0" borderId="0" xfId="1" applyFont="1" applyFill="1" applyBorder="1" applyAlignment="1">
      <alignment horizontal="left"/>
    </xf>
    <xf numFmtId="9" fontId="28" fillId="0" borderId="0" xfId="2" applyFont="1" applyFill="1" applyBorder="1" applyAlignment="1">
      <alignment horizontal="center"/>
    </xf>
    <xf numFmtId="43" fontId="114" fillId="0" borderId="0" xfId="1" applyFont="1" applyFill="1" applyBorder="1" applyAlignment="1">
      <alignment horizontal="left"/>
    </xf>
    <xf numFmtId="43" fontId="28" fillId="0" borderId="2" xfId="1" applyFont="1" applyBorder="1" applyAlignment="1">
      <alignment horizontal="center"/>
    </xf>
    <xf numFmtId="9" fontId="28" fillId="0" borderId="0" xfId="2" applyFont="1" applyAlignment="1">
      <alignment horizontal="left"/>
    </xf>
    <xf numFmtId="10" fontId="28" fillId="0" borderId="0" xfId="2" applyNumberFormat="1" applyFont="1"/>
    <xf numFmtId="167" fontId="28" fillId="0" borderId="0" xfId="0" applyFont="1"/>
    <xf numFmtId="167" fontId="28" fillId="0" borderId="4" xfId="0" applyFont="1" applyBorder="1"/>
    <xf numFmtId="167" fontId="91" fillId="0" borderId="0" xfId="0" applyFont="1" applyAlignment="1">
      <alignment horizontal="left"/>
    </xf>
    <xf numFmtId="43" fontId="22" fillId="0" borderId="0" xfId="1" applyFont="1" applyBorder="1"/>
    <xf numFmtId="9" fontId="22" fillId="0" borderId="0" xfId="2" applyFont="1" applyBorder="1"/>
    <xf numFmtId="43" fontId="28" fillId="0" borderId="0" xfId="1" applyFont="1" applyBorder="1"/>
    <xf numFmtId="167" fontId="28" fillId="0" borderId="0" xfId="0" applyFont="1" applyBorder="1"/>
    <xf numFmtId="167" fontId="91" fillId="0" borderId="0" xfId="0" applyFont="1" applyBorder="1" applyAlignment="1">
      <alignment horizontal="left"/>
    </xf>
    <xf numFmtId="10" fontId="28" fillId="0" borderId="0" xfId="2" applyNumberFormat="1" applyFont="1" applyFill="1"/>
    <xf numFmtId="43" fontId="28" fillId="0" borderId="0" xfId="1" applyFont="1" applyBorder="1" applyAlignment="1">
      <alignment horizontal="center"/>
    </xf>
    <xf numFmtId="167" fontId="30" fillId="0" borderId="0" xfId="0" applyFont="1" applyFill="1"/>
    <xf numFmtId="43" fontId="115" fillId="0" borderId="0" xfId="1" applyFont="1" applyAlignment="1">
      <alignment horizontal="right"/>
    </xf>
    <xf numFmtId="167" fontId="30" fillId="0" borderId="0" xfId="0" applyFont="1" applyBorder="1"/>
    <xf numFmtId="10" fontId="115" fillId="0" borderId="0" xfId="2" applyNumberFormat="1" applyFont="1" applyAlignment="1">
      <alignment horizontal="right"/>
    </xf>
    <xf numFmtId="43" fontId="30" fillId="0" borderId="0" xfId="1" applyFont="1" applyFill="1" applyBorder="1" applyAlignment="1">
      <alignment horizontal="center"/>
    </xf>
    <xf numFmtId="167" fontId="30" fillId="0" borderId="0" xfId="0" applyFont="1"/>
    <xf numFmtId="43" fontId="115" fillId="0" borderId="0" xfId="1" applyFont="1" applyAlignment="1">
      <alignment horizontal="left"/>
    </xf>
    <xf numFmtId="167" fontId="30" fillId="0" borderId="4" xfId="0" applyFont="1" applyBorder="1"/>
    <xf numFmtId="167" fontId="115" fillId="0" borderId="0" xfId="0" applyFont="1" applyAlignment="1">
      <alignment horizontal="left"/>
    </xf>
    <xf numFmtId="43" fontId="30" fillId="0" borderId="0" xfId="1" applyFont="1" applyFill="1" applyBorder="1"/>
    <xf numFmtId="43" fontId="30" fillId="0" borderId="0" xfId="1" applyFont="1" applyAlignment="1">
      <alignment horizontal="right"/>
    </xf>
    <xf numFmtId="43" fontId="30" fillId="0" borderId="0" xfId="1" applyFont="1" applyBorder="1"/>
    <xf numFmtId="167" fontId="30" fillId="0" borderId="0" xfId="0" applyFont="1" applyFill="1" applyBorder="1"/>
    <xf numFmtId="43" fontId="30" fillId="0" borderId="0" xfId="1" applyFont="1"/>
    <xf numFmtId="167" fontId="30" fillId="0" borderId="0" xfId="0" applyFont="1" applyAlignment="1">
      <alignment horizontal="right"/>
    </xf>
    <xf numFmtId="43" fontId="30" fillId="0" borderId="1" xfId="1" applyFont="1" applyBorder="1" applyAlignment="1">
      <alignment horizontal="right"/>
    </xf>
    <xf numFmtId="43" fontId="30" fillId="0" borderId="1" xfId="1" applyFont="1" applyBorder="1"/>
    <xf numFmtId="43" fontId="22" fillId="0" borderId="0" xfId="1" applyFont="1" applyAlignment="1">
      <alignment horizontal="right"/>
    </xf>
    <xf numFmtId="43" fontId="22" fillId="0" borderId="0" xfId="1" applyFont="1" applyBorder="1" applyAlignment="1">
      <alignment horizontal="center"/>
    </xf>
    <xf numFmtId="43" fontId="17" fillId="0" borderId="0" xfId="1" applyFont="1" applyAlignment="1">
      <alignment horizontal="right"/>
    </xf>
    <xf numFmtId="43" fontId="17" fillId="0" borderId="0" xfId="1" applyFont="1"/>
    <xf numFmtId="43" fontId="23" fillId="0" borderId="0" xfId="1" applyFont="1" applyAlignment="1">
      <alignment horizontal="right"/>
    </xf>
    <xf numFmtId="43" fontId="23" fillId="0" borderId="0" xfId="1" applyFont="1"/>
    <xf numFmtId="43" fontId="23" fillId="0" borderId="1" xfId="1" applyFont="1" applyBorder="1"/>
    <xf numFmtId="43" fontId="27" fillId="0" borderId="0" xfId="1" applyFont="1" applyAlignment="1">
      <alignment horizontal="center" vertical="center"/>
    </xf>
    <xf numFmtId="43" fontId="17" fillId="0" borderId="0" xfId="1" applyFont="1" applyFill="1" applyAlignment="1">
      <alignment horizontal="right" wrapText="1"/>
    </xf>
    <xf numFmtId="43" fontId="17" fillId="0" borderId="0" xfId="1" applyFont="1" applyAlignment="1">
      <alignment horizontal="right" wrapText="1"/>
    </xf>
    <xf numFmtId="172" fontId="38" fillId="0" borderId="40" xfId="16" applyNumberFormat="1" applyFont="1" applyFill="1" applyBorder="1"/>
    <xf numFmtId="172" fontId="36" fillId="0" borderId="40" xfId="16" applyNumberFormat="1" applyFont="1" applyFill="1" applyBorder="1"/>
    <xf numFmtId="168" fontId="36" fillId="0" borderId="41" xfId="8" applyNumberFormat="1" applyFont="1" applyFill="1" applyBorder="1"/>
    <xf numFmtId="168" fontId="37" fillId="0" borderId="41" xfId="8" applyNumberFormat="1" applyFont="1" applyFill="1" applyBorder="1"/>
    <xf numFmtId="168" fontId="36" fillId="0" borderId="41" xfId="8" applyNumberFormat="1" applyFont="1" applyFill="1" applyBorder="1" applyAlignment="1">
      <alignment vertical="top"/>
    </xf>
    <xf numFmtId="168" fontId="37" fillId="0" borderId="41" xfId="8" applyNumberFormat="1" applyFont="1" applyFill="1" applyBorder="1" applyAlignment="1">
      <alignment vertical="top"/>
    </xf>
    <xf numFmtId="168" fontId="36" fillId="0" borderId="42" xfId="8" applyNumberFormat="1" applyFont="1" applyFill="1" applyBorder="1"/>
    <xf numFmtId="172" fontId="36" fillId="0" borderId="12" xfId="16" applyNumberFormat="1" applyFont="1" applyFill="1" applyBorder="1"/>
    <xf numFmtId="168" fontId="36" fillId="0" borderId="43" xfId="8" applyNumberFormat="1" applyFont="1" applyFill="1" applyBorder="1"/>
    <xf numFmtId="172" fontId="36" fillId="0" borderId="41" xfId="16" applyNumberFormat="1" applyFont="1" applyFill="1" applyBorder="1"/>
    <xf numFmtId="43" fontId="45" fillId="0" borderId="0" xfId="1" applyFont="1" applyFill="1" applyBorder="1"/>
    <xf numFmtId="43" fontId="116" fillId="0" borderId="0" xfId="1" applyFont="1" applyFill="1" applyBorder="1"/>
    <xf numFmtId="43" fontId="9" fillId="0" borderId="0" xfId="1" applyFont="1" applyFill="1"/>
    <xf numFmtId="168" fontId="118" fillId="17" borderId="41" xfId="8" applyNumberFormat="1" applyFont="1" applyFill="1" applyBorder="1"/>
    <xf numFmtId="43" fontId="92" fillId="0" borderId="0" xfId="1" applyFont="1" applyFill="1" applyBorder="1"/>
    <xf numFmtId="43" fontId="119" fillId="0" borderId="0" xfId="1" applyFont="1" applyFill="1" applyBorder="1"/>
    <xf numFmtId="43" fontId="4" fillId="0" borderId="0" xfId="1" applyFont="1" applyFill="1" applyBorder="1"/>
    <xf numFmtId="43" fontId="4" fillId="0" borderId="0" xfId="1" applyFont="1" applyFill="1"/>
    <xf numFmtId="44" fontId="36" fillId="0" borderId="12" xfId="29" applyNumberFormat="1" applyFont="1" applyFill="1" applyBorder="1"/>
    <xf numFmtId="43" fontId="92" fillId="0" borderId="0" xfId="1" applyFont="1" applyFill="1" applyBorder="1" applyAlignment="1">
      <alignment vertical="center"/>
    </xf>
    <xf numFmtId="168" fontId="52" fillId="0" borderId="41" xfId="8" applyNumberFormat="1" applyFont="1" applyFill="1" applyBorder="1"/>
    <xf numFmtId="3" fontId="53" fillId="0" borderId="41" xfId="8" applyNumberFormat="1" applyFont="1" applyFill="1" applyBorder="1" applyAlignment="1">
      <alignment horizontal="right"/>
    </xf>
    <xf numFmtId="10" fontId="55" fillId="0" borderId="41" xfId="5" applyNumberFormat="1" applyFont="1" applyFill="1" applyBorder="1" applyAlignment="1">
      <alignment vertical="top"/>
    </xf>
    <xf numFmtId="172" fontId="32" fillId="0" borderId="12" xfId="8" applyNumberFormat="1" applyFont="1" applyFill="1" applyBorder="1"/>
    <xf numFmtId="172" fontId="32" fillId="0" borderId="12" xfId="16" applyNumberFormat="1" applyFont="1" applyFill="1" applyBorder="1"/>
    <xf numFmtId="10" fontId="49" fillId="5" borderId="13" xfId="5" applyNumberFormat="1" applyFont="1" applyFill="1" applyBorder="1" applyAlignment="1">
      <alignment vertical="top"/>
    </xf>
    <xf numFmtId="172" fontId="47" fillId="5" borderId="1" xfId="16" applyNumberFormat="1" applyFont="1" applyFill="1" applyBorder="1" applyAlignment="1"/>
    <xf numFmtId="10" fontId="61" fillId="5" borderId="13" xfId="5" applyNumberFormat="1" applyFont="1" applyFill="1" applyBorder="1" applyAlignment="1">
      <alignment vertical="top"/>
    </xf>
    <xf numFmtId="43" fontId="45" fillId="0" borderId="0" xfId="1" applyFont="1" applyFill="1" applyBorder="1" applyAlignment="1"/>
    <xf numFmtId="172" fontId="36" fillId="0" borderId="47" xfId="16" applyNumberFormat="1" applyFont="1" applyFill="1" applyBorder="1"/>
    <xf numFmtId="168" fontId="36" fillId="0" borderId="47" xfId="8" applyNumberFormat="1" applyFont="1" applyFill="1" applyBorder="1"/>
    <xf numFmtId="168" fontId="37" fillId="0" borderId="47" xfId="8" applyNumberFormat="1" applyFont="1" applyFill="1" applyBorder="1"/>
    <xf numFmtId="168" fontId="36" fillId="0" borderId="48" xfId="8" applyNumberFormat="1" applyFont="1" applyFill="1" applyBorder="1"/>
    <xf numFmtId="172" fontId="32" fillId="0" borderId="44" xfId="8" applyNumberFormat="1" applyFont="1" applyFill="1" applyBorder="1"/>
    <xf numFmtId="44" fontId="36" fillId="0" borderId="49" xfId="29" applyNumberFormat="1" applyFont="1" applyFill="1" applyBorder="1"/>
    <xf numFmtId="44" fontId="36" fillId="0" borderId="46" xfId="29" applyNumberFormat="1" applyFont="1" applyFill="1" applyBorder="1"/>
    <xf numFmtId="168" fontId="36" fillId="0" borderId="50" xfId="8" applyNumberFormat="1" applyFont="1" applyFill="1" applyBorder="1"/>
    <xf numFmtId="172" fontId="32" fillId="0" borderId="44" xfId="16" applyNumberFormat="1" applyFont="1" applyFill="1" applyBorder="1"/>
    <xf numFmtId="172" fontId="36" fillId="0" borderId="49" xfId="16" applyNumberFormat="1" applyFont="1" applyFill="1" applyBorder="1"/>
    <xf numFmtId="168" fontId="36" fillId="0" borderId="47" xfId="8" applyNumberFormat="1" applyFont="1" applyFill="1" applyBorder="1" applyAlignment="1">
      <alignment vertical="top"/>
    </xf>
    <xf numFmtId="168" fontId="37" fillId="0" borderId="47" xfId="8" applyNumberFormat="1" applyFont="1" applyFill="1" applyBorder="1" applyAlignment="1">
      <alignment vertical="top"/>
    </xf>
    <xf numFmtId="172" fontId="36" fillId="0" borderId="46" xfId="29" applyNumberFormat="1" applyFont="1" applyFill="1" applyBorder="1"/>
    <xf numFmtId="168" fontId="36" fillId="0" borderId="40" xfId="8" applyNumberFormat="1" applyFont="1" applyFill="1" applyBorder="1"/>
    <xf numFmtId="44" fontId="36" fillId="0" borderId="56" xfId="44" applyFont="1" applyFill="1" applyBorder="1"/>
    <xf numFmtId="44" fontId="36" fillId="0" borderId="2" xfId="29" applyNumberFormat="1" applyFont="1" applyFill="1" applyBorder="1"/>
    <xf numFmtId="44" fontId="36" fillId="0" borderId="57" xfId="29" applyNumberFormat="1" applyFont="1" applyFill="1" applyBorder="1"/>
    <xf numFmtId="172" fontId="36" fillId="0" borderId="56" xfId="16" applyNumberFormat="1" applyFont="1" applyFill="1" applyBorder="1"/>
    <xf numFmtId="172" fontId="36" fillId="0" borderId="58" xfId="16" applyNumberFormat="1" applyFont="1" applyFill="1" applyBorder="1"/>
    <xf numFmtId="167" fontId="36" fillId="0" borderId="2" xfId="29" applyFont="1" applyFill="1" applyBorder="1" applyAlignment="1">
      <alignment horizontal="center"/>
    </xf>
    <xf numFmtId="167" fontId="36" fillId="0" borderId="57" xfId="29" applyFont="1" applyFill="1" applyBorder="1" applyAlignment="1">
      <alignment horizontal="center"/>
    </xf>
    <xf numFmtId="172" fontId="36" fillId="0" borderId="2" xfId="29" applyNumberFormat="1" applyFont="1" applyFill="1" applyBorder="1" applyAlignment="1"/>
    <xf numFmtId="172" fontId="36" fillId="0" borderId="57" xfId="29" applyNumberFormat="1" applyFont="1" applyFill="1" applyBorder="1" applyAlignment="1"/>
    <xf numFmtId="168" fontId="37" fillId="0" borderId="46" xfId="8" applyNumberFormat="1" applyFont="1" applyFill="1" applyBorder="1"/>
    <xf numFmtId="172" fontId="32" fillId="0" borderId="44" xfId="29" applyNumberFormat="1" applyFont="1" applyFill="1" applyBorder="1"/>
    <xf numFmtId="168" fontId="118" fillId="17" borderId="47" xfId="8" applyNumberFormat="1" applyFont="1" applyFill="1" applyBorder="1"/>
    <xf numFmtId="172" fontId="47" fillId="5" borderId="58" xfId="16" applyNumberFormat="1" applyFont="1" applyFill="1" applyBorder="1" applyAlignment="1"/>
    <xf numFmtId="10" fontId="49" fillId="5" borderId="59" xfId="5" applyNumberFormat="1" applyFont="1" applyFill="1" applyBorder="1" applyAlignment="1">
      <alignment vertical="top"/>
    </xf>
    <xf numFmtId="168" fontId="52" fillId="0" borderId="47" xfId="8" applyNumberFormat="1" applyFont="1" applyFill="1" applyBorder="1"/>
    <xf numFmtId="3" fontId="53" fillId="0" borderId="47" xfId="8" applyNumberFormat="1" applyFont="1" applyFill="1" applyBorder="1" applyAlignment="1">
      <alignment horizontal="right"/>
    </xf>
    <xf numFmtId="10" fontId="55" fillId="0" borderId="47" xfId="5" applyNumberFormat="1" applyFont="1" applyFill="1" applyBorder="1" applyAlignment="1">
      <alignment vertical="top"/>
    </xf>
    <xf numFmtId="172" fontId="58" fillId="0" borderId="46" xfId="16" applyNumberFormat="1" applyFont="1" applyFill="1" applyBorder="1"/>
    <xf numFmtId="10" fontId="60" fillId="0" borderId="46" xfId="5" applyNumberFormat="1" applyFont="1" applyFill="1" applyBorder="1" applyAlignment="1">
      <alignment vertical="top"/>
    </xf>
    <xf numFmtId="10" fontId="61" fillId="5" borderId="59" xfId="5" applyNumberFormat="1" applyFont="1" applyFill="1" applyBorder="1" applyAlignment="1">
      <alignment vertical="top"/>
    </xf>
    <xf numFmtId="172" fontId="52" fillId="0" borderId="40" xfId="8" applyNumberFormat="1" applyFont="1" applyFill="1" applyBorder="1"/>
    <xf numFmtId="172" fontId="52" fillId="0" borderId="56" xfId="8" applyNumberFormat="1" applyFont="1" applyFill="1" applyBorder="1"/>
    <xf numFmtId="44" fontId="32" fillId="5" borderId="11" xfId="16" applyNumberFormat="1" applyFont="1" applyFill="1" applyBorder="1"/>
    <xf numFmtId="44" fontId="36" fillId="0" borderId="66" xfId="29" applyNumberFormat="1" applyFont="1" applyFill="1" applyBorder="1"/>
    <xf numFmtId="44" fontId="32" fillId="5" borderId="11" xfId="29" applyNumberFormat="1" applyFont="1" applyFill="1" applyBorder="1" applyAlignment="1">
      <alignment vertical="center"/>
    </xf>
    <xf numFmtId="172" fontId="32" fillId="5" borderId="45" xfId="8" applyNumberFormat="1" applyFont="1" applyFill="1" applyBorder="1" applyAlignment="1">
      <alignment vertical="center"/>
    </xf>
    <xf numFmtId="44" fontId="36" fillId="0" borderId="1" xfId="29" applyNumberFormat="1" applyFont="1" applyFill="1" applyBorder="1"/>
    <xf numFmtId="44" fontId="36" fillId="0" borderId="58" xfId="29" applyNumberFormat="1" applyFont="1" applyFill="1" applyBorder="1"/>
    <xf numFmtId="168" fontId="42" fillId="0" borderId="40" xfId="8" applyNumberFormat="1" applyFont="1" applyFill="1" applyBorder="1"/>
    <xf numFmtId="172" fontId="42" fillId="0" borderId="56" xfId="44" applyNumberFormat="1" applyFont="1" applyFill="1" applyBorder="1"/>
    <xf numFmtId="172" fontId="36" fillId="0" borderId="66" xfId="29" applyNumberFormat="1" applyFont="1" applyFill="1" applyBorder="1"/>
    <xf numFmtId="172" fontId="36" fillId="0" borderId="49" xfId="29" applyNumberFormat="1" applyFont="1" applyFill="1" applyBorder="1"/>
    <xf numFmtId="44" fontId="36" fillId="0" borderId="11" xfId="29" applyNumberFormat="1" applyFont="1" applyFill="1" applyBorder="1" applyAlignment="1">
      <alignment vertical="center"/>
    </xf>
    <xf numFmtId="172" fontId="32" fillId="5" borderId="45" xfId="29" applyNumberFormat="1" applyFont="1" applyFill="1" applyBorder="1" applyAlignment="1">
      <alignment vertical="center"/>
    </xf>
    <xf numFmtId="172" fontId="32" fillId="5" borderId="11" xfId="16" applyNumberFormat="1" applyFont="1" applyFill="1" applyBorder="1" applyAlignment="1">
      <alignment vertical="center"/>
    </xf>
    <xf numFmtId="172" fontId="32" fillId="5" borderId="45" xfId="16" applyNumberFormat="1" applyFont="1" applyFill="1" applyBorder="1" applyAlignment="1">
      <alignment vertical="center"/>
    </xf>
    <xf numFmtId="172" fontId="36" fillId="0" borderId="62" xfId="16" applyNumberFormat="1" applyFont="1" applyFill="1" applyBorder="1"/>
    <xf numFmtId="167" fontId="32" fillId="0" borderId="46" xfId="29" applyFont="1" applyFill="1" applyBorder="1"/>
    <xf numFmtId="167" fontId="64" fillId="0" borderId="46" xfId="29" applyFont="1" applyFill="1" applyBorder="1" applyAlignment="1"/>
    <xf numFmtId="172" fontId="36" fillId="0" borderId="67" xfId="16" applyNumberFormat="1" applyFont="1" applyFill="1" applyBorder="1"/>
    <xf numFmtId="168" fontId="36" fillId="0" borderId="46" xfId="8" applyNumberFormat="1" applyFont="1" applyFill="1" applyBorder="1"/>
    <xf numFmtId="172" fontId="68" fillId="14" borderId="58" xfId="16" applyNumberFormat="1" applyFont="1" applyFill="1" applyBorder="1" applyAlignment="1"/>
    <xf numFmtId="10" fontId="69" fillId="14" borderId="59" xfId="5" applyNumberFormat="1" applyFont="1" applyFill="1" applyBorder="1" applyAlignment="1">
      <alignment vertical="top"/>
    </xf>
    <xf numFmtId="44" fontId="32" fillId="14" borderId="11" xfId="16" applyNumberFormat="1" applyFont="1" applyFill="1" applyBorder="1"/>
    <xf numFmtId="167" fontId="9" fillId="15" borderId="0" xfId="29" applyFont="1" applyFill="1" applyBorder="1" applyAlignment="1"/>
    <xf numFmtId="10" fontId="56" fillId="0" borderId="2" xfId="5" applyNumberFormat="1" applyFont="1" applyFill="1" applyBorder="1" applyAlignment="1">
      <alignment vertical="top"/>
    </xf>
    <xf numFmtId="10" fontId="56" fillId="0" borderId="57" xfId="5" applyNumberFormat="1" applyFont="1" applyFill="1" applyBorder="1" applyAlignment="1">
      <alignment vertical="top"/>
    </xf>
    <xf numFmtId="172" fontId="52" fillId="0" borderId="62" xfId="8" applyNumberFormat="1" applyFont="1" applyFill="1" applyBorder="1"/>
    <xf numFmtId="172" fontId="52" fillId="0" borderId="67" xfId="8" applyNumberFormat="1" applyFont="1" applyFill="1" applyBorder="1"/>
    <xf numFmtId="0" fontId="52" fillId="0" borderId="41" xfId="29" applyNumberFormat="1" applyFont="1" applyFill="1" applyBorder="1"/>
    <xf numFmtId="0" fontId="48" fillId="0" borderId="41" xfId="29" applyNumberFormat="1" applyFont="1" applyFill="1" applyBorder="1"/>
    <xf numFmtId="168" fontId="52" fillId="0" borderId="43" xfId="8" applyNumberFormat="1" applyFont="1" applyFill="1" applyBorder="1"/>
    <xf numFmtId="168" fontId="52" fillId="0" borderId="48" xfId="8" applyNumberFormat="1" applyFont="1" applyFill="1" applyBorder="1"/>
    <xf numFmtId="172" fontId="32" fillId="0" borderId="40" xfId="16" applyNumberFormat="1" applyFont="1" applyFill="1" applyBorder="1" applyAlignment="1">
      <alignment vertical="center"/>
    </xf>
    <xf numFmtId="172" fontId="32" fillId="0" borderId="56" xfId="16" applyNumberFormat="1" applyFont="1" applyFill="1" applyBorder="1" applyAlignment="1">
      <alignment vertical="center"/>
    </xf>
    <xf numFmtId="168" fontId="32" fillId="0" borderId="41" xfId="8" applyNumberFormat="1" applyFont="1" applyFill="1" applyBorder="1" applyAlignment="1">
      <alignment vertical="center"/>
    </xf>
    <xf numFmtId="168" fontId="32" fillId="0" borderId="47" xfId="8" applyNumberFormat="1" applyFont="1" applyFill="1" applyBorder="1" applyAlignment="1">
      <alignment vertical="center"/>
    </xf>
    <xf numFmtId="168" fontId="32" fillId="0" borderId="43" xfId="8" applyNumberFormat="1" applyFont="1" applyFill="1" applyBorder="1" applyAlignment="1">
      <alignment vertical="center"/>
    </xf>
    <xf numFmtId="168" fontId="32" fillId="0" borderId="48" xfId="8" applyNumberFormat="1" applyFont="1" applyFill="1" applyBorder="1" applyAlignment="1">
      <alignment vertical="center"/>
    </xf>
    <xf numFmtId="172" fontId="36" fillId="14" borderId="11" xfId="16" applyNumberFormat="1" applyFont="1" applyFill="1" applyBorder="1" applyAlignment="1">
      <alignment vertical="center"/>
    </xf>
    <xf numFmtId="172" fontId="36" fillId="14" borderId="45" xfId="16" applyNumberFormat="1" applyFont="1" applyFill="1" applyBorder="1" applyAlignment="1">
      <alignment vertical="center"/>
    </xf>
    <xf numFmtId="172" fontId="9" fillId="0" borderId="0" xfId="16" applyNumberFormat="1" applyFont="1" applyFill="1" applyBorder="1" applyAlignment="1">
      <alignment vertical="center"/>
    </xf>
    <xf numFmtId="167" fontId="9" fillId="0" borderId="0" xfId="29" applyFont="1" applyAlignment="1">
      <alignment vertical="center"/>
    </xf>
    <xf numFmtId="168" fontId="36" fillId="14" borderId="11" xfId="8" applyNumberFormat="1" applyFont="1" applyFill="1" applyBorder="1" applyAlignment="1">
      <alignment vertical="center"/>
    </xf>
    <xf numFmtId="168" fontId="36" fillId="14" borderId="45" xfId="8" applyNumberFormat="1" applyFont="1" applyFill="1" applyBorder="1" applyAlignment="1">
      <alignment vertical="center"/>
    </xf>
    <xf numFmtId="168" fontId="37" fillId="0" borderId="42" xfId="8" applyNumberFormat="1" applyFont="1" applyFill="1" applyBorder="1"/>
    <xf numFmtId="168" fontId="37" fillId="0" borderId="50" xfId="8" applyNumberFormat="1" applyFont="1" applyFill="1" applyBorder="1"/>
    <xf numFmtId="168" fontId="36" fillId="0" borderId="13" xfId="8" applyNumberFormat="1" applyFont="1" applyFill="1" applyBorder="1"/>
    <xf numFmtId="172" fontId="32" fillId="0" borderId="59" xfId="44" applyNumberFormat="1" applyFont="1" applyFill="1" applyBorder="1"/>
    <xf numFmtId="44" fontId="36" fillId="0" borderId="40" xfId="29" applyNumberFormat="1" applyFont="1" applyFill="1" applyBorder="1"/>
    <xf numFmtId="44" fontId="36" fillId="0" borderId="56" xfId="29" applyNumberFormat="1" applyFont="1" applyFill="1" applyBorder="1"/>
    <xf numFmtId="0" fontId="36" fillId="0" borderId="41" xfId="29" applyNumberFormat="1" applyFont="1" applyFill="1" applyBorder="1"/>
    <xf numFmtId="0" fontId="118" fillId="17" borderId="41" xfId="29" applyNumberFormat="1" applyFont="1" applyFill="1" applyBorder="1"/>
    <xf numFmtId="0" fontId="37" fillId="17" borderId="41" xfId="29" applyNumberFormat="1" applyFont="1" applyFill="1" applyBorder="1"/>
    <xf numFmtId="168" fontId="37" fillId="17" borderId="41" xfId="8" applyNumberFormat="1" applyFont="1" applyFill="1" applyBorder="1"/>
    <xf numFmtId="168" fontId="36" fillId="0" borderId="62" xfId="8" applyNumberFormat="1" applyFont="1" applyFill="1" applyBorder="1"/>
    <xf numFmtId="172" fontId="36" fillId="0" borderId="67" xfId="44" applyNumberFormat="1" applyFont="1" applyFill="1" applyBorder="1"/>
    <xf numFmtId="172" fontId="32" fillId="14" borderId="45" xfId="44" applyNumberFormat="1" applyFont="1" applyFill="1" applyBorder="1" applyAlignment="1">
      <alignment vertical="center"/>
    </xf>
    <xf numFmtId="168" fontId="9" fillId="0" borderId="0" xfId="8" applyNumberFormat="1" applyFont="1" applyFill="1" applyBorder="1" applyAlignment="1">
      <alignment vertical="center"/>
    </xf>
    <xf numFmtId="0" fontId="36" fillId="0" borderId="40" xfId="29" applyNumberFormat="1" applyFont="1" applyFill="1" applyBorder="1"/>
    <xf numFmtId="44" fontId="36" fillId="14" borderId="11" xfId="29" applyNumberFormat="1" applyFont="1" applyFill="1" applyBorder="1" applyAlignment="1">
      <alignment vertical="center"/>
    </xf>
    <xf numFmtId="172" fontId="32" fillId="14" borderId="45" xfId="29" applyNumberFormat="1" applyFont="1" applyFill="1" applyBorder="1" applyAlignment="1">
      <alignment vertical="center"/>
    </xf>
    <xf numFmtId="0" fontId="52" fillId="0" borderId="52" xfId="29" applyNumberFormat="1" applyFont="1" applyFill="1" applyBorder="1"/>
    <xf numFmtId="44" fontId="32" fillId="0" borderId="66" xfId="16" applyNumberFormat="1" applyFont="1" applyFill="1" applyBorder="1"/>
    <xf numFmtId="44" fontId="32" fillId="0" borderId="69" xfId="16" applyNumberFormat="1" applyFont="1" applyFill="1" applyBorder="1"/>
    <xf numFmtId="44" fontId="32" fillId="14" borderId="36" xfId="16" applyNumberFormat="1" applyFont="1" applyFill="1" applyBorder="1"/>
    <xf numFmtId="44" fontId="36" fillId="0" borderId="6" xfId="29" applyNumberFormat="1" applyFont="1" applyFill="1" applyBorder="1"/>
    <xf numFmtId="172" fontId="36" fillId="0" borderId="70" xfId="16" applyNumberFormat="1" applyFont="1" applyFill="1" applyBorder="1"/>
    <xf numFmtId="172" fontId="36" fillId="0" borderId="8" xfId="16" applyNumberFormat="1" applyFont="1" applyFill="1" applyBorder="1"/>
    <xf numFmtId="44" fontId="36" fillId="0" borderId="10" xfId="29" applyNumberFormat="1" applyFont="1" applyFill="1" applyBorder="1"/>
    <xf numFmtId="44" fontId="32" fillId="0" borderId="2" xfId="16" applyNumberFormat="1" applyFont="1" applyFill="1" applyBorder="1"/>
    <xf numFmtId="44" fontId="32" fillId="0" borderId="10" xfId="16" applyNumberFormat="1" applyFont="1" applyFill="1" applyBorder="1"/>
    <xf numFmtId="44" fontId="36" fillId="0" borderId="2" xfId="29" applyNumberFormat="1" applyFont="1" applyFill="1" applyBorder="1" applyAlignment="1">
      <alignment vertical="center"/>
    </xf>
    <xf numFmtId="172" fontId="32" fillId="0" borderId="2" xfId="29" applyNumberFormat="1" applyFont="1" applyFill="1" applyBorder="1" applyAlignment="1">
      <alignment vertical="center"/>
    </xf>
    <xf numFmtId="172" fontId="32" fillId="0" borderId="10" xfId="29" applyNumberFormat="1" applyFont="1" applyFill="1" applyBorder="1" applyAlignment="1">
      <alignment vertical="center"/>
    </xf>
    <xf numFmtId="10" fontId="49" fillId="0" borderId="2" xfId="5" applyNumberFormat="1" applyFont="1" applyFill="1" applyBorder="1" applyAlignment="1">
      <alignment vertical="top"/>
    </xf>
    <xf numFmtId="10" fontId="49" fillId="0" borderId="10" xfId="5" applyNumberFormat="1" applyFont="1" applyFill="1" applyBorder="1" applyAlignment="1">
      <alignment vertical="top"/>
    </xf>
    <xf numFmtId="44" fontId="32" fillId="5" borderId="36" xfId="16" applyNumberFormat="1" applyFont="1" applyFill="1" applyBorder="1"/>
    <xf numFmtId="43" fontId="2" fillId="0" borderId="0" xfId="1" applyFont="1" applyAlignment="1">
      <alignment horizontal="right" wrapText="1"/>
    </xf>
    <xf numFmtId="43" fontId="17" fillId="0" borderId="0" xfId="1" applyFont="1" applyAlignment="1">
      <alignment horizontal="right" wrapText="1"/>
    </xf>
    <xf numFmtId="43" fontId="23" fillId="0" borderId="0" xfId="1" applyFont="1" applyAlignment="1">
      <alignment horizontal="left"/>
    </xf>
    <xf numFmtId="43" fontId="106" fillId="0" borderId="0" xfId="1" applyFont="1" applyAlignment="1">
      <alignment horizontal="center"/>
    </xf>
    <xf numFmtId="43" fontId="106" fillId="0" borderId="0" xfId="1" applyFont="1" applyBorder="1" applyAlignment="1">
      <alignment horizontal="left"/>
    </xf>
    <xf numFmtId="43" fontId="106" fillId="0" borderId="0" xfId="1" applyFont="1" applyBorder="1"/>
    <xf numFmtId="43" fontId="106" fillId="0" borderId="0" xfId="1" applyFont="1" applyFill="1" applyBorder="1"/>
    <xf numFmtId="43" fontId="106" fillId="0" borderId="1" xfId="1" applyFont="1" applyBorder="1" applyAlignment="1">
      <alignment horizontal="center"/>
    </xf>
    <xf numFmtId="43" fontId="23" fillId="0" borderId="1" xfId="1" applyFont="1" applyBorder="1" applyAlignment="1">
      <alignment horizontal="center"/>
    </xf>
    <xf numFmtId="43" fontId="122" fillId="0" borderId="0" xfId="1" applyFont="1"/>
    <xf numFmtId="43" fontId="17" fillId="0" borderId="45" xfId="1" applyFont="1" applyFill="1" applyBorder="1" applyAlignment="1">
      <alignment horizontal="right" wrapText="1"/>
    </xf>
    <xf numFmtId="43" fontId="22" fillId="0" borderId="45" xfId="1" applyFont="1" applyFill="1" applyBorder="1" applyAlignment="1">
      <alignment horizontal="center"/>
    </xf>
    <xf numFmtId="43" fontId="17" fillId="0" borderId="45" xfId="1" applyFont="1" applyBorder="1" applyAlignment="1">
      <alignment horizontal="right" wrapText="1"/>
    </xf>
    <xf numFmtId="43" fontId="22" fillId="0" borderId="45" xfId="1" applyFont="1" applyFill="1" applyBorder="1" applyAlignment="1"/>
    <xf numFmtId="43" fontId="23" fillId="3" borderId="0" xfId="1" applyFont="1" applyFill="1" applyAlignment="1">
      <alignment horizontal="center"/>
    </xf>
    <xf numFmtId="43" fontId="23" fillId="3" borderId="0" xfId="1" applyFont="1" applyFill="1" applyBorder="1" applyAlignment="1">
      <alignment horizontal="left"/>
    </xf>
    <xf numFmtId="43" fontId="23" fillId="3" borderId="0" xfId="1" applyFont="1" applyFill="1" applyBorder="1"/>
    <xf numFmtId="43" fontId="124" fillId="0" borderId="0" xfId="1" applyFont="1" applyAlignment="1">
      <alignment horizontal="center"/>
    </xf>
    <xf numFmtId="43" fontId="127" fillId="0" borderId="0" xfId="8" applyFont="1" applyBorder="1" applyAlignment="1">
      <alignment horizontal="right"/>
    </xf>
    <xf numFmtId="43" fontId="128" fillId="0" borderId="0" xfId="8" applyFont="1" applyBorder="1" applyAlignment="1">
      <alignment horizontal="left"/>
    </xf>
    <xf numFmtId="44" fontId="127" fillId="0" borderId="0" xfId="29" applyNumberFormat="1" applyFont="1" applyFill="1" applyBorder="1"/>
    <xf numFmtId="167" fontId="127" fillId="0" borderId="0" xfId="29" applyFont="1" applyFill="1" applyBorder="1"/>
    <xf numFmtId="43" fontId="128" fillId="0" borderId="0" xfId="8" applyFont="1" applyBorder="1" applyAlignment="1">
      <alignment horizontal="right"/>
    </xf>
    <xf numFmtId="43" fontId="127" fillId="0" borderId="0" xfId="1" applyFont="1" applyFill="1" applyBorder="1"/>
    <xf numFmtId="167" fontId="127" fillId="0" borderId="0" xfId="29" applyFont="1" applyFill="1" applyBorder="1" applyAlignment="1">
      <alignment vertical="top"/>
    </xf>
    <xf numFmtId="168" fontId="127" fillId="0" borderId="0" xfId="29" applyNumberFormat="1" applyFont="1" applyFill="1" applyBorder="1" applyAlignment="1">
      <alignment vertical="top"/>
    </xf>
    <xf numFmtId="167" fontId="41" fillId="0" borderId="0" xfId="29" applyFont="1" applyFill="1" applyBorder="1"/>
    <xf numFmtId="43" fontId="95" fillId="0" borderId="0" xfId="1" applyFont="1" applyFill="1" applyBorder="1"/>
    <xf numFmtId="10" fontId="96" fillId="0" borderId="0" xfId="2" applyNumberFormat="1" applyFont="1" applyFill="1" applyBorder="1"/>
    <xf numFmtId="43" fontId="63" fillId="0" borderId="0" xfId="8" applyFont="1" applyBorder="1" applyAlignment="1">
      <alignment horizontal="left"/>
    </xf>
    <xf numFmtId="0" fontId="63" fillId="0" borderId="0" xfId="8" applyNumberFormat="1" applyFont="1" applyBorder="1" applyAlignment="1"/>
    <xf numFmtId="175" fontId="63" fillId="0" borderId="0" xfId="8" applyNumberFormat="1" applyFont="1" applyBorder="1" applyAlignment="1">
      <alignment horizontal="right"/>
    </xf>
    <xf numFmtId="43" fontId="129" fillId="0" borderId="0" xfId="8" applyFont="1" applyBorder="1"/>
    <xf numFmtId="43" fontId="9" fillId="0" borderId="0" xfId="1" applyFont="1"/>
    <xf numFmtId="43" fontId="65" fillId="0" borderId="0" xfId="1" applyFont="1"/>
    <xf numFmtId="43" fontId="9" fillId="0" borderId="0" xfId="1" applyFont="1" applyAlignment="1">
      <alignment vertical="center"/>
    </xf>
    <xf numFmtId="43" fontId="9" fillId="0" borderId="0" xfId="1" applyFont="1" applyAlignment="1">
      <alignment vertical="top"/>
    </xf>
    <xf numFmtId="43" fontId="65" fillId="0" borderId="0" xfId="1" applyFont="1" applyAlignment="1">
      <alignment vertical="top"/>
    </xf>
    <xf numFmtId="43" fontId="33" fillId="0" borderId="0" xfId="1" applyFont="1" applyFill="1"/>
    <xf numFmtId="43" fontId="63" fillId="0" borderId="0" xfId="1" applyFont="1" applyFill="1"/>
    <xf numFmtId="43" fontId="9" fillId="0" borderId="0" xfId="1" applyFont="1" applyFill="1" applyAlignment="1"/>
    <xf numFmtId="43" fontId="9" fillId="0" borderId="0" xfId="1" applyFont="1" applyFill="1" applyAlignment="1">
      <alignment vertical="top"/>
    </xf>
    <xf numFmtId="167" fontId="131" fillId="0" borderId="0" xfId="29" applyFont="1" applyFill="1" applyBorder="1"/>
    <xf numFmtId="175" fontId="130" fillId="0" borderId="0" xfId="8" applyNumberFormat="1" applyFont="1" applyFill="1" applyBorder="1" applyAlignment="1">
      <alignment horizontal="left"/>
    </xf>
    <xf numFmtId="10" fontId="61" fillId="0" borderId="0" xfId="5" applyNumberFormat="1" applyFont="1" applyFill="1" applyBorder="1" applyAlignment="1">
      <alignment vertical="top"/>
    </xf>
    <xf numFmtId="43" fontId="17" fillId="0" borderId="0" xfId="1" applyFont="1" applyAlignment="1">
      <alignment horizontal="center"/>
    </xf>
    <xf numFmtId="43" fontId="133" fillId="0" borderId="0" xfId="1" applyFont="1" applyBorder="1" applyAlignment="1">
      <alignment horizontal="center"/>
    </xf>
    <xf numFmtId="43" fontId="27" fillId="0" borderId="0" xfId="1" applyFont="1" applyBorder="1" applyAlignment="1">
      <alignment horizontal="center" vertical="top"/>
    </xf>
    <xf numFmtId="43" fontId="27" fillId="0" borderId="0" xfId="1" applyFont="1" applyAlignment="1">
      <alignment vertical="top"/>
    </xf>
    <xf numFmtId="43" fontId="27" fillId="0" borderId="0" xfId="1" applyFont="1" applyBorder="1" applyAlignment="1">
      <alignment vertical="top"/>
    </xf>
    <xf numFmtId="43" fontId="27" fillId="0" borderId="0" xfId="1" applyFont="1" applyBorder="1"/>
    <xf numFmtId="43" fontId="17" fillId="0" borderId="1" xfId="1" applyFont="1" applyBorder="1" applyAlignment="1">
      <alignment horizontal="center"/>
    </xf>
    <xf numFmtId="43" fontId="17" fillId="0" borderId="0" xfId="1" applyFont="1" applyBorder="1"/>
    <xf numFmtId="43" fontId="27" fillId="0" borderId="3" xfId="1" applyFont="1" applyBorder="1"/>
    <xf numFmtId="43" fontId="27" fillId="0" borderId="1" xfId="1" applyFont="1" applyBorder="1" applyAlignment="1">
      <alignment horizontal="center"/>
    </xf>
    <xf numFmtId="43" fontId="17" fillId="3" borderId="0" xfId="1" applyFont="1" applyFill="1" applyAlignment="1">
      <alignment horizontal="center"/>
    </xf>
    <xf numFmtId="43" fontId="17" fillId="0" borderId="1" xfId="1" applyFont="1" applyBorder="1"/>
    <xf numFmtId="43" fontId="27" fillId="0" borderId="0" xfId="1" applyFont="1" applyFill="1" applyAlignment="1">
      <alignment horizontal="center"/>
    </xf>
    <xf numFmtId="43" fontId="2" fillId="0" borderId="0" xfId="1" applyFont="1" applyAlignment="1">
      <alignment horizontal="right" wrapText="1"/>
    </xf>
    <xf numFmtId="43" fontId="17" fillId="0" borderId="0" xfId="1" applyFont="1" applyAlignment="1">
      <alignment horizontal="right" wrapText="1"/>
    </xf>
    <xf numFmtId="43" fontId="0" fillId="18" borderId="0" xfId="1" applyFont="1" applyFill="1"/>
    <xf numFmtId="43" fontId="97" fillId="14" borderId="0" xfId="1" applyFont="1" applyFill="1"/>
    <xf numFmtId="43" fontId="17" fillId="0" borderId="0" xfId="1" applyFont="1" applyBorder="1" applyAlignment="1">
      <alignment horizontal="right" wrapText="1"/>
    </xf>
    <xf numFmtId="43" fontId="22" fillId="0" borderId="0" xfId="1" applyFont="1" applyFill="1" applyBorder="1" applyAlignment="1"/>
    <xf numFmtId="43" fontId="2" fillId="0" borderId="3" xfId="1" applyFont="1" applyBorder="1" applyAlignment="1">
      <alignment horizontal="right" wrapText="1"/>
    </xf>
    <xf numFmtId="43" fontId="17" fillId="0" borderId="3" xfId="1" applyFont="1" applyBorder="1" applyAlignment="1">
      <alignment horizontal="right" wrapText="1"/>
    </xf>
    <xf numFmtId="43" fontId="22" fillId="0" borderId="3" xfId="1" applyFont="1" applyFill="1" applyBorder="1" applyAlignment="1"/>
    <xf numFmtId="0" fontId="3" fillId="0" borderId="0" xfId="1" applyNumberFormat="1" applyFont="1"/>
    <xf numFmtId="43" fontId="2" fillId="0" borderId="0" xfId="1" applyFont="1" applyFill="1" applyAlignment="1">
      <alignment horizontal="left"/>
    </xf>
    <xf numFmtId="43" fontId="2" fillId="0" borderId="0" xfId="1" applyFont="1" applyFill="1" applyAlignment="1">
      <alignment horizontal="center"/>
    </xf>
    <xf numFmtId="43" fontId="22" fillId="0" borderId="1" xfId="1" applyFont="1" applyBorder="1"/>
    <xf numFmtId="43" fontId="17" fillId="6" borderId="0" xfId="1" applyFont="1" applyFill="1"/>
    <xf numFmtId="43" fontId="17" fillId="14" borderId="0" xfId="1" applyFont="1" applyFill="1"/>
    <xf numFmtId="43" fontId="134" fillId="0" borderId="0" xfId="1" applyFont="1"/>
    <xf numFmtId="43" fontId="134" fillId="0" borderId="0" xfId="1" applyFont="1" applyFill="1"/>
    <xf numFmtId="43" fontId="2" fillId="0" borderId="0" xfId="1" applyFont="1" applyAlignment="1">
      <alignment wrapText="1"/>
    </xf>
    <xf numFmtId="43" fontId="22" fillId="0" borderId="0" xfId="1" applyFont="1" applyFill="1" applyAlignment="1">
      <alignment horizontal="center"/>
    </xf>
    <xf numFmtId="43" fontId="23" fillId="0" borderId="0" xfId="1" applyFont="1" applyAlignment="1">
      <alignment wrapText="1"/>
    </xf>
    <xf numFmtId="43" fontId="17" fillId="6" borderId="0" xfId="1" applyFont="1" applyFill="1" applyBorder="1" applyAlignment="1">
      <alignment horizontal="left" vertical="top"/>
    </xf>
    <xf numFmtId="43" fontId="17" fillId="0" borderId="0" xfId="1" applyFont="1" applyFill="1"/>
    <xf numFmtId="43" fontId="5" fillId="0" borderId="0" xfId="1" applyFont="1" applyAlignment="1">
      <alignment horizontal="center"/>
    </xf>
    <xf numFmtId="43" fontId="5" fillId="0" borderId="0" xfId="1" applyFont="1" applyFill="1" applyAlignment="1">
      <alignment horizontal="center"/>
    </xf>
    <xf numFmtId="167" fontId="17" fillId="0" borderId="0" xfId="0" applyFont="1"/>
    <xf numFmtId="43" fontId="2" fillId="0" borderId="0" xfId="1" applyFont="1" applyAlignment="1">
      <alignment horizontal="right" wrapText="1"/>
    </xf>
    <xf numFmtId="43" fontId="17" fillId="0" borderId="0" xfId="1" applyFont="1" applyAlignment="1">
      <alignment horizontal="right" wrapText="1"/>
    </xf>
    <xf numFmtId="169" fontId="98" fillId="0" borderId="0" xfId="2" applyNumberFormat="1" applyFont="1"/>
    <xf numFmtId="166" fontId="98" fillId="0" borderId="0" xfId="2" applyNumberFormat="1" applyFont="1"/>
    <xf numFmtId="43" fontId="14" fillId="19" borderId="0" xfId="1" applyFont="1" applyFill="1" applyAlignment="1"/>
    <xf numFmtId="43" fontId="14" fillId="19" borderId="0" xfId="1" applyFont="1" applyFill="1" applyAlignment="1">
      <alignment horizontal="center"/>
    </xf>
    <xf numFmtId="43" fontId="15" fillId="19" borderId="0" xfId="1" applyFont="1" applyFill="1"/>
    <xf numFmtId="0" fontId="0" fillId="0" borderId="0" xfId="2" applyNumberFormat="1" applyFont="1" applyBorder="1"/>
    <xf numFmtId="0" fontId="6" fillId="0" borderId="0" xfId="0" applyNumberFormat="1" applyFont="1" applyBorder="1" applyAlignment="1">
      <alignment horizontal="left"/>
    </xf>
    <xf numFmtId="0" fontId="6" fillId="0" borderId="0" xfId="0" applyNumberFormat="1" applyFont="1"/>
    <xf numFmtId="0" fontId="0" fillId="0" borderId="0" xfId="0" applyNumberFormat="1" applyFont="1"/>
    <xf numFmtId="0" fontId="14" fillId="4" borderId="0" xfId="0" applyNumberFormat="1" applyFont="1" applyFill="1" applyAlignment="1">
      <alignment horizontal="center"/>
    </xf>
    <xf numFmtId="0" fontId="2" fillId="0" borderId="0" xfId="1" applyNumberFormat="1" applyFont="1" applyFill="1" applyBorder="1" applyAlignment="1">
      <alignment horizontal="left"/>
    </xf>
    <xf numFmtId="0" fontId="5" fillId="0" borderId="0" xfId="1" applyNumberFormat="1" applyFont="1" applyBorder="1" applyAlignment="1">
      <alignment horizontal="left"/>
    </xf>
    <xf numFmtId="0" fontId="2" fillId="0" borderId="0" xfId="1" applyNumberFormat="1" applyFont="1"/>
    <xf numFmtId="0" fontId="23" fillId="0" borderId="0" xfId="1" applyNumberFormat="1" applyFont="1"/>
    <xf numFmtId="0" fontId="0" fillId="0" borderId="0" xfId="1" applyNumberFormat="1" applyFont="1"/>
    <xf numFmtId="0" fontId="2" fillId="0" borderId="0" xfId="1" applyNumberFormat="1" applyFont="1" applyBorder="1"/>
    <xf numFmtId="0" fontId="24" fillId="0" borderId="0" xfId="0" applyNumberFormat="1" applyFont="1"/>
    <xf numFmtId="0" fontId="24" fillId="0" borderId="0" xfId="1" applyNumberFormat="1" applyFont="1"/>
    <xf numFmtId="0" fontId="6" fillId="0" borderId="0" xfId="0" applyNumberFormat="1" applyFont="1" applyBorder="1"/>
    <xf numFmtId="0" fontId="0" fillId="0" borderId="0" xfId="0" applyNumberFormat="1" applyFont="1" applyBorder="1"/>
    <xf numFmtId="0" fontId="14" fillId="3" borderId="0" xfId="0" applyNumberFormat="1" applyFont="1" applyFill="1" applyAlignment="1"/>
    <xf numFmtId="0" fontId="2" fillId="0" borderId="0" xfId="2" applyNumberFormat="1" applyFont="1" applyAlignment="1">
      <alignment horizontal="left"/>
    </xf>
    <xf numFmtId="0" fontId="0" fillId="0" borderId="0" xfId="1" applyNumberFormat="1" applyFont="1" applyBorder="1"/>
    <xf numFmtId="0" fontId="2" fillId="0" borderId="0" xfId="1" applyNumberFormat="1" applyFont="1" applyBorder="1" applyAlignment="1">
      <alignment horizontal="center"/>
    </xf>
    <xf numFmtId="0" fontId="2" fillId="0" borderId="0" xfId="0" applyNumberFormat="1" applyFont="1" applyBorder="1"/>
    <xf numFmtId="0" fontId="24" fillId="0" borderId="0" xfId="1" applyNumberFormat="1" applyFont="1" applyBorder="1" applyAlignment="1">
      <alignment horizontal="center"/>
    </xf>
    <xf numFmtId="0" fontId="24" fillId="0" borderId="0" xfId="0" applyNumberFormat="1" applyFont="1" applyBorder="1"/>
    <xf numFmtId="0" fontId="108" fillId="0" borderId="0" xfId="0" applyNumberFormat="1" applyFont="1" applyBorder="1" applyAlignment="1">
      <alignment horizontal="left"/>
    </xf>
    <xf numFmtId="0" fontId="22" fillId="0" borderId="0" xfId="0" applyNumberFormat="1" applyFont="1"/>
    <xf numFmtId="0" fontId="112" fillId="4" borderId="0" xfId="0" applyNumberFormat="1" applyFont="1" applyFill="1" applyAlignment="1">
      <alignment horizontal="center"/>
    </xf>
    <xf numFmtId="0" fontId="28" fillId="0" borderId="0" xfId="1" applyNumberFormat="1" applyFont="1"/>
    <xf numFmtId="0" fontId="22" fillId="0" borderId="0" xfId="1" applyNumberFormat="1" applyFont="1"/>
    <xf numFmtId="0" fontId="28" fillId="0" borderId="0" xfId="1" applyNumberFormat="1" applyFont="1" applyBorder="1"/>
    <xf numFmtId="0" fontId="22" fillId="0" borderId="0" xfId="2" applyNumberFormat="1" applyFont="1" applyBorder="1"/>
    <xf numFmtId="0" fontId="30" fillId="0" borderId="0" xfId="0" applyNumberFormat="1" applyFont="1" applyBorder="1"/>
    <xf numFmtId="0" fontId="30" fillId="0" borderId="0" xfId="1" applyNumberFormat="1" applyFont="1" applyBorder="1"/>
    <xf numFmtId="0" fontId="22" fillId="0" borderId="0" xfId="1" applyNumberFormat="1" applyFont="1" applyBorder="1"/>
    <xf numFmtId="0" fontId="22" fillId="0" borderId="0" xfId="0" applyNumberFormat="1" applyFont="1" applyBorder="1"/>
    <xf numFmtId="0" fontId="28" fillId="0" borderId="0" xfId="0" applyNumberFormat="1" applyFont="1" applyAlignment="1">
      <alignment horizontal="right"/>
    </xf>
    <xf numFmtId="0" fontId="107" fillId="0" borderId="0" xfId="0" applyNumberFormat="1" applyFont="1" applyBorder="1"/>
    <xf numFmtId="0" fontId="28" fillId="0" borderId="0" xfId="0" applyNumberFormat="1" applyFont="1" applyBorder="1" applyAlignment="1">
      <alignment horizontal="right"/>
    </xf>
    <xf numFmtId="0" fontId="107" fillId="0" borderId="0" xfId="0" applyNumberFormat="1" applyFont="1" applyBorder="1" applyAlignment="1">
      <alignment horizontal="left"/>
    </xf>
    <xf numFmtId="0" fontId="111" fillId="0" borderId="0" xfId="0" applyNumberFormat="1" applyFont="1" applyAlignment="1">
      <alignment horizontal="left"/>
    </xf>
    <xf numFmtId="0" fontId="113" fillId="0" borderId="0" xfId="0" applyNumberFormat="1" applyFont="1"/>
    <xf numFmtId="0" fontId="28" fillId="0" borderId="0" xfId="0" applyNumberFormat="1" applyFont="1" applyAlignment="1">
      <alignment horizontal="left"/>
    </xf>
    <xf numFmtId="0" fontId="22" fillId="0" borderId="0" xfId="0" applyNumberFormat="1" applyFont="1" applyAlignment="1">
      <alignment horizontal="left"/>
    </xf>
    <xf numFmtId="0" fontId="28" fillId="0" borderId="0" xfId="0" applyNumberFormat="1" applyFont="1"/>
    <xf numFmtId="0" fontId="22" fillId="0" borderId="0" xfId="0" applyNumberFormat="1" applyFont="1" applyAlignment="1">
      <alignment horizontal="right"/>
    </xf>
    <xf numFmtId="0" fontId="28" fillId="0" borderId="0" xfId="0" applyNumberFormat="1" applyFont="1" applyBorder="1"/>
    <xf numFmtId="0" fontId="29" fillId="0" borderId="0" xfId="0" applyNumberFormat="1" applyFont="1" applyBorder="1" applyAlignment="1">
      <alignment horizontal="right"/>
    </xf>
    <xf numFmtId="0" fontId="115" fillId="0" borderId="0" xfId="2" applyNumberFormat="1" applyFont="1" applyAlignment="1">
      <alignment horizontal="right"/>
    </xf>
    <xf numFmtId="0" fontId="30" fillId="0" borderId="0" xfId="0" applyNumberFormat="1" applyFont="1" applyAlignment="1">
      <alignment horizontal="right"/>
    </xf>
    <xf numFmtId="0" fontId="28" fillId="0" borderId="0" xfId="0" applyNumberFormat="1" applyFont="1" applyBorder="1" applyAlignment="1">
      <alignment wrapText="1"/>
    </xf>
    <xf numFmtId="0" fontId="108" fillId="0" borderId="0" xfId="0" applyNumberFormat="1" applyFont="1" applyBorder="1"/>
    <xf numFmtId="0" fontId="112" fillId="3" borderId="0" xfId="0" applyNumberFormat="1" applyFont="1" applyFill="1" applyAlignment="1"/>
    <xf numFmtId="0" fontId="22" fillId="0" borderId="0" xfId="2" applyNumberFormat="1" applyFont="1" applyBorder="1" applyAlignment="1"/>
    <xf numFmtId="0" fontId="22" fillId="0" borderId="0" xfId="0" applyNumberFormat="1" applyFont="1" applyBorder="1" applyAlignment="1">
      <alignment horizontal="center"/>
    </xf>
    <xf numFmtId="0" fontId="28" fillId="0" borderId="0" xfId="2" applyNumberFormat="1" applyFont="1" applyBorder="1" applyAlignment="1">
      <alignment horizontal="center"/>
    </xf>
    <xf numFmtId="0" fontId="28" fillId="0" borderId="0" xfId="2" applyNumberFormat="1" applyFont="1" applyAlignment="1">
      <alignment horizontal="left"/>
    </xf>
    <xf numFmtId="0" fontId="28" fillId="0" borderId="0" xfId="1" applyNumberFormat="1" applyFont="1" applyBorder="1" applyAlignment="1">
      <alignment horizontal="center"/>
    </xf>
    <xf numFmtId="0" fontId="132" fillId="0" borderId="0" xfId="1" applyNumberFormat="1" applyFont="1" applyBorder="1"/>
    <xf numFmtId="0" fontId="30" fillId="0" borderId="0" xfId="1" applyNumberFormat="1" applyFont="1" applyBorder="1" applyAlignment="1">
      <alignment horizontal="center"/>
    </xf>
    <xf numFmtId="0" fontId="108" fillId="0" borderId="0" xfId="1" applyNumberFormat="1" applyFont="1" applyBorder="1"/>
    <xf numFmtId="0" fontId="112" fillId="2" borderId="0" xfId="1" applyNumberFormat="1" applyFont="1" applyFill="1" applyAlignment="1">
      <alignment horizontal="right"/>
    </xf>
    <xf numFmtId="0" fontId="82" fillId="0" borderId="0" xfId="1" applyNumberFormat="1" applyFont="1" applyAlignment="1">
      <alignment horizontal="left"/>
    </xf>
    <xf numFmtId="0" fontId="22" fillId="0" borderId="0" xfId="1" applyNumberFormat="1" applyFont="1" applyAlignment="1">
      <alignment horizontal="left"/>
    </xf>
    <xf numFmtId="0" fontId="91" fillId="0" borderId="0" xfId="1" applyNumberFormat="1" applyFont="1" applyAlignment="1">
      <alignment horizontal="left"/>
    </xf>
    <xf numFmtId="0" fontId="82" fillId="0" borderId="0" xfId="2" applyNumberFormat="1" applyFont="1" applyAlignment="1">
      <alignment horizontal="left"/>
    </xf>
    <xf numFmtId="0" fontId="91" fillId="0" borderId="0" xfId="1" applyNumberFormat="1" applyFont="1" applyBorder="1" applyAlignment="1">
      <alignment horizontal="left"/>
    </xf>
    <xf numFmtId="0" fontId="28" fillId="0" borderId="0" xfId="1" applyNumberFormat="1" applyFont="1" applyFill="1" applyBorder="1"/>
    <xf numFmtId="0" fontId="115" fillId="0" borderId="0" xfId="1" applyNumberFormat="1" applyFont="1" applyAlignment="1">
      <alignment horizontal="left"/>
    </xf>
    <xf numFmtId="0" fontId="30" fillId="0" borderId="0" xfId="1" applyNumberFormat="1" applyFont="1"/>
    <xf numFmtId="0" fontId="109" fillId="0" borderId="0" xfId="0" applyNumberFormat="1" applyFont="1" applyBorder="1"/>
    <xf numFmtId="0" fontId="112" fillId="2" borderId="0" xfId="0" applyNumberFormat="1" applyFont="1" applyFill="1" applyAlignment="1">
      <alignment horizontal="right"/>
    </xf>
    <xf numFmtId="0" fontId="82" fillId="0" borderId="0" xfId="0" applyNumberFormat="1" applyFont="1" applyAlignment="1">
      <alignment horizontal="left"/>
    </xf>
    <xf numFmtId="0" fontId="91" fillId="0" borderId="0" xfId="0" applyNumberFormat="1" applyFont="1" applyAlignment="1">
      <alignment horizontal="left"/>
    </xf>
    <xf numFmtId="0" fontId="91" fillId="0" borderId="0" xfId="0" applyNumberFormat="1" applyFont="1" applyBorder="1" applyAlignment="1">
      <alignment horizontal="left"/>
    </xf>
    <xf numFmtId="0" fontId="115" fillId="0" borderId="0" xfId="0" applyNumberFormat="1" applyFont="1" applyAlignment="1">
      <alignment horizontal="left"/>
    </xf>
    <xf numFmtId="0" fontId="30" fillId="0" borderId="0" xfId="0" applyNumberFormat="1" applyFont="1"/>
    <xf numFmtId="0" fontId="18" fillId="0" borderId="0" xfId="0" applyNumberFormat="1" applyFont="1"/>
    <xf numFmtId="0" fontId="19" fillId="0" borderId="0" xfId="1" applyNumberFormat="1" applyFont="1" applyFill="1" applyBorder="1" applyAlignment="1">
      <alignment horizontal="left"/>
    </xf>
    <xf numFmtId="0" fontId="2" fillId="0" borderId="0" xfId="0" applyNumberFormat="1" applyFont="1" applyAlignment="1">
      <alignment horizontal="right"/>
    </xf>
    <xf numFmtId="0" fontId="11" fillId="0" borderId="0" xfId="0" applyNumberFormat="1" applyFont="1" applyBorder="1"/>
    <xf numFmtId="0" fontId="2" fillId="0" borderId="0" xfId="0" applyNumberFormat="1" applyFont="1" applyBorder="1" applyAlignment="1">
      <alignment horizontal="right"/>
    </xf>
    <xf numFmtId="0" fontId="11" fillId="0" borderId="0" xfId="0" applyNumberFormat="1" applyFont="1" applyBorder="1" applyAlignment="1">
      <alignment horizontal="left"/>
    </xf>
    <xf numFmtId="0" fontId="16" fillId="0" borderId="0" xfId="0" applyNumberFormat="1" applyFont="1" applyAlignment="1">
      <alignment horizontal="left"/>
    </xf>
    <xf numFmtId="0" fontId="15" fillId="0" borderId="0" xfId="0" applyNumberFormat="1" applyFont="1"/>
    <xf numFmtId="0" fontId="2" fillId="0" borderId="0" xfId="0" applyNumberFormat="1" applyFont="1" applyAlignment="1">
      <alignment horizontal="left"/>
    </xf>
    <xf numFmtId="0" fontId="0" fillId="0" borderId="0" xfId="2" applyNumberFormat="1" applyFont="1" applyAlignment="1">
      <alignment horizontal="right"/>
    </xf>
    <xf numFmtId="0" fontId="2" fillId="0" borderId="0" xfId="0" applyNumberFormat="1" applyFont="1"/>
    <xf numFmtId="0" fontId="0" fillId="0" borderId="0" xfId="0" applyNumberFormat="1" applyFont="1" applyAlignment="1">
      <alignment horizontal="right"/>
    </xf>
    <xf numFmtId="0" fontId="2" fillId="0" borderId="0" xfId="0" applyNumberFormat="1" applyFont="1" applyBorder="1" applyAlignment="1">
      <alignment horizontal="left"/>
    </xf>
    <xf numFmtId="0" fontId="0" fillId="0" borderId="0" xfId="0" applyNumberFormat="1" applyFont="1" applyAlignment="1">
      <alignment horizontal="left"/>
    </xf>
    <xf numFmtId="0" fontId="25" fillId="0" borderId="0" xfId="0" applyNumberFormat="1" applyFont="1" applyBorder="1" applyAlignment="1">
      <alignment horizontal="right"/>
    </xf>
    <xf numFmtId="0" fontId="26" fillId="0" borderId="0" xfId="2" applyNumberFormat="1" applyFont="1" applyAlignment="1">
      <alignment horizontal="right"/>
    </xf>
    <xf numFmtId="0" fontId="24" fillId="0" borderId="0" xfId="0" applyNumberFormat="1" applyFont="1" applyAlignment="1">
      <alignment horizontal="right"/>
    </xf>
    <xf numFmtId="0" fontId="2" fillId="0" borderId="0" xfId="0" applyNumberFormat="1" applyFont="1" applyBorder="1" applyAlignment="1">
      <alignment wrapText="1"/>
    </xf>
    <xf numFmtId="0" fontId="14" fillId="2" borderId="0" xfId="0" applyNumberFormat="1" applyFont="1" applyFill="1" applyAlignment="1">
      <alignment horizontal="right"/>
    </xf>
    <xf numFmtId="0" fontId="7" fillId="0" borderId="0" xfId="0" applyNumberFormat="1" applyFont="1" applyAlignment="1">
      <alignment horizontal="left"/>
    </xf>
    <xf numFmtId="0" fontId="6" fillId="0" borderId="0" xfId="0" applyNumberFormat="1" applyFont="1" applyAlignment="1">
      <alignment horizontal="left"/>
    </xf>
    <xf numFmtId="0" fontId="6" fillId="0" borderId="0" xfId="2" applyNumberFormat="1" applyFont="1" applyAlignment="1">
      <alignment horizontal="left"/>
    </xf>
    <xf numFmtId="0" fontId="7" fillId="0" borderId="0" xfId="0" applyNumberFormat="1" applyFont="1" applyBorder="1" applyAlignment="1">
      <alignment horizontal="left"/>
    </xf>
    <xf numFmtId="0" fontId="26" fillId="0" borderId="0" xfId="0" applyNumberFormat="1" applyFont="1" applyAlignment="1">
      <alignment horizontal="left"/>
    </xf>
    <xf numFmtId="0" fontId="18" fillId="0" borderId="0" xfId="2" applyNumberFormat="1" applyFont="1"/>
    <xf numFmtId="0" fontId="19" fillId="0" borderId="0" xfId="2" applyNumberFormat="1" applyFont="1" applyFill="1" applyBorder="1" applyAlignment="1">
      <alignment horizontal="left"/>
    </xf>
    <xf numFmtId="0" fontId="27" fillId="0" borderId="0" xfId="1" applyNumberFormat="1" applyFont="1" applyBorder="1"/>
    <xf numFmtId="0" fontId="0" fillId="0" borderId="0" xfId="1" applyNumberFormat="1" applyFont="1" applyFill="1"/>
    <xf numFmtId="0" fontId="2" fillId="0" borderId="0" xfId="1" applyNumberFormat="1" applyFont="1" applyFill="1" applyBorder="1"/>
    <xf numFmtId="0" fontId="0" fillId="0" borderId="0" xfId="2" applyNumberFormat="1" applyFont="1" applyFill="1" applyBorder="1"/>
    <xf numFmtId="0" fontId="27" fillId="0" borderId="0" xfId="1" applyNumberFormat="1" applyFont="1" applyFill="1" applyBorder="1"/>
    <xf numFmtId="0" fontId="0" fillId="0" borderId="0" xfId="1" applyNumberFormat="1" applyFont="1" applyFill="1" applyBorder="1"/>
    <xf numFmtId="0" fontId="2" fillId="0" borderId="0" xfId="1" applyNumberFormat="1" applyFont="1" applyFill="1" applyBorder="1" applyAlignment="1">
      <alignment horizontal="center"/>
    </xf>
    <xf numFmtId="0" fontId="2" fillId="0" borderId="0" xfId="1" applyNumberFormat="1" applyFont="1" applyBorder="1" applyAlignment="1">
      <alignment horizontal="left"/>
    </xf>
    <xf numFmtId="0" fontId="6" fillId="0" borderId="0" xfId="0" applyNumberFormat="1" applyFont="1" applyFill="1" applyAlignment="1">
      <alignment horizontal="left"/>
    </xf>
    <xf numFmtId="0" fontId="6" fillId="0" borderId="0" xfId="2" applyNumberFormat="1" applyFont="1" applyFill="1" applyAlignment="1">
      <alignment horizontal="left"/>
    </xf>
    <xf numFmtId="0" fontId="7" fillId="0" borderId="0" xfId="0" applyNumberFormat="1" applyFont="1" applyFill="1" applyBorder="1" applyAlignment="1">
      <alignment horizontal="left"/>
    </xf>
    <xf numFmtId="0" fontId="22" fillId="0" borderId="0" xfId="1" applyNumberFormat="1" applyFont="1" applyFill="1" applyBorder="1"/>
    <xf numFmtId="0" fontId="28" fillId="0" borderId="0" xfId="1" applyNumberFormat="1" applyFont="1" applyFill="1" applyBorder="1" applyAlignment="1">
      <alignment horizontal="center"/>
    </xf>
    <xf numFmtId="0" fontId="22" fillId="0" borderId="0" xfId="2" applyNumberFormat="1" applyFont="1" applyFill="1" applyBorder="1"/>
    <xf numFmtId="0" fontId="28" fillId="0" borderId="0" xfId="0" applyNumberFormat="1" applyFont="1" applyFill="1" applyBorder="1"/>
    <xf numFmtId="0" fontId="82" fillId="0" borderId="0" xfId="0" applyNumberFormat="1" applyFont="1" applyFill="1" applyAlignment="1">
      <alignment horizontal="left"/>
    </xf>
    <xf numFmtId="0" fontId="91" fillId="0" borderId="0" xfId="0" applyNumberFormat="1" applyFont="1" applyFill="1" applyBorder="1" applyAlignment="1">
      <alignment horizontal="left"/>
    </xf>
    <xf numFmtId="0" fontId="1" fillId="0" borderId="0" xfId="1" applyNumberFormat="1" applyFont="1" applyBorder="1" applyAlignment="1">
      <alignment horizontal="right"/>
    </xf>
    <xf numFmtId="0" fontId="6" fillId="0" borderId="0" xfId="0" applyNumberFormat="1" applyFont="1" applyAlignment="1">
      <alignment horizontal="right"/>
    </xf>
    <xf numFmtId="0" fontId="6" fillId="0" borderId="0" xfId="2" applyNumberFormat="1" applyFont="1" applyAlignment="1">
      <alignment horizontal="right"/>
    </xf>
    <xf numFmtId="0" fontId="2" fillId="0" borderId="0" xfId="2" applyNumberFormat="1" applyFont="1" applyBorder="1"/>
    <xf numFmtId="0" fontId="106" fillId="0" borderId="0" xfId="1" applyNumberFormat="1" applyFont="1" applyBorder="1"/>
    <xf numFmtId="0" fontId="106" fillId="0" borderId="0" xfId="2" applyNumberFormat="1" applyFont="1" applyBorder="1"/>
    <xf numFmtId="0" fontId="6" fillId="0" borderId="0" xfId="1" applyNumberFormat="1" applyFont="1" applyBorder="1" applyAlignment="1">
      <alignment horizontal="left"/>
    </xf>
    <xf numFmtId="0" fontId="6" fillId="0" borderId="0" xfId="1" applyNumberFormat="1" applyFont="1"/>
    <xf numFmtId="0" fontId="14" fillId="4" borderId="0" xfId="1" applyNumberFormat="1" applyFont="1" applyFill="1" applyAlignment="1">
      <alignment horizontal="center"/>
    </xf>
    <xf numFmtId="0" fontId="18" fillId="0" borderId="0" xfId="1" applyNumberFormat="1" applyFont="1"/>
    <xf numFmtId="0" fontId="27" fillId="0" borderId="0" xfId="1" applyNumberFormat="1" applyFont="1"/>
    <xf numFmtId="0" fontId="2" fillId="0" borderId="0" xfId="1" applyNumberFormat="1" applyFont="1" applyAlignment="1">
      <alignment horizontal="right"/>
    </xf>
    <xf numFmtId="0" fontId="2" fillId="0" borderId="0" xfId="1" applyNumberFormat="1" applyFont="1" applyBorder="1" applyAlignment="1">
      <alignment horizontal="right"/>
    </xf>
    <xf numFmtId="0" fontId="16" fillId="0" borderId="0" xfId="1" applyNumberFormat="1" applyFont="1" applyAlignment="1">
      <alignment horizontal="left"/>
    </xf>
    <xf numFmtId="0" fontId="15" fillId="0" borderId="0" xfId="1" applyNumberFormat="1" applyFont="1"/>
    <xf numFmtId="0" fontId="2" fillId="0" borderId="0" xfId="1" applyNumberFormat="1" applyFont="1" applyAlignment="1">
      <alignment horizontal="left"/>
    </xf>
    <xf numFmtId="0" fontId="1" fillId="0" borderId="0" xfId="1" applyNumberFormat="1" applyFont="1" applyAlignment="1">
      <alignment horizontal="right"/>
    </xf>
    <xf numFmtId="0" fontId="27" fillId="0" borderId="0" xfId="1" applyNumberFormat="1" applyFont="1" applyAlignment="1">
      <alignment horizontal="right"/>
    </xf>
    <xf numFmtId="0" fontId="22" fillId="0" borderId="0" xfId="1" applyNumberFormat="1" applyFont="1" applyAlignment="1">
      <alignment horizontal="right"/>
    </xf>
    <xf numFmtId="0" fontId="0" fillId="0" borderId="0" xfId="1" applyNumberFormat="1" applyFont="1" applyAlignment="1">
      <alignment horizontal="right"/>
    </xf>
    <xf numFmtId="0" fontId="33" fillId="0" borderId="0" xfId="0" applyNumberFormat="1" applyFont="1" applyFill="1" applyBorder="1"/>
    <xf numFmtId="0" fontId="33" fillId="0" borderId="0" xfId="0" applyNumberFormat="1" applyFont="1" applyFill="1"/>
    <xf numFmtId="0" fontId="25" fillId="0" borderId="0" xfId="1" applyNumberFormat="1" applyFont="1" applyBorder="1" applyAlignment="1">
      <alignment horizontal="right"/>
    </xf>
    <xf numFmtId="0" fontId="26" fillId="0" borderId="0" xfId="1" applyNumberFormat="1" applyFont="1" applyAlignment="1">
      <alignment horizontal="right"/>
    </xf>
    <xf numFmtId="0" fontId="2" fillId="0" borderId="0" xfId="1" applyNumberFormat="1" applyFont="1" applyBorder="1" applyAlignment="1">
      <alignment wrapText="1"/>
    </xf>
    <xf numFmtId="0" fontId="6" fillId="0" borderId="0" xfId="1" applyNumberFormat="1" applyFont="1" applyBorder="1"/>
    <xf numFmtId="0" fontId="14" fillId="3" borderId="0" xfId="1" applyNumberFormat="1" applyFont="1" applyFill="1" applyAlignment="1"/>
    <xf numFmtId="0" fontId="24" fillId="0" borderId="0" xfId="1" applyNumberFormat="1" applyFont="1" applyBorder="1"/>
    <xf numFmtId="0" fontId="7" fillId="0" borderId="0" xfId="1" applyNumberFormat="1" applyFont="1" applyAlignment="1">
      <alignment horizontal="left"/>
    </xf>
    <xf numFmtId="0" fontId="6" fillId="0" borderId="0" xfId="1" applyNumberFormat="1" applyFont="1" applyAlignment="1">
      <alignment horizontal="left"/>
    </xf>
    <xf numFmtId="0" fontId="7" fillId="0" borderId="0" xfId="1" applyNumberFormat="1" applyFont="1" applyBorder="1" applyAlignment="1">
      <alignment horizontal="left"/>
    </xf>
    <xf numFmtId="0" fontId="26" fillId="0" borderId="0" xfId="1" applyNumberFormat="1" applyFont="1" applyAlignment="1">
      <alignment horizontal="left"/>
    </xf>
    <xf numFmtId="10" fontId="2" fillId="0" borderId="0" xfId="2" applyNumberFormat="1" applyFont="1" applyAlignment="1">
      <alignment horizontal="left"/>
    </xf>
    <xf numFmtId="43" fontId="23" fillId="0" borderId="0" xfId="1" applyFont="1" applyAlignment="1">
      <alignment horizontal="center"/>
    </xf>
    <xf numFmtId="9" fontId="0" fillId="0" borderId="0" xfId="2" applyFont="1" applyAlignment="1">
      <alignment horizontal="right"/>
    </xf>
    <xf numFmtId="0" fontId="30" fillId="0" borderId="0" xfId="0" applyNumberFormat="1" applyFont="1" applyBorder="1" applyAlignment="1">
      <alignment vertical="top"/>
    </xf>
    <xf numFmtId="43" fontId="136" fillId="0" borderId="0" xfId="1" applyFont="1"/>
    <xf numFmtId="0" fontId="136" fillId="0" borderId="0" xfId="0" applyNumberFormat="1" applyFont="1" applyBorder="1" applyAlignment="1">
      <alignment horizontal="left"/>
    </xf>
    <xf numFmtId="43" fontId="97" fillId="0" borderId="0" xfId="1" applyFont="1" applyAlignment="1">
      <alignment horizontal="center"/>
    </xf>
    <xf numFmtId="43" fontId="137" fillId="0" borderId="0" xfId="1" applyFont="1"/>
    <xf numFmtId="0" fontId="137" fillId="0" borderId="0" xfId="0" applyNumberFormat="1" applyFont="1" applyBorder="1"/>
    <xf numFmtId="43" fontId="138" fillId="0" borderId="0" xfId="1" applyFont="1"/>
    <xf numFmtId="0" fontId="138" fillId="0" borderId="0" xfId="0" applyNumberFormat="1" applyFont="1" applyBorder="1"/>
    <xf numFmtId="43" fontId="139" fillId="0" borderId="0" xfId="1" applyFont="1"/>
    <xf numFmtId="0" fontId="139" fillId="0" borderId="0" xfId="0" applyNumberFormat="1" applyFont="1" applyBorder="1"/>
    <xf numFmtId="0" fontId="135" fillId="0" borderId="0" xfId="0" applyNumberFormat="1" applyFont="1" applyFill="1" applyBorder="1"/>
    <xf numFmtId="169" fontId="18" fillId="0" borderId="0" xfId="2" applyNumberFormat="1" applyFont="1" applyAlignment="1">
      <alignment horizontal="left"/>
    </xf>
    <xf numFmtId="43" fontId="14" fillId="4" borderId="0" xfId="1" applyFont="1" applyFill="1" applyAlignment="1">
      <alignment horizontal="center"/>
    </xf>
    <xf numFmtId="10" fontId="0" fillId="0" borderId="0" xfId="1" applyNumberFormat="1" applyFont="1" applyAlignment="1">
      <alignment horizontal="left"/>
    </xf>
    <xf numFmtId="168" fontId="0" fillId="0" borderId="0" xfId="1" applyNumberFormat="1" applyFont="1" applyFill="1" applyBorder="1" applyAlignment="1">
      <alignment horizontal="center"/>
    </xf>
    <xf numFmtId="0" fontId="1" fillId="0" borderId="0" xfId="45"/>
    <xf numFmtId="49" fontId="1" fillId="0" borderId="0" xfId="45" applyNumberFormat="1"/>
    <xf numFmtId="43" fontId="1" fillId="0" borderId="0" xfId="1"/>
    <xf numFmtId="0" fontId="0" fillId="0" borderId="0" xfId="45" applyFont="1"/>
    <xf numFmtId="4" fontId="1" fillId="0" borderId="0" xfId="46" applyNumberFormat="1"/>
    <xf numFmtId="4" fontId="1" fillId="0" borderId="0" xfId="47" applyNumberFormat="1"/>
    <xf numFmtId="43" fontId="24" fillId="0" borderId="0" xfId="1" applyFont="1" applyBorder="1"/>
    <xf numFmtId="0" fontId="26" fillId="0" borderId="0" xfId="1" applyNumberFormat="1" applyFont="1" applyBorder="1" applyAlignment="1">
      <alignment horizontal="left"/>
    </xf>
    <xf numFmtId="0" fontId="24" fillId="0" borderId="0" xfId="1" applyNumberFormat="1" applyFont="1" applyBorder="1" applyAlignment="1">
      <alignment horizontal="right"/>
    </xf>
    <xf numFmtId="43" fontId="24" fillId="0" borderId="0" xfId="1" applyFont="1" applyBorder="1" applyAlignment="1">
      <alignment horizontal="right"/>
    </xf>
    <xf numFmtId="0" fontId="11" fillId="0" borderId="0" xfId="0" quotePrefix="1" applyNumberFormat="1" applyFont="1" applyBorder="1" applyAlignment="1">
      <alignment horizontal="left"/>
    </xf>
    <xf numFmtId="10" fontId="0" fillId="0" borderId="0" xfId="2" applyNumberFormat="1" applyFont="1" applyAlignment="1">
      <alignment horizontal="left"/>
    </xf>
    <xf numFmtId="169" fontId="22" fillId="0" borderId="0" xfId="2" applyNumberFormat="1" applyFont="1" applyAlignment="1">
      <alignment horizontal="left"/>
    </xf>
    <xf numFmtId="169" fontId="0" fillId="0" borderId="0" xfId="2" applyNumberFormat="1" applyFont="1" applyAlignment="1">
      <alignment horizontal="right"/>
    </xf>
    <xf numFmtId="169" fontId="0" fillId="0" borderId="0" xfId="2" applyNumberFormat="1" applyFont="1" applyAlignment="1">
      <alignment horizontal="left"/>
    </xf>
    <xf numFmtId="0" fontId="0" fillId="0" borderId="0" xfId="0" applyNumberFormat="1" applyFont="1" applyFill="1"/>
    <xf numFmtId="0" fontId="14" fillId="0" borderId="0" xfId="0" applyNumberFormat="1" applyFont="1" applyFill="1" applyAlignment="1">
      <alignment horizontal="center"/>
    </xf>
    <xf numFmtId="0" fontId="5" fillId="0" borderId="0" xfId="1" applyNumberFormat="1" applyFont="1" applyFill="1" applyBorder="1" applyAlignment="1">
      <alignment horizontal="left"/>
    </xf>
    <xf numFmtId="0" fontId="2" fillId="0" borderId="0" xfId="0" applyNumberFormat="1" applyFont="1" applyFill="1" applyBorder="1"/>
    <xf numFmtId="0" fontId="0" fillId="0" borderId="0" xfId="1" applyNumberFormat="1" applyFont="1" applyFill="1" applyBorder="1" applyAlignment="1">
      <alignment horizontal="center"/>
    </xf>
    <xf numFmtId="0" fontId="0" fillId="0" borderId="0" xfId="0" applyNumberFormat="1" applyFont="1" applyFill="1" applyBorder="1"/>
    <xf numFmtId="0" fontId="24" fillId="0" borderId="0" xfId="0" applyNumberFormat="1" applyFont="1" applyFill="1"/>
    <xf numFmtId="0" fontId="24" fillId="0" borderId="0" xfId="1" applyNumberFormat="1" applyFont="1" applyFill="1" applyBorder="1"/>
    <xf numFmtId="43" fontId="6" fillId="0" borderId="0" xfId="1" applyFont="1" applyBorder="1" applyAlignment="1">
      <alignment horizontal="center"/>
    </xf>
    <xf numFmtId="43" fontId="6" fillId="0" borderId="0" xfId="1" applyFont="1" applyBorder="1"/>
    <xf numFmtId="43" fontId="7" fillId="0" borderId="0" xfId="1" applyFont="1" applyBorder="1"/>
    <xf numFmtId="167" fontId="6" fillId="0" borderId="0" xfId="0" applyFont="1" applyBorder="1"/>
    <xf numFmtId="9" fontId="17" fillId="0" borderId="0" xfId="1" applyNumberFormat="1" applyFont="1"/>
    <xf numFmtId="175" fontId="140" fillId="0" borderId="0" xfId="0" applyNumberFormat="1" applyFont="1" applyAlignment="1">
      <alignment horizontal="left"/>
    </xf>
    <xf numFmtId="175" fontId="6" fillId="0" borderId="0" xfId="0" applyNumberFormat="1" applyFont="1" applyAlignment="1">
      <alignment horizontal="left"/>
    </xf>
    <xf numFmtId="10" fontId="18" fillId="0" borderId="0" xfId="0" applyNumberFormat="1" applyFont="1" applyAlignment="1">
      <alignment horizontal="left"/>
    </xf>
    <xf numFmtId="0" fontId="22" fillId="0" borderId="0" xfId="2" applyNumberFormat="1" applyFont="1" applyAlignment="1">
      <alignment horizontal="left"/>
    </xf>
    <xf numFmtId="43" fontId="1" fillId="0" borderId="0" xfId="1" applyFont="1" applyBorder="1" applyAlignment="1">
      <alignment horizontal="center"/>
    </xf>
    <xf numFmtId="0" fontId="0" fillId="0" borderId="0" xfId="0" applyNumberFormat="1" applyFont="1" applyBorder="1" applyAlignment="1">
      <alignment horizontal="left"/>
    </xf>
    <xf numFmtId="43" fontId="1" fillId="0" borderId="0" xfId="1" applyFont="1" applyBorder="1"/>
    <xf numFmtId="43" fontId="1" fillId="0" borderId="0" xfId="1" applyFont="1" applyBorder="1" applyAlignment="1">
      <alignment horizontal="left"/>
    </xf>
    <xf numFmtId="43" fontId="141" fillId="0" borderId="0" xfId="1" applyFont="1" applyBorder="1" applyAlignment="1">
      <alignment horizontal="left"/>
    </xf>
    <xf numFmtId="43" fontId="113" fillId="0" borderId="0" xfId="1" applyFont="1" applyFill="1"/>
    <xf numFmtId="10" fontId="2" fillId="0" borderId="2" xfId="2" applyNumberFormat="1" applyFont="1" applyBorder="1" applyAlignment="1">
      <alignment horizontal="center"/>
    </xf>
    <xf numFmtId="0" fontId="6" fillId="0" borderId="0" xfId="0" applyNumberFormat="1" applyFont="1" applyFill="1" applyBorder="1" applyAlignment="1">
      <alignment horizontal="left"/>
    </xf>
    <xf numFmtId="167" fontId="6" fillId="0" borderId="0" xfId="0" applyFont="1" applyFill="1" applyBorder="1" applyAlignment="1">
      <alignment horizontal="left"/>
    </xf>
    <xf numFmtId="43" fontId="6" fillId="0" borderId="0" xfId="1" applyFont="1" applyFill="1" applyBorder="1" applyAlignment="1">
      <alignment horizontal="left"/>
    </xf>
    <xf numFmtId="43" fontId="13" fillId="0" borderId="0" xfId="1" applyFont="1" applyFill="1" applyBorder="1" applyAlignment="1">
      <alignment horizontal="left"/>
    </xf>
    <xf numFmtId="0" fontId="6" fillId="0" borderId="0" xfId="0" applyNumberFormat="1" applyFont="1" applyFill="1" applyBorder="1"/>
    <xf numFmtId="43" fontId="6" fillId="0" borderId="0" xfId="1" applyFont="1" applyFill="1" applyBorder="1" applyAlignment="1">
      <alignment horizontal="center"/>
    </xf>
    <xf numFmtId="43" fontId="6" fillId="0" borderId="0" xfId="1" applyFont="1" applyFill="1" applyBorder="1"/>
    <xf numFmtId="43" fontId="7" fillId="0" borderId="0" xfId="1" applyFont="1" applyFill="1" applyBorder="1"/>
    <xf numFmtId="167" fontId="6" fillId="0" borderId="0" xfId="0" applyFont="1" applyFill="1" applyBorder="1"/>
    <xf numFmtId="10" fontId="0" fillId="0" borderId="0" xfId="0" applyNumberFormat="1" applyFont="1" applyAlignment="1">
      <alignment horizontal="left"/>
    </xf>
    <xf numFmtId="0" fontId="81" fillId="0" borderId="0" xfId="0" applyNumberFormat="1" applyFont="1" applyAlignment="1">
      <alignment horizontal="left"/>
    </xf>
    <xf numFmtId="10" fontId="28" fillId="0" borderId="0" xfId="2" applyNumberFormat="1" applyFont="1" applyAlignment="1">
      <alignment horizontal="left"/>
    </xf>
    <xf numFmtId="170" fontId="81" fillId="0" borderId="0" xfId="1" applyNumberFormat="1" applyFont="1" applyBorder="1" applyAlignment="1">
      <alignment horizontal="left"/>
    </xf>
    <xf numFmtId="43" fontId="22" fillId="0" borderId="0" xfId="1" applyNumberFormat="1" applyFont="1" applyBorder="1"/>
    <xf numFmtId="170" fontId="81" fillId="0" borderId="0" xfId="1" applyNumberFormat="1" applyFont="1" applyFill="1" applyBorder="1" applyAlignment="1">
      <alignment horizontal="left"/>
    </xf>
    <xf numFmtId="167" fontId="22" fillId="0" borderId="4" xfId="0" applyFont="1" applyFill="1" applyBorder="1"/>
    <xf numFmtId="9" fontId="22" fillId="0" borderId="0" xfId="2" applyFont="1" applyFill="1" applyBorder="1"/>
    <xf numFmtId="9" fontId="2" fillId="0" borderId="0" xfId="2" applyFont="1" applyBorder="1" applyAlignment="1">
      <alignment horizontal="left"/>
    </xf>
    <xf numFmtId="43" fontId="0" fillId="0" borderId="0" xfId="1" applyNumberFormat="1" applyFont="1"/>
    <xf numFmtId="43" fontId="0" fillId="0" borderId="0" xfId="1" applyNumberFormat="1" applyFont="1" applyBorder="1"/>
    <xf numFmtId="9" fontId="143" fillId="0" borderId="0" xfId="27" applyNumberFormat="1" applyFont="1" applyAlignment="1">
      <alignment horizontal="left"/>
    </xf>
    <xf numFmtId="0" fontId="0" fillId="0" borderId="0" xfId="1" applyNumberFormat="1" applyFont="1" applyBorder="1" applyAlignment="1">
      <alignment horizontal="left"/>
    </xf>
    <xf numFmtId="0" fontId="0" fillId="0" borderId="0" xfId="1" applyNumberFormat="1" applyFont="1" applyAlignment="1">
      <alignment horizontal="left"/>
    </xf>
    <xf numFmtId="0" fontId="14" fillId="2" borderId="0" xfId="1" applyNumberFormat="1" applyFont="1" applyFill="1" applyAlignment="1">
      <alignment horizontal="left"/>
    </xf>
    <xf numFmtId="0" fontId="18" fillId="0" borderId="0" xfId="1" applyNumberFormat="1" applyFont="1" applyAlignment="1">
      <alignment horizontal="left"/>
    </xf>
    <xf numFmtId="0" fontId="27" fillId="0" borderId="0" xfId="1" applyNumberFormat="1" applyFont="1" applyAlignment="1">
      <alignment horizontal="left"/>
    </xf>
    <xf numFmtId="10" fontId="22" fillId="0" borderId="0" xfId="1" applyNumberFormat="1" applyFont="1" applyAlignment="1">
      <alignment horizontal="left"/>
    </xf>
    <xf numFmtId="0" fontId="0" fillId="0" borderId="0" xfId="2" applyNumberFormat="1" applyFont="1" applyBorder="1" applyAlignment="1">
      <alignment horizontal="left"/>
    </xf>
    <xf numFmtId="0" fontId="24" fillId="0" borderId="0" xfId="1" applyNumberFormat="1" applyFont="1" applyBorder="1" applyAlignment="1">
      <alignment horizontal="left"/>
    </xf>
    <xf numFmtId="9" fontId="2" fillId="0" borderId="0" xfId="2" applyNumberFormat="1" applyFont="1" applyAlignment="1">
      <alignment horizontal="left"/>
    </xf>
    <xf numFmtId="41" fontId="53" fillId="0" borderId="47" xfId="8" applyNumberFormat="1" applyFont="1" applyFill="1" applyBorder="1" applyAlignment="1">
      <alignment horizontal="right"/>
    </xf>
    <xf numFmtId="172" fontId="37" fillId="0" borderId="40" xfId="16" applyNumberFormat="1" applyFont="1" applyFill="1" applyBorder="1"/>
    <xf numFmtId="167" fontId="36" fillId="11" borderId="9" xfId="29" applyFont="1" applyFill="1" applyBorder="1"/>
    <xf numFmtId="172" fontId="36" fillId="11" borderId="55" xfId="16" applyNumberFormat="1" applyFont="1" applyFill="1" applyBorder="1"/>
    <xf numFmtId="168" fontId="37" fillId="11" borderId="95" xfId="1" applyNumberFormat="1" applyFont="1" applyFill="1" applyBorder="1"/>
    <xf numFmtId="168" fontId="36" fillId="11" borderId="95" xfId="1" applyNumberFormat="1" applyFont="1" applyFill="1" applyBorder="1"/>
    <xf numFmtId="168" fontId="37" fillId="11" borderId="7" xfId="1" applyNumberFormat="1" applyFont="1" applyFill="1" applyBorder="1"/>
    <xf numFmtId="172" fontId="32" fillId="11" borderId="51" xfId="16" applyNumberFormat="1" applyFont="1" applyFill="1" applyBorder="1"/>
    <xf numFmtId="44" fontId="36" fillId="11" borderId="65" xfId="8" applyNumberFormat="1" applyFont="1" applyFill="1" applyBorder="1"/>
    <xf numFmtId="44" fontId="36" fillId="11" borderId="9" xfId="8" applyNumberFormat="1" applyFont="1" applyFill="1" applyBorder="1"/>
    <xf numFmtId="168" fontId="36" fillId="11" borderId="95" xfId="8" applyNumberFormat="1" applyFont="1" applyFill="1" applyBorder="1"/>
    <xf numFmtId="168" fontId="36" fillId="11" borderId="96" xfId="8" applyNumberFormat="1" applyFont="1" applyFill="1" applyBorder="1"/>
    <xf numFmtId="172" fontId="32" fillId="11" borderId="51" xfId="8" applyNumberFormat="1" applyFont="1" applyFill="1" applyBorder="1"/>
    <xf numFmtId="44" fontId="36" fillId="11" borderId="7" xfId="8" applyNumberFormat="1" applyFont="1" applyFill="1" applyBorder="1"/>
    <xf numFmtId="172" fontId="32" fillId="5" borderId="34" xfId="8" applyNumberFormat="1" applyFont="1" applyFill="1" applyBorder="1" applyAlignment="1">
      <alignment vertical="center"/>
    </xf>
    <xf numFmtId="44" fontId="36" fillId="11" borderId="5" xfId="8" applyNumberFormat="1" applyFont="1" applyFill="1" applyBorder="1"/>
    <xf numFmtId="172" fontId="42" fillId="5" borderId="55" xfId="16" applyNumberFormat="1" applyFont="1" applyFill="1" applyBorder="1"/>
    <xf numFmtId="168" fontId="42" fillId="5" borderId="95" xfId="8" applyNumberFormat="1" applyFont="1" applyFill="1" applyBorder="1"/>
    <xf numFmtId="168" fontId="118" fillId="17" borderId="95" xfId="8" applyNumberFormat="1" applyFont="1" applyFill="1" applyBorder="1"/>
    <xf numFmtId="168" fontId="37" fillId="5" borderId="95" xfId="8" applyNumberFormat="1" applyFont="1" applyFill="1" applyBorder="1"/>
    <xf numFmtId="168" fontId="36" fillId="5" borderId="95" xfId="8" applyNumberFormat="1" applyFont="1" applyFill="1" applyBorder="1"/>
    <xf numFmtId="168" fontId="37" fillId="11" borderId="95" xfId="8" applyNumberFormat="1" applyFont="1" applyFill="1" applyBorder="1" applyAlignment="1">
      <alignment vertical="top"/>
    </xf>
    <xf numFmtId="172" fontId="36" fillId="11" borderId="65" xfId="29" applyNumberFormat="1" applyFont="1" applyFill="1" applyBorder="1"/>
    <xf numFmtId="44" fontId="36" fillId="11" borderId="9" xfId="29" applyNumberFormat="1" applyFont="1" applyFill="1" applyBorder="1"/>
    <xf numFmtId="172" fontId="36" fillId="11" borderId="55" xfId="44" applyNumberFormat="1" applyFont="1" applyFill="1" applyBorder="1"/>
    <xf numFmtId="44" fontId="36" fillId="5" borderId="7" xfId="29" applyNumberFormat="1" applyFont="1" applyFill="1" applyBorder="1"/>
    <xf numFmtId="172" fontId="32" fillId="5" borderId="34" xfId="29" applyNumberFormat="1" applyFont="1" applyFill="1" applyBorder="1" applyAlignment="1">
      <alignment vertical="center"/>
    </xf>
    <xf numFmtId="172" fontId="32" fillId="5" borderId="34" xfId="16" applyNumberFormat="1" applyFont="1" applyFill="1" applyBorder="1" applyAlignment="1">
      <alignment vertical="center"/>
    </xf>
    <xf numFmtId="172" fontId="47" fillId="5" borderId="5" xfId="16" applyNumberFormat="1" applyFont="1" applyFill="1" applyBorder="1" applyAlignment="1"/>
    <xf numFmtId="10" fontId="49" fillId="5" borderId="60" xfId="5" applyNumberFormat="1" applyFont="1" applyFill="1" applyBorder="1" applyAlignment="1">
      <alignment vertical="top"/>
    </xf>
    <xf numFmtId="172" fontId="52" fillId="11" borderId="55" xfId="8" applyNumberFormat="1" applyFont="1" applyFill="1" applyBorder="1"/>
    <xf numFmtId="168" fontId="52" fillId="11" borderId="95" xfId="8" applyNumberFormat="1" applyFont="1" applyFill="1" applyBorder="1"/>
    <xf numFmtId="3" fontId="53" fillId="11" borderId="95" xfId="8" applyNumberFormat="1" applyFont="1" applyFill="1" applyBorder="1" applyAlignment="1">
      <alignment horizontal="right"/>
    </xf>
    <xf numFmtId="10" fontId="55" fillId="11" borderId="95" xfId="5" applyNumberFormat="1" applyFont="1" applyFill="1" applyBorder="1" applyAlignment="1">
      <alignment vertical="top"/>
    </xf>
    <xf numFmtId="168" fontId="52" fillId="11" borderId="96" xfId="8" applyNumberFormat="1" applyFont="1" applyFill="1" applyBorder="1"/>
    <xf numFmtId="10" fontId="56" fillId="11" borderId="9" xfId="5" applyNumberFormat="1" applyFont="1" applyFill="1" applyBorder="1" applyAlignment="1">
      <alignment vertical="top"/>
    </xf>
    <xf numFmtId="172" fontId="57" fillId="11" borderId="7" xfId="16" applyNumberFormat="1" applyFont="1" applyFill="1" applyBorder="1"/>
    <xf numFmtId="10" fontId="59" fillId="11" borderId="7" xfId="5" applyNumberFormat="1" applyFont="1" applyFill="1" applyBorder="1" applyAlignment="1">
      <alignment vertical="top"/>
    </xf>
    <xf numFmtId="10" fontId="61" fillId="5" borderId="60" xfId="5" applyNumberFormat="1" applyFont="1" applyFill="1" applyBorder="1" applyAlignment="1">
      <alignment vertical="top"/>
    </xf>
    <xf numFmtId="167" fontId="36" fillId="11" borderId="10" xfId="29" applyFont="1" applyFill="1" applyBorder="1" applyAlignment="1"/>
    <xf numFmtId="172" fontId="36" fillId="11" borderId="64" xfId="16" applyNumberFormat="1" applyFont="1" applyFill="1" applyBorder="1"/>
    <xf numFmtId="168" fontId="37" fillId="11" borderId="91" xfId="8" applyNumberFormat="1" applyFont="1" applyFill="1" applyBorder="1"/>
    <xf numFmtId="168" fontId="36" fillId="11" borderId="91" xfId="8" applyNumberFormat="1" applyFont="1" applyFill="1" applyBorder="1"/>
    <xf numFmtId="172" fontId="32" fillId="11" borderId="97" xfId="16" applyNumberFormat="1" applyFont="1" applyFill="1" applyBorder="1"/>
    <xf numFmtId="44" fontId="36" fillId="11" borderId="69" xfId="29" applyNumberFormat="1" applyFont="1" applyFill="1" applyBorder="1"/>
    <xf numFmtId="44" fontId="36" fillId="11" borderId="10" xfId="29" applyNumberFormat="1" applyFont="1" applyFill="1" applyBorder="1"/>
    <xf numFmtId="168" fontId="36" fillId="11" borderId="92" xfId="8" applyNumberFormat="1" applyFont="1" applyFill="1" applyBorder="1"/>
    <xf numFmtId="172" fontId="32" fillId="11" borderId="97" xfId="29" applyNumberFormat="1" applyFont="1" applyFill="1" applyBorder="1"/>
    <xf numFmtId="44" fontId="36" fillId="11" borderId="8" xfId="29" applyNumberFormat="1" applyFont="1" applyFill="1" applyBorder="1"/>
    <xf numFmtId="172" fontId="32" fillId="5" borderId="36" xfId="8" applyNumberFormat="1" applyFont="1" applyFill="1" applyBorder="1" applyAlignment="1">
      <alignment vertical="center"/>
    </xf>
    <xf numFmtId="44" fontId="36" fillId="11" borderId="6" xfId="29" applyNumberFormat="1" applyFont="1" applyFill="1" applyBorder="1"/>
    <xf numFmtId="168" fontId="118" fillId="17" borderId="91" xfId="8" applyNumberFormat="1" applyFont="1" applyFill="1" applyBorder="1"/>
    <xf numFmtId="168" fontId="36" fillId="11" borderId="91" xfId="8" applyNumberFormat="1" applyFont="1" applyFill="1" applyBorder="1" applyAlignment="1">
      <alignment vertical="top"/>
    </xf>
    <xf numFmtId="168" fontId="37" fillId="11" borderId="91" xfId="8" applyNumberFormat="1" applyFont="1" applyFill="1" applyBorder="1" applyAlignment="1">
      <alignment vertical="top"/>
    </xf>
    <xf numFmtId="172" fontId="36" fillId="11" borderId="69" xfId="29" applyNumberFormat="1" applyFont="1" applyFill="1" applyBorder="1"/>
    <xf numFmtId="172" fontId="36" fillId="11" borderId="64" xfId="44" applyNumberFormat="1" applyFont="1" applyFill="1" applyBorder="1"/>
    <xf numFmtId="44" fontId="36" fillId="5" borderId="8" xfId="29" applyNumberFormat="1" applyFont="1" applyFill="1" applyBorder="1"/>
    <xf numFmtId="172" fontId="32" fillId="5" borderId="36" xfId="29" applyNumberFormat="1" applyFont="1" applyFill="1" applyBorder="1" applyAlignment="1">
      <alignment vertical="center"/>
    </xf>
    <xf numFmtId="172" fontId="32" fillId="5" borderId="36" xfId="16" applyNumberFormat="1" applyFont="1" applyFill="1" applyBorder="1" applyAlignment="1">
      <alignment vertical="center"/>
    </xf>
    <xf numFmtId="172" fontId="47" fillId="5" borderId="6" xfId="16" applyNumberFormat="1" applyFont="1" applyFill="1" applyBorder="1" applyAlignment="1"/>
    <xf numFmtId="10" fontId="49" fillId="5" borderId="98" xfId="5" applyNumberFormat="1" applyFont="1" applyFill="1" applyBorder="1" applyAlignment="1">
      <alignment vertical="top"/>
    </xf>
    <xf numFmtId="172" fontId="52" fillId="11" borderId="64" xfId="8" applyNumberFormat="1" applyFont="1" applyFill="1" applyBorder="1"/>
    <xf numFmtId="168" fontId="52" fillId="11" borderId="91" xfId="8" applyNumberFormat="1" applyFont="1" applyFill="1" applyBorder="1"/>
    <xf numFmtId="3" fontId="53" fillId="11" borderId="91" xfId="8" applyNumberFormat="1" applyFont="1" applyFill="1" applyBorder="1" applyAlignment="1">
      <alignment horizontal="right"/>
    </xf>
    <xf numFmtId="10" fontId="55" fillId="11" borderId="91" xfId="5" applyNumberFormat="1" applyFont="1" applyFill="1" applyBorder="1" applyAlignment="1">
      <alignment vertical="top"/>
    </xf>
    <xf numFmtId="168" fontId="52" fillId="11" borderId="92" xfId="8" applyNumberFormat="1" applyFont="1" applyFill="1" applyBorder="1"/>
    <xf numFmtId="10" fontId="56" fillId="11" borderId="10" xfId="5" applyNumberFormat="1" applyFont="1" applyFill="1" applyBorder="1" applyAlignment="1">
      <alignment vertical="top"/>
    </xf>
    <xf numFmtId="172" fontId="57" fillId="11" borderId="8" xfId="16" applyNumberFormat="1" applyFont="1" applyFill="1" applyBorder="1"/>
    <xf numFmtId="10" fontId="60" fillId="11" borderId="8" xfId="5" applyNumberFormat="1" applyFont="1" applyFill="1" applyBorder="1" applyAlignment="1">
      <alignment vertical="top"/>
    </xf>
    <xf numFmtId="10" fontId="61" fillId="5" borderId="98" xfId="5" applyNumberFormat="1" applyFont="1" applyFill="1" applyBorder="1" applyAlignment="1">
      <alignment vertical="top"/>
    </xf>
    <xf numFmtId="172" fontId="36" fillId="0" borderId="25" xfId="29" applyNumberFormat="1" applyFont="1" applyFill="1" applyBorder="1" applyAlignment="1"/>
    <xf numFmtId="172" fontId="36" fillId="0" borderId="99" xfId="16" applyNumberFormat="1" applyFont="1" applyFill="1" applyBorder="1"/>
    <xf numFmtId="168" fontId="37" fillId="0" borderId="100" xfId="8" applyNumberFormat="1" applyFont="1" applyFill="1" applyBorder="1"/>
    <xf numFmtId="168" fontId="36" fillId="0" borderId="100" xfId="8" applyNumberFormat="1" applyFont="1" applyFill="1" applyBorder="1"/>
    <xf numFmtId="168" fontId="37" fillId="0" borderId="37" xfId="8" applyNumberFormat="1" applyFont="1" applyFill="1" applyBorder="1"/>
    <xf numFmtId="172" fontId="32" fillId="0" borderId="101" xfId="16" applyNumberFormat="1" applyFont="1" applyFill="1" applyBorder="1"/>
    <xf numFmtId="44" fontId="36" fillId="0" borderId="102" xfId="29" applyNumberFormat="1" applyFont="1" applyFill="1" applyBorder="1"/>
    <xf numFmtId="44" fontId="36" fillId="0" borderId="25" xfId="29" applyNumberFormat="1" applyFont="1" applyFill="1" applyBorder="1"/>
    <xf numFmtId="168" fontId="36" fillId="0" borderId="103" xfId="8" applyNumberFormat="1" applyFont="1" applyFill="1" applyBorder="1"/>
    <xf numFmtId="172" fontId="32" fillId="0" borderId="101" xfId="29" applyNumberFormat="1" applyFont="1" applyFill="1" applyBorder="1"/>
    <xf numFmtId="44" fontId="36" fillId="0" borderId="37" xfId="29" applyNumberFormat="1" applyFont="1" applyFill="1" applyBorder="1"/>
    <xf numFmtId="172" fontId="32" fillId="5" borderId="35" xfId="8" applyNumberFormat="1" applyFont="1" applyFill="1" applyBorder="1" applyAlignment="1">
      <alignment vertical="center"/>
    </xf>
    <xf numFmtId="44" fontId="36" fillId="0" borderId="24" xfId="29" applyNumberFormat="1" applyFont="1" applyFill="1" applyBorder="1"/>
    <xf numFmtId="168" fontId="118" fillId="17" borderId="100" xfId="8" applyNumberFormat="1" applyFont="1" applyFill="1" applyBorder="1"/>
    <xf numFmtId="168" fontId="36" fillId="0" borderId="100" xfId="8" applyNumberFormat="1" applyFont="1" applyFill="1" applyBorder="1" applyAlignment="1">
      <alignment vertical="top"/>
    </xf>
    <xf numFmtId="168" fontId="37" fillId="0" borderId="100" xfId="8" applyNumberFormat="1" applyFont="1" applyFill="1" applyBorder="1" applyAlignment="1">
      <alignment vertical="top"/>
    </xf>
    <xf numFmtId="172" fontId="36" fillId="0" borderId="102" xfId="29" applyNumberFormat="1" applyFont="1" applyFill="1" applyBorder="1"/>
    <xf numFmtId="172" fontId="42" fillId="0" borderId="99" xfId="44" applyNumberFormat="1" applyFont="1" applyFill="1" applyBorder="1"/>
    <xf numFmtId="172" fontId="32" fillId="5" borderId="35" xfId="29" applyNumberFormat="1" applyFont="1" applyFill="1" applyBorder="1" applyAlignment="1">
      <alignment vertical="center"/>
    </xf>
    <xf numFmtId="172" fontId="32" fillId="0" borderId="25" xfId="29" applyNumberFormat="1" applyFont="1" applyFill="1" applyBorder="1" applyAlignment="1">
      <alignment vertical="center"/>
    </xf>
    <xf numFmtId="172" fontId="32" fillId="5" borderId="35" xfId="16" applyNumberFormat="1" applyFont="1" applyFill="1" applyBorder="1" applyAlignment="1">
      <alignment vertical="center"/>
    </xf>
    <xf numFmtId="172" fontId="47" fillId="5" borderId="24" xfId="16" applyNumberFormat="1" applyFont="1" applyFill="1" applyBorder="1" applyAlignment="1"/>
    <xf numFmtId="10" fontId="49" fillId="5" borderId="104" xfId="5" applyNumberFormat="1" applyFont="1" applyFill="1" applyBorder="1" applyAlignment="1">
      <alignment vertical="top"/>
    </xf>
    <xf numFmtId="10" fontId="49" fillId="0" borderId="25" xfId="5" applyNumberFormat="1" applyFont="1" applyFill="1" applyBorder="1" applyAlignment="1">
      <alignment vertical="top"/>
    </xf>
    <xf numFmtId="44" fontId="32" fillId="5" borderId="35" xfId="16" applyNumberFormat="1" applyFont="1" applyFill="1" applyBorder="1"/>
    <xf numFmtId="172" fontId="52" fillId="0" borderId="99" xfId="8" applyNumberFormat="1" applyFont="1" applyFill="1" applyBorder="1"/>
    <xf numFmtId="168" fontId="52" fillId="0" borderId="100" xfId="8" applyNumberFormat="1" applyFont="1" applyFill="1" applyBorder="1"/>
    <xf numFmtId="3" fontId="53" fillId="0" borderId="100" xfId="8" applyNumberFormat="1" applyFont="1" applyFill="1" applyBorder="1" applyAlignment="1">
      <alignment horizontal="right"/>
    </xf>
    <xf numFmtId="10" fontId="55" fillId="0" borderId="100" xfId="5" applyNumberFormat="1" applyFont="1" applyFill="1" applyBorder="1" applyAlignment="1">
      <alignment vertical="top"/>
    </xf>
    <xf numFmtId="168" fontId="52" fillId="0" borderId="103" xfId="8" applyNumberFormat="1" applyFont="1" applyFill="1" applyBorder="1"/>
    <xf numFmtId="10" fontId="56" fillId="0" borderId="25" xfId="5" applyNumberFormat="1" applyFont="1" applyFill="1" applyBorder="1" applyAlignment="1">
      <alignment vertical="top"/>
    </xf>
    <xf numFmtId="172" fontId="58" fillId="0" borderId="37" xfId="16" applyNumberFormat="1" applyFont="1" applyFill="1" applyBorder="1"/>
    <xf numFmtId="10" fontId="60" fillId="0" borderId="37" xfId="5" applyNumberFormat="1" applyFont="1" applyFill="1" applyBorder="1" applyAlignment="1">
      <alignment vertical="top"/>
    </xf>
    <xf numFmtId="10" fontId="61" fillId="5" borderId="104" xfId="5" applyNumberFormat="1" applyFont="1" applyFill="1" applyBorder="1" applyAlignment="1">
      <alignment vertical="top"/>
    </xf>
    <xf numFmtId="167" fontId="41" fillId="0" borderId="105" xfId="29" applyFont="1" applyFill="1" applyBorder="1"/>
    <xf numFmtId="167" fontId="36" fillId="0" borderId="25" xfId="29" applyFont="1" applyFill="1" applyBorder="1" applyAlignment="1">
      <alignment horizontal="center"/>
    </xf>
    <xf numFmtId="172" fontId="32" fillId="0" borderId="101" xfId="8" applyNumberFormat="1" applyFont="1" applyFill="1" applyBorder="1"/>
    <xf numFmtId="172" fontId="36" fillId="0" borderId="100" xfId="16" applyNumberFormat="1" applyFont="1" applyFill="1" applyBorder="1"/>
    <xf numFmtId="168" fontId="36" fillId="0" borderId="108" xfId="8" applyNumberFormat="1" applyFont="1" applyFill="1" applyBorder="1"/>
    <xf numFmtId="172" fontId="36" fillId="0" borderId="102" xfId="16" applyNumberFormat="1" applyFont="1" applyFill="1" applyBorder="1"/>
    <xf numFmtId="172" fontId="36" fillId="0" borderId="24" xfId="16" applyNumberFormat="1" applyFont="1" applyFill="1" applyBorder="1"/>
    <xf numFmtId="44" fontId="36" fillId="0" borderId="99" xfId="44" applyFont="1" applyFill="1" applyBorder="1"/>
    <xf numFmtId="172" fontId="36" fillId="0" borderId="37" xfId="29" applyNumberFormat="1" applyFont="1" applyFill="1" applyBorder="1"/>
    <xf numFmtId="44" fontId="32" fillId="0" borderId="25" xfId="16" applyNumberFormat="1" applyFont="1" applyFill="1" applyBorder="1"/>
    <xf numFmtId="172" fontId="32" fillId="0" borderId="99" xfId="16" applyNumberFormat="1" applyFont="1" applyFill="1" applyBorder="1" applyAlignment="1">
      <alignment vertical="center"/>
    </xf>
    <xf numFmtId="168" fontId="32" fillId="0" borderId="100" xfId="8" applyNumberFormat="1" applyFont="1" applyFill="1" applyBorder="1" applyAlignment="1">
      <alignment vertical="center"/>
    </xf>
    <xf numFmtId="168" fontId="32" fillId="0" borderId="103" xfId="8" applyNumberFormat="1" applyFont="1" applyFill="1" applyBorder="1" applyAlignment="1">
      <alignment vertical="center"/>
    </xf>
    <xf numFmtId="167" fontId="36" fillId="0" borderId="105" xfId="29" applyFont="1" applyFill="1" applyBorder="1"/>
    <xf numFmtId="167" fontId="32" fillId="13" borderId="7" xfId="29" applyFont="1" applyFill="1" applyBorder="1"/>
    <xf numFmtId="172" fontId="36" fillId="13" borderId="61" xfId="16" applyNumberFormat="1" applyFont="1" applyFill="1" applyBorder="1"/>
    <xf numFmtId="168" fontId="36" fillId="13" borderId="95" xfId="8" applyNumberFormat="1" applyFont="1" applyFill="1" applyBorder="1"/>
    <xf numFmtId="168" fontId="37" fillId="13" borderId="95" xfId="8" applyNumberFormat="1" applyFont="1" applyFill="1" applyBorder="1"/>
    <xf numFmtId="168" fontId="37" fillId="13" borderId="106" xfId="8" applyNumberFormat="1" applyFont="1" applyFill="1" applyBorder="1"/>
    <xf numFmtId="172" fontId="32" fillId="13" borderId="51" xfId="16" applyNumberFormat="1" applyFont="1" applyFill="1" applyBorder="1"/>
    <xf numFmtId="44" fontId="36" fillId="13" borderId="7" xfId="29" applyNumberFormat="1" applyFont="1" applyFill="1" applyBorder="1"/>
    <xf numFmtId="44" fontId="36" fillId="13" borderId="55" xfId="29" applyNumberFormat="1" applyFont="1" applyFill="1" applyBorder="1"/>
    <xf numFmtId="172" fontId="36" fillId="13" borderId="95" xfId="16" applyNumberFormat="1" applyFont="1" applyFill="1" applyBorder="1"/>
    <xf numFmtId="168" fontId="36" fillId="13" borderId="106" xfId="8" applyNumberFormat="1" applyFont="1" applyFill="1" applyBorder="1"/>
    <xf numFmtId="172" fontId="32" fillId="13" borderId="60" xfId="44" applyNumberFormat="1" applyFont="1" applyFill="1" applyBorder="1"/>
    <xf numFmtId="168" fontId="36" fillId="13" borderId="7" xfId="8" applyNumberFormat="1" applyFont="1" applyFill="1" applyBorder="1"/>
    <xf numFmtId="172" fontId="32" fillId="14" borderId="34" xfId="44" applyNumberFormat="1" applyFont="1" applyFill="1" applyBorder="1" applyAlignment="1">
      <alignment vertical="center"/>
    </xf>
    <xf numFmtId="44" fontId="36" fillId="13" borderId="9" xfId="29" applyNumberFormat="1" applyFont="1" applyFill="1" applyBorder="1"/>
    <xf numFmtId="172" fontId="42" fillId="14" borderId="55" xfId="16" applyNumberFormat="1" applyFont="1" applyFill="1" applyBorder="1"/>
    <xf numFmtId="168" fontId="42" fillId="14" borderId="95" xfId="8" applyNumberFormat="1" applyFont="1" applyFill="1" applyBorder="1"/>
    <xf numFmtId="168" fontId="37" fillId="14" borderId="95" xfId="8" applyNumberFormat="1" applyFont="1" applyFill="1" applyBorder="1"/>
    <xf numFmtId="168" fontId="37" fillId="13" borderId="95" xfId="8" applyNumberFormat="1" applyFont="1" applyFill="1" applyBorder="1" applyAlignment="1">
      <alignment vertical="top"/>
    </xf>
    <xf numFmtId="172" fontId="36" fillId="13" borderId="61" xfId="44" applyNumberFormat="1" applyFont="1" applyFill="1" applyBorder="1"/>
    <xf numFmtId="172" fontId="36" fillId="13" borderId="109" xfId="16" applyNumberFormat="1" applyFont="1" applyFill="1" applyBorder="1"/>
    <xf numFmtId="172" fontId="32" fillId="14" borderId="34" xfId="29" applyNumberFormat="1" applyFont="1" applyFill="1" applyBorder="1" applyAlignment="1">
      <alignment vertical="center"/>
    </xf>
    <xf numFmtId="172" fontId="36" fillId="14" borderId="34" xfId="16" applyNumberFormat="1" applyFont="1" applyFill="1" applyBorder="1" applyAlignment="1">
      <alignment vertical="center"/>
    </xf>
    <xf numFmtId="168" fontId="36" fillId="14" borderId="34" xfId="8" applyNumberFormat="1" applyFont="1" applyFill="1" applyBorder="1" applyAlignment="1">
      <alignment vertical="center"/>
    </xf>
    <xf numFmtId="172" fontId="68" fillId="14" borderId="5" xfId="16" applyNumberFormat="1" applyFont="1" applyFill="1" applyBorder="1" applyAlignment="1"/>
    <xf numFmtId="10" fontId="69" fillId="14" borderId="60" xfId="5" applyNumberFormat="1" applyFont="1" applyFill="1" applyBorder="1" applyAlignment="1">
      <alignment vertical="top"/>
    </xf>
    <xf numFmtId="172" fontId="52" fillId="14" borderId="61" xfId="8" applyNumberFormat="1" applyFont="1" applyFill="1" applyBorder="1"/>
    <xf numFmtId="168" fontId="52" fillId="14" borderId="95" xfId="8" applyNumberFormat="1" applyFont="1" applyFill="1" applyBorder="1"/>
    <xf numFmtId="3" fontId="53" fillId="14" borderId="95" xfId="8" applyNumberFormat="1" applyFont="1" applyFill="1" applyBorder="1" applyAlignment="1">
      <alignment horizontal="right"/>
    </xf>
    <xf numFmtId="10" fontId="55" fillId="14" borderId="95" xfId="5" applyNumberFormat="1" applyFont="1" applyFill="1" applyBorder="1" applyAlignment="1">
      <alignment vertical="top"/>
    </xf>
    <xf numFmtId="168" fontId="52" fillId="14" borderId="96" xfId="8" applyNumberFormat="1" applyFont="1" applyFill="1" applyBorder="1"/>
    <xf numFmtId="10" fontId="56" fillId="14" borderId="9" xfId="5" applyNumberFormat="1" applyFont="1" applyFill="1" applyBorder="1" applyAlignment="1">
      <alignment vertical="top"/>
    </xf>
    <xf numFmtId="172" fontId="57" fillId="14" borderId="7" xfId="16" applyNumberFormat="1" applyFont="1" applyFill="1" applyBorder="1"/>
    <xf numFmtId="10" fontId="59" fillId="14" borderId="7" xfId="5" applyNumberFormat="1" applyFont="1" applyFill="1" applyBorder="1" applyAlignment="1">
      <alignment vertical="top"/>
    </xf>
    <xf numFmtId="167" fontId="32" fillId="13" borderId="8" xfId="29" applyFont="1" applyFill="1" applyBorder="1"/>
    <xf numFmtId="172" fontId="36" fillId="13" borderId="93" xfId="16" applyNumberFormat="1" applyFont="1" applyFill="1" applyBorder="1"/>
    <xf numFmtId="168" fontId="36" fillId="13" borderId="91" xfId="8" applyNumberFormat="1" applyFont="1" applyFill="1" applyBorder="1"/>
    <xf numFmtId="168" fontId="37" fillId="13" borderId="91" xfId="8" applyNumberFormat="1" applyFont="1" applyFill="1" applyBorder="1"/>
    <xf numFmtId="168" fontId="37" fillId="13" borderId="107" xfId="8" applyNumberFormat="1" applyFont="1" applyFill="1" applyBorder="1"/>
    <xf numFmtId="172" fontId="32" fillId="13" borderId="97" xfId="16" applyNumberFormat="1" applyFont="1" applyFill="1" applyBorder="1"/>
    <xf numFmtId="44" fontId="36" fillId="13" borderId="8" xfId="29" applyNumberFormat="1" applyFont="1" applyFill="1" applyBorder="1"/>
    <xf numFmtId="44" fontId="36" fillId="13" borderId="64" xfId="29" applyNumberFormat="1" applyFont="1" applyFill="1" applyBorder="1"/>
    <xf numFmtId="172" fontId="36" fillId="13" borderId="91" xfId="16" applyNumberFormat="1" applyFont="1" applyFill="1" applyBorder="1"/>
    <xf numFmtId="168" fontId="36" fillId="13" borderId="107" xfId="8" applyNumberFormat="1" applyFont="1" applyFill="1" applyBorder="1"/>
    <xf numFmtId="172" fontId="32" fillId="13" borderId="98" xfId="44" applyNumberFormat="1" applyFont="1" applyFill="1" applyBorder="1"/>
    <xf numFmtId="168" fontId="36" fillId="13" borderId="8" xfId="8" applyNumberFormat="1" applyFont="1" applyFill="1" applyBorder="1"/>
    <xf numFmtId="172" fontId="32" fillId="14" borderId="36" xfId="44" applyNumberFormat="1" applyFont="1" applyFill="1" applyBorder="1" applyAlignment="1">
      <alignment vertical="center"/>
    </xf>
    <xf numFmtId="44" fontId="36" fillId="13" borderId="10" xfId="29" applyNumberFormat="1" applyFont="1" applyFill="1" applyBorder="1"/>
    <xf numFmtId="172" fontId="36" fillId="13" borderId="64" xfId="16" applyNumberFormat="1" applyFont="1" applyFill="1" applyBorder="1"/>
    <xf numFmtId="171" fontId="36" fillId="13" borderId="91" xfId="8" applyNumberFormat="1" applyFont="1" applyFill="1" applyBorder="1"/>
    <xf numFmtId="168" fontId="36" fillId="13" borderId="91" xfId="8" applyNumberFormat="1" applyFont="1" applyFill="1" applyBorder="1" applyAlignment="1">
      <alignment vertical="top"/>
    </xf>
    <xf numFmtId="168" fontId="37" fillId="13" borderId="91" xfId="8" applyNumberFormat="1" applyFont="1" applyFill="1" applyBorder="1" applyAlignment="1">
      <alignment vertical="top"/>
    </xf>
    <xf numFmtId="172" fontId="36" fillId="13" borderId="93" xfId="44" applyNumberFormat="1" applyFont="1" applyFill="1" applyBorder="1"/>
    <xf numFmtId="172" fontId="36" fillId="13" borderId="110" xfId="16" applyNumberFormat="1" applyFont="1" applyFill="1" applyBorder="1"/>
    <xf numFmtId="172" fontId="32" fillId="14" borderId="36" xfId="29" applyNumberFormat="1" applyFont="1" applyFill="1" applyBorder="1" applyAlignment="1">
      <alignment vertical="center"/>
    </xf>
    <xf numFmtId="172" fontId="36" fillId="14" borderId="36" xfId="16" applyNumberFormat="1" applyFont="1" applyFill="1" applyBorder="1" applyAlignment="1">
      <alignment vertical="center"/>
    </xf>
    <xf numFmtId="168" fontId="36" fillId="14" borderId="36" xfId="8" applyNumberFormat="1" applyFont="1" applyFill="1" applyBorder="1" applyAlignment="1">
      <alignment vertical="center"/>
    </xf>
    <xf numFmtId="172" fontId="68" fillId="14" borderId="6" xfId="16" applyNumberFormat="1" applyFont="1" applyFill="1" applyBorder="1" applyAlignment="1"/>
    <xf numFmtId="10" fontId="69" fillId="14" borderId="98" xfId="5" applyNumberFormat="1" applyFont="1" applyFill="1" applyBorder="1" applyAlignment="1">
      <alignment vertical="top"/>
    </xf>
    <xf numFmtId="172" fontId="52" fillId="14" borderId="93" xfId="8" applyNumberFormat="1" applyFont="1" applyFill="1" applyBorder="1"/>
    <xf numFmtId="168" fontId="52" fillId="14" borderId="91" xfId="8" applyNumberFormat="1" applyFont="1" applyFill="1" applyBorder="1"/>
    <xf numFmtId="3" fontId="53" fillId="14" borderId="91" xfId="8" applyNumberFormat="1" applyFont="1" applyFill="1" applyBorder="1" applyAlignment="1">
      <alignment horizontal="right"/>
    </xf>
    <xf numFmtId="10" fontId="55" fillId="14" borderId="91" xfId="5" applyNumberFormat="1" applyFont="1" applyFill="1" applyBorder="1" applyAlignment="1">
      <alignment vertical="top"/>
    </xf>
    <xf numFmtId="168" fontId="52" fillId="14" borderId="92" xfId="8" applyNumberFormat="1" applyFont="1" applyFill="1" applyBorder="1"/>
    <xf numFmtId="10" fontId="56" fillId="14" borderId="10" xfId="5" applyNumberFormat="1" applyFont="1" applyFill="1" applyBorder="1" applyAlignment="1">
      <alignment vertical="top"/>
    </xf>
    <xf numFmtId="172" fontId="57" fillId="14" borderId="8" xfId="16" applyNumberFormat="1" applyFont="1" applyFill="1" applyBorder="1"/>
    <xf numFmtId="10" fontId="60" fillId="14" borderId="8" xfId="5" applyNumberFormat="1" applyFont="1" applyFill="1" applyBorder="1" applyAlignment="1">
      <alignment vertical="top"/>
    </xf>
    <xf numFmtId="167" fontId="32" fillId="0" borderId="37" xfId="29" applyFont="1" applyFill="1" applyBorder="1"/>
    <xf numFmtId="167" fontId="64" fillId="0" borderId="37" xfId="29" applyFont="1" applyFill="1" applyBorder="1" applyAlignment="1"/>
    <xf numFmtId="172" fontId="36" fillId="0" borderId="111" xfId="16" applyNumberFormat="1" applyFont="1" applyFill="1" applyBorder="1"/>
    <xf numFmtId="168" fontId="37" fillId="0" borderId="108" xfId="8" applyNumberFormat="1" applyFont="1" applyFill="1" applyBorder="1"/>
    <xf numFmtId="44" fontId="36" fillId="0" borderId="99" xfId="29" applyNumberFormat="1" applyFont="1" applyFill="1" applyBorder="1"/>
    <xf numFmtId="172" fontId="32" fillId="0" borderId="104" xfId="44" applyNumberFormat="1" applyFont="1" applyFill="1" applyBorder="1"/>
    <xf numFmtId="168" fontId="36" fillId="0" borderId="37" xfId="8" applyNumberFormat="1" applyFont="1" applyFill="1" applyBorder="1"/>
    <xf numFmtId="172" fontId="32" fillId="14" borderId="35" xfId="44" applyNumberFormat="1" applyFont="1" applyFill="1" applyBorder="1" applyAlignment="1">
      <alignment vertical="center"/>
    </xf>
    <xf numFmtId="172" fontId="36" fillId="0" borderId="111" xfId="44" applyNumberFormat="1" applyFont="1" applyFill="1" applyBorder="1"/>
    <xf numFmtId="172" fontId="36" fillId="0" borderId="112" xfId="16" applyNumberFormat="1" applyFont="1" applyFill="1" applyBorder="1"/>
    <xf numFmtId="172" fontId="32" fillId="14" borderId="35" xfId="29" applyNumberFormat="1" applyFont="1" applyFill="1" applyBorder="1" applyAlignment="1">
      <alignment vertical="center"/>
    </xf>
    <xf numFmtId="172" fontId="36" fillId="14" borderId="35" xfId="16" applyNumberFormat="1" applyFont="1" applyFill="1" applyBorder="1" applyAlignment="1">
      <alignment vertical="center"/>
    </xf>
    <xf numFmtId="168" fontId="36" fillId="14" borderId="35" xfId="8" applyNumberFormat="1" applyFont="1" applyFill="1" applyBorder="1" applyAlignment="1">
      <alignment vertical="center"/>
    </xf>
    <xf numFmtId="172" fontId="68" fillId="14" borderId="24" xfId="16" applyNumberFormat="1" applyFont="1" applyFill="1" applyBorder="1" applyAlignment="1"/>
    <xf numFmtId="10" fontId="69" fillId="14" borderId="104" xfId="5" applyNumberFormat="1" applyFont="1" applyFill="1" applyBorder="1" applyAlignment="1">
      <alignment vertical="top"/>
    </xf>
    <xf numFmtId="44" fontId="32" fillId="0" borderId="102" xfId="16" applyNumberFormat="1" applyFont="1" applyFill="1" applyBorder="1"/>
    <xf numFmtId="44" fontId="32" fillId="14" borderId="35" xfId="16" applyNumberFormat="1" applyFont="1" applyFill="1" applyBorder="1"/>
    <xf numFmtId="172" fontId="52" fillId="0" borderId="111" xfId="8" applyNumberFormat="1" applyFont="1" applyFill="1" applyBorder="1"/>
    <xf numFmtId="8" fontId="82" fillId="0" borderId="0" xfId="1" applyNumberFormat="1" applyFont="1" applyBorder="1" applyAlignment="1">
      <alignment horizontal="left"/>
    </xf>
    <xf numFmtId="43" fontId="23" fillId="6" borderId="0" xfId="1" applyFont="1" applyFill="1"/>
    <xf numFmtId="0" fontId="23" fillId="6" borderId="0" xfId="1" applyNumberFormat="1" applyFont="1" applyFill="1" applyBorder="1"/>
    <xf numFmtId="0" fontId="33" fillId="0" borderId="0" xfId="29" applyNumberFormat="1" applyFont="1" applyFill="1" applyAlignment="1">
      <alignment vertical="center"/>
    </xf>
    <xf numFmtId="0" fontId="33" fillId="0" borderId="0" xfId="29" applyNumberFormat="1" applyFont="1" applyFill="1"/>
    <xf numFmtId="0" fontId="33" fillId="0" borderId="0" xfId="29" applyNumberFormat="1" applyFont="1" applyFill="1" applyBorder="1"/>
    <xf numFmtId="0" fontId="43" fillId="0" borderId="0" xfId="29" applyNumberFormat="1" applyFont="1" applyFill="1" applyBorder="1" applyAlignment="1">
      <alignment vertical="center"/>
    </xf>
    <xf numFmtId="0" fontId="43" fillId="0" borderId="0" xfId="29" applyNumberFormat="1" applyFont="1" applyFill="1" applyAlignment="1">
      <alignment vertical="center"/>
    </xf>
    <xf numFmtId="0" fontId="33" fillId="0" borderId="0" xfId="1" applyNumberFormat="1" applyFont="1" applyFill="1"/>
    <xf numFmtId="0" fontId="33" fillId="0" borderId="0" xfId="1" applyNumberFormat="1" applyFont="1" applyFill="1" applyBorder="1"/>
    <xf numFmtId="0" fontId="33" fillId="0" borderId="0" xfId="29" applyNumberFormat="1" applyFont="1" applyFill="1" applyBorder="1" applyAlignment="1">
      <alignment vertical="top"/>
    </xf>
    <xf numFmtId="0" fontId="33" fillId="0" borderId="0" xfId="29" applyNumberFormat="1" applyFont="1" applyFill="1" applyAlignment="1">
      <alignment vertical="top"/>
    </xf>
    <xf numFmtId="0" fontId="46" fillId="0" borderId="0" xfId="8" applyNumberFormat="1" applyFont="1" applyBorder="1" applyAlignment="1">
      <alignment horizontal="right"/>
    </xf>
    <xf numFmtId="0" fontId="46" fillId="0" borderId="0" xfId="29" applyNumberFormat="1" applyFont="1" applyFill="1" applyBorder="1" applyAlignment="1">
      <alignment horizontal="right"/>
    </xf>
    <xf numFmtId="0" fontId="46" fillId="0" borderId="0" xfId="1" applyNumberFormat="1" applyFont="1" applyFill="1" applyBorder="1"/>
    <xf numFmtId="0" fontId="45" fillId="0" borderId="0" xfId="29" applyNumberFormat="1" applyFont="1" applyFill="1" applyBorder="1"/>
    <xf numFmtId="0" fontId="45" fillId="0" borderId="0" xfId="29" applyNumberFormat="1" applyFont="1" applyFill="1"/>
    <xf numFmtId="0" fontId="45" fillId="0" borderId="0" xfId="29" applyNumberFormat="1" applyFont="1" applyFill="1" applyBorder="1" applyAlignment="1">
      <alignment vertical="center"/>
    </xf>
    <xf numFmtId="0" fontId="45" fillId="0" borderId="0" xfId="29" applyNumberFormat="1" applyFont="1" applyFill="1" applyAlignment="1">
      <alignment vertical="center"/>
    </xf>
    <xf numFmtId="0" fontId="45" fillId="0" borderId="0" xfId="29" applyNumberFormat="1" applyFont="1" applyFill="1" applyBorder="1" applyAlignment="1"/>
    <xf numFmtId="0" fontId="45" fillId="0" borderId="0" xfId="29" applyNumberFormat="1" applyFont="1" applyFill="1" applyAlignment="1"/>
    <xf numFmtId="0" fontId="54" fillId="0" borderId="0" xfId="29" applyNumberFormat="1" applyFont="1" applyFill="1" applyBorder="1" applyAlignment="1">
      <alignment vertical="center"/>
    </xf>
    <xf numFmtId="0" fontId="54" fillId="0" borderId="0" xfId="29" applyNumberFormat="1" applyFont="1" applyFill="1" applyAlignment="1">
      <alignment vertical="center"/>
    </xf>
    <xf numFmtId="0" fontId="9" fillId="0" borderId="0" xfId="29" applyNumberFormat="1" applyFont="1" applyFill="1" applyBorder="1"/>
    <xf numFmtId="0" fontId="9" fillId="0" borderId="0" xfId="29" applyNumberFormat="1" applyFont="1" applyFill="1"/>
    <xf numFmtId="0" fontId="43" fillId="0" borderId="0" xfId="29" applyNumberFormat="1" applyFont="1" applyFill="1"/>
    <xf numFmtId="0" fontId="33" fillId="0" borderId="0" xfId="29" applyNumberFormat="1" applyFont="1" applyAlignment="1">
      <alignment horizontal="center" vertical="center"/>
    </xf>
    <xf numFmtId="0" fontId="33" fillId="0" borderId="0" xfId="29" applyNumberFormat="1" applyFont="1"/>
    <xf numFmtId="0" fontId="33" fillId="0" borderId="0" xfId="29" applyNumberFormat="1" applyFont="1" applyAlignment="1">
      <alignment vertical="center"/>
    </xf>
    <xf numFmtId="0" fontId="33" fillId="0" borderId="0" xfId="8" applyNumberFormat="1" applyFont="1" applyAlignment="1">
      <alignment vertical="center"/>
    </xf>
    <xf numFmtId="0" fontId="92" fillId="0" borderId="0" xfId="1" applyNumberFormat="1" applyFont="1" applyFill="1" applyBorder="1" applyAlignment="1">
      <alignment vertical="center"/>
    </xf>
    <xf numFmtId="0" fontId="33" fillId="0" borderId="0" xfId="5" applyNumberFormat="1" applyFont="1" applyFill="1"/>
    <xf numFmtId="0" fontId="33" fillId="0" borderId="0" xfId="5" applyNumberFormat="1" applyFont="1" applyFill="1" applyAlignment="1">
      <alignment vertical="top"/>
    </xf>
    <xf numFmtId="0" fontId="33" fillId="0" borderId="0" xfId="29" applyNumberFormat="1" applyFont="1" applyAlignment="1">
      <alignment vertical="top"/>
    </xf>
    <xf numFmtId="0" fontId="46" fillId="0" borderId="0" xfId="29" applyNumberFormat="1" applyFont="1" applyFill="1" applyBorder="1" applyAlignment="1">
      <alignment horizontal="right" vertical="center"/>
    </xf>
    <xf numFmtId="0" fontId="46" fillId="0" borderId="0" xfId="8" applyNumberFormat="1" applyFont="1" applyBorder="1" applyAlignment="1">
      <alignment horizontal="right" vertical="center"/>
    </xf>
    <xf numFmtId="0" fontId="36" fillId="0" borderId="9" xfId="29" applyNumberFormat="1" applyFont="1" applyFill="1" applyBorder="1"/>
    <xf numFmtId="0" fontId="32" fillId="0" borderId="2" xfId="29" applyNumberFormat="1" applyFont="1" applyFill="1" applyBorder="1"/>
    <xf numFmtId="0" fontId="36" fillId="0" borderId="2" xfId="29" applyNumberFormat="1" applyFont="1" applyFill="1" applyBorder="1"/>
    <xf numFmtId="0" fontId="36" fillId="0" borderId="55" xfId="29" applyNumberFormat="1" applyFont="1" applyFill="1" applyBorder="1"/>
    <xf numFmtId="0" fontId="32" fillId="0" borderId="40" xfId="29" applyNumberFormat="1" applyFont="1" applyFill="1" applyBorder="1"/>
    <xf numFmtId="0" fontId="36" fillId="0" borderId="52" xfId="29" applyNumberFormat="1" applyFont="1" applyFill="1" applyBorder="1"/>
    <xf numFmtId="0" fontId="32" fillId="0" borderId="41" xfId="29" applyNumberFormat="1" applyFont="1" applyFill="1" applyBorder="1"/>
    <xf numFmtId="0" fontId="37" fillId="0" borderId="41" xfId="29" applyNumberFormat="1" applyFont="1" applyFill="1" applyBorder="1"/>
    <xf numFmtId="0" fontId="36" fillId="0" borderId="53" xfId="29" applyNumberFormat="1" applyFont="1" applyFill="1" applyBorder="1"/>
    <xf numFmtId="0" fontId="32" fillId="0" borderId="43" xfId="29" applyNumberFormat="1" applyFont="1" applyFill="1" applyBorder="1"/>
    <xf numFmtId="0" fontId="36" fillId="0" borderId="43" xfId="29" applyNumberFormat="1" applyFont="1" applyFill="1" applyBorder="1"/>
    <xf numFmtId="0" fontId="32" fillId="0" borderId="51" xfId="29" applyNumberFormat="1" applyFont="1" applyFill="1" applyBorder="1"/>
    <xf numFmtId="0" fontId="32" fillId="0" borderId="12" xfId="29" applyNumberFormat="1" applyFont="1" applyFill="1" applyBorder="1"/>
    <xf numFmtId="0" fontId="36" fillId="0" borderId="7" xfId="29" applyNumberFormat="1" applyFont="1" applyFill="1" applyBorder="1"/>
    <xf numFmtId="0" fontId="32" fillId="0" borderId="0" xfId="29" applyNumberFormat="1" applyFont="1" applyFill="1"/>
    <xf numFmtId="0" fontId="36" fillId="0" borderId="0" xfId="29" applyNumberFormat="1" applyFont="1" applyFill="1"/>
    <xf numFmtId="0" fontId="36" fillId="0" borderId="54" xfId="29" applyNumberFormat="1" applyFont="1" applyFill="1" applyBorder="1"/>
    <xf numFmtId="0" fontId="32" fillId="0" borderId="42" xfId="29" applyNumberFormat="1" applyFont="1" applyFill="1" applyBorder="1"/>
    <xf numFmtId="0" fontId="36" fillId="0" borderId="42" xfId="29" applyNumberFormat="1" applyFont="1" applyFill="1" applyBorder="1"/>
    <xf numFmtId="0" fontId="36" fillId="0" borderId="51" xfId="29" applyNumberFormat="1" applyFont="1" applyFill="1" applyBorder="1"/>
    <xf numFmtId="0" fontId="36" fillId="0" borderId="12" xfId="29" applyNumberFormat="1" applyFont="1" applyFill="1" applyBorder="1"/>
    <xf numFmtId="0" fontId="32" fillId="0" borderId="0" xfId="29" applyNumberFormat="1" applyFont="1" applyFill="1" applyBorder="1"/>
    <xf numFmtId="0" fontId="36" fillId="0" borderId="0" xfId="29" applyNumberFormat="1" applyFont="1" applyFill="1" applyBorder="1"/>
    <xf numFmtId="0" fontId="36" fillId="0" borderId="5" xfId="29" applyNumberFormat="1" applyFont="1" applyFill="1" applyBorder="1"/>
    <xf numFmtId="0" fontId="32" fillId="0" borderId="1" xfId="29" applyNumberFormat="1" applyFont="1" applyFill="1" applyBorder="1"/>
    <xf numFmtId="0" fontId="36" fillId="0" borderId="1" xfId="29" applyNumberFormat="1" applyFont="1" applyFill="1" applyBorder="1"/>
    <xf numFmtId="0" fontId="36" fillId="0" borderId="52" xfId="29" applyNumberFormat="1" applyFont="1" applyFill="1" applyBorder="1" applyAlignment="1">
      <alignment vertical="top"/>
    </xf>
    <xf numFmtId="0" fontId="32" fillId="0" borderId="41" xfId="29" applyNumberFormat="1" applyFont="1" applyFill="1" applyBorder="1" applyAlignment="1">
      <alignment vertical="top"/>
    </xf>
    <xf numFmtId="0" fontId="36" fillId="0" borderId="41" xfId="29" applyNumberFormat="1" applyFont="1" applyFill="1" applyBorder="1" applyAlignment="1">
      <alignment vertical="top"/>
    </xf>
    <xf numFmtId="0" fontId="37" fillId="0" borderId="52" xfId="29" applyNumberFormat="1" applyFont="1" applyFill="1" applyBorder="1" applyAlignment="1">
      <alignment vertical="top"/>
    </xf>
    <xf numFmtId="0" fontId="118" fillId="0" borderId="41" xfId="29" applyNumberFormat="1" applyFont="1" applyFill="1" applyBorder="1" applyAlignment="1">
      <alignment vertical="top"/>
    </xf>
    <xf numFmtId="0" fontId="37" fillId="0" borderId="41" xfId="29" applyNumberFormat="1" applyFont="1" applyFill="1" applyBorder="1" applyAlignment="1">
      <alignment vertical="top"/>
    </xf>
    <xf numFmtId="0" fontId="37" fillId="0" borderId="41" xfId="29" applyNumberFormat="1" applyFont="1" applyFill="1" applyBorder="1" applyAlignment="1">
      <alignment vertical="top" wrapText="1"/>
    </xf>
    <xf numFmtId="0" fontId="36" fillId="12" borderId="34" xfId="29" applyNumberFormat="1" applyFont="1" applyFill="1" applyBorder="1"/>
    <xf numFmtId="0" fontId="32" fillId="0" borderId="55" xfId="29" applyNumberFormat="1" applyFont="1" applyFill="1" applyBorder="1" applyAlignment="1">
      <alignment vertical="center"/>
    </xf>
    <xf numFmtId="0" fontId="32" fillId="0" borderId="40" xfId="29" applyNumberFormat="1" applyFont="1" applyFill="1" applyBorder="1" applyAlignment="1">
      <alignment vertical="center"/>
    </xf>
    <xf numFmtId="0" fontId="32" fillId="0" borderId="52" xfId="29" applyNumberFormat="1" applyFont="1" applyFill="1" applyBorder="1" applyAlignment="1">
      <alignment vertical="center"/>
    </xf>
    <xf numFmtId="0" fontId="32" fillId="0" borderId="41" xfId="29" applyNumberFormat="1" applyFont="1" applyFill="1" applyBorder="1" applyAlignment="1">
      <alignment vertical="center"/>
    </xf>
    <xf numFmtId="0" fontId="32" fillId="0" borderId="53" xfId="29" applyNumberFormat="1" applyFont="1" applyFill="1" applyBorder="1" applyAlignment="1">
      <alignment vertical="center"/>
    </xf>
    <xf numFmtId="0" fontId="32" fillId="0" borderId="43" xfId="29" applyNumberFormat="1" applyFont="1" applyFill="1" applyBorder="1" applyAlignment="1">
      <alignment vertical="center"/>
    </xf>
    <xf numFmtId="0" fontId="34" fillId="0" borderId="0" xfId="29" applyNumberFormat="1" applyFont="1"/>
    <xf numFmtId="0" fontId="35" fillId="0" borderId="0" xfId="29" applyNumberFormat="1" applyFont="1"/>
    <xf numFmtId="0" fontId="41" fillId="0" borderId="0" xfId="29" applyNumberFormat="1" applyFont="1"/>
    <xf numFmtId="0" fontId="121" fillId="0" borderId="0" xfId="29" applyNumberFormat="1" applyFont="1"/>
    <xf numFmtId="0" fontId="32" fillId="0" borderId="9" xfId="29" applyNumberFormat="1" applyFont="1" applyFill="1" applyBorder="1"/>
    <xf numFmtId="0" fontId="32" fillId="0" borderId="55" xfId="29" applyNumberFormat="1" applyFont="1" applyFill="1" applyBorder="1"/>
    <xf numFmtId="0" fontId="37" fillId="0" borderId="40" xfId="29" applyNumberFormat="1" applyFont="1" applyFill="1" applyBorder="1"/>
    <xf numFmtId="0" fontId="32" fillId="0" borderId="52" xfId="29" applyNumberFormat="1" applyFont="1" applyFill="1" applyBorder="1"/>
    <xf numFmtId="0" fontId="121" fillId="0" borderId="52" xfId="29" applyNumberFormat="1" applyFont="1" applyBorder="1"/>
    <xf numFmtId="0" fontId="121" fillId="0" borderId="41" xfId="29" applyNumberFormat="1" applyFont="1" applyBorder="1"/>
    <xf numFmtId="0" fontId="41" fillId="0" borderId="41" xfId="29" applyNumberFormat="1" applyFont="1" applyBorder="1"/>
    <xf numFmtId="0" fontId="121" fillId="0" borderId="53" xfId="29" applyNumberFormat="1" applyFont="1" applyBorder="1"/>
    <xf numFmtId="0" fontId="121" fillId="0" borderId="43" xfId="29" applyNumberFormat="1" applyFont="1" applyBorder="1"/>
    <xf numFmtId="0" fontId="41" fillId="0" borderId="43" xfId="29" applyNumberFormat="1" applyFont="1" applyBorder="1"/>
    <xf numFmtId="0" fontId="37" fillId="0" borderId="43" xfId="29" applyNumberFormat="1" applyFont="1" applyFill="1" applyBorder="1"/>
    <xf numFmtId="0" fontId="32" fillId="0" borderId="65" xfId="29" applyNumberFormat="1" applyFont="1" applyFill="1" applyBorder="1"/>
    <xf numFmtId="0" fontId="32" fillId="0" borderId="66" xfId="29" applyNumberFormat="1" applyFont="1" applyFill="1" applyBorder="1"/>
    <xf numFmtId="0" fontId="36" fillId="0" borderId="66" xfId="29" applyNumberFormat="1" applyFont="1" applyFill="1" applyBorder="1"/>
    <xf numFmtId="0" fontId="32" fillId="0" borderId="53" xfId="29" applyNumberFormat="1" applyFont="1" applyFill="1" applyBorder="1"/>
    <xf numFmtId="0" fontId="32" fillId="0" borderId="7" xfId="29" applyNumberFormat="1" applyFont="1" applyFill="1" applyBorder="1"/>
    <xf numFmtId="0" fontId="32" fillId="5" borderId="34" xfId="29" applyNumberFormat="1" applyFont="1" applyFill="1" applyBorder="1" applyAlignment="1">
      <alignment vertical="center"/>
    </xf>
    <xf numFmtId="0" fontId="32" fillId="5" borderId="11" xfId="29" applyNumberFormat="1" applyFont="1" applyFill="1" applyBorder="1" applyAlignment="1">
      <alignment vertical="center"/>
    </xf>
    <xf numFmtId="0" fontId="32" fillId="0" borderId="5" xfId="29" applyNumberFormat="1" applyFont="1" applyFill="1" applyBorder="1"/>
    <xf numFmtId="0" fontId="118" fillId="17" borderId="52" xfId="29" applyNumberFormat="1" applyFont="1" applyFill="1" applyBorder="1"/>
    <xf numFmtId="0" fontId="32" fillId="0" borderId="52" xfId="29" applyNumberFormat="1" applyFont="1" applyFill="1" applyBorder="1" applyAlignment="1">
      <alignment vertical="top"/>
    </xf>
    <xf numFmtId="0" fontId="36" fillId="5" borderId="11" xfId="29" applyNumberFormat="1" applyFont="1" applyFill="1" applyBorder="1" applyAlignment="1">
      <alignment vertical="center"/>
    </xf>
    <xf numFmtId="0" fontId="32" fillId="0" borderId="7" xfId="29" applyNumberFormat="1" applyFont="1" applyFill="1" applyBorder="1" applyAlignment="1">
      <alignment vertical="center"/>
    </xf>
    <xf numFmtId="0" fontId="32" fillId="0" borderId="0" xfId="29" applyNumberFormat="1" applyFont="1" applyFill="1" applyBorder="1" applyAlignment="1">
      <alignment vertical="center"/>
    </xf>
    <xf numFmtId="0" fontId="36" fillId="0" borderId="0" xfId="29" applyNumberFormat="1" applyFont="1" applyFill="1" applyAlignment="1">
      <alignment vertical="center"/>
    </xf>
    <xf numFmtId="0" fontId="36" fillId="0" borderId="2" xfId="29" applyNumberFormat="1" applyFont="1" applyFill="1" applyBorder="1" applyAlignment="1">
      <alignment vertical="center"/>
    </xf>
    <xf numFmtId="0" fontId="47" fillId="5" borderId="5" xfId="29" applyNumberFormat="1" applyFont="1" applyFill="1" applyBorder="1" applyAlignment="1"/>
    <xf numFmtId="0" fontId="47" fillId="5" borderId="1" xfId="29" applyNumberFormat="1" applyFont="1" applyFill="1" applyBorder="1" applyAlignment="1"/>
    <xf numFmtId="0" fontId="38" fillId="5" borderId="1" xfId="29" applyNumberFormat="1" applyFont="1" applyFill="1" applyBorder="1" applyAlignment="1"/>
    <xf numFmtId="0" fontId="32" fillId="5" borderId="60" xfId="29" applyNumberFormat="1" applyFont="1" applyFill="1" applyBorder="1"/>
    <xf numFmtId="0" fontId="32" fillId="5" borderId="13" xfId="29" applyNumberFormat="1" applyFont="1" applyFill="1" applyBorder="1"/>
    <xf numFmtId="0" fontId="36" fillId="5" borderId="13" xfId="29" applyNumberFormat="1" applyFont="1" applyFill="1" applyBorder="1"/>
    <xf numFmtId="0" fontId="68" fillId="5" borderId="34" xfId="29" applyNumberFormat="1" applyFont="1" applyFill="1" applyBorder="1" applyAlignment="1">
      <alignment vertical="center"/>
    </xf>
    <xf numFmtId="0" fontId="68" fillId="5" borderId="11" xfId="29" applyNumberFormat="1" applyFont="1" applyFill="1" applyBorder="1"/>
    <xf numFmtId="0" fontId="51" fillId="5" borderId="11" xfId="29" applyNumberFormat="1" applyFont="1" applyFill="1" applyBorder="1"/>
    <xf numFmtId="0" fontId="52" fillId="0" borderId="55" xfId="29" applyNumberFormat="1" applyFont="1" applyFill="1" applyBorder="1"/>
    <xf numFmtId="0" fontId="52" fillId="0" borderId="40" xfId="29" applyNumberFormat="1" applyFont="1" applyFill="1" applyBorder="1"/>
    <xf numFmtId="0" fontId="48" fillId="0" borderId="40" xfId="29" applyNumberFormat="1" applyFont="1" applyFill="1" applyBorder="1"/>
    <xf numFmtId="0" fontId="48" fillId="0" borderId="64" xfId="29" applyNumberFormat="1" applyFont="1" applyFill="1" applyBorder="1"/>
    <xf numFmtId="0" fontId="48" fillId="0" borderId="63" xfId="29" applyNumberFormat="1" applyFont="1" applyFill="1" applyBorder="1"/>
    <xf numFmtId="0" fontId="52" fillId="0" borderId="53" xfId="29" applyNumberFormat="1" applyFont="1" applyFill="1" applyBorder="1"/>
    <xf numFmtId="0" fontId="52" fillId="0" borderId="43" xfId="29" applyNumberFormat="1" applyFont="1" applyFill="1" applyBorder="1"/>
    <xf numFmtId="0" fontId="48" fillId="0" borderId="68" xfId="29" applyNumberFormat="1" applyFont="1" applyFill="1" applyBorder="1"/>
    <xf numFmtId="0" fontId="52" fillId="0" borderId="9" xfId="16" applyNumberFormat="1" applyFont="1" applyFill="1" applyBorder="1" applyAlignment="1">
      <alignment horizontal="left"/>
    </xf>
    <xf numFmtId="0" fontId="52" fillId="0" borderId="2" xfId="16" applyNumberFormat="1" applyFont="1" applyFill="1" applyBorder="1" applyAlignment="1">
      <alignment horizontal="left"/>
    </xf>
    <xf numFmtId="0" fontId="45" fillId="0" borderId="10" xfId="29" applyNumberFormat="1" applyFont="1" applyFill="1" applyBorder="1"/>
    <xf numFmtId="0" fontId="57" fillId="0" borderId="7" xfId="29" applyNumberFormat="1" applyFont="1" applyFill="1" applyBorder="1"/>
    <xf numFmtId="0" fontId="57" fillId="0" borderId="0" xfId="29" applyNumberFormat="1" applyFont="1" applyFill="1" applyBorder="1"/>
    <xf numFmtId="0" fontId="57" fillId="0" borderId="8" xfId="29" applyNumberFormat="1" applyFont="1" applyFill="1" applyBorder="1"/>
    <xf numFmtId="0" fontId="36" fillId="0" borderId="10" xfId="29" applyNumberFormat="1" applyFont="1" applyFill="1" applyBorder="1"/>
    <xf numFmtId="0" fontId="47" fillId="5" borderId="1" xfId="29" applyNumberFormat="1" applyFont="1" applyFill="1" applyBorder="1" applyAlignment="1">
      <alignment vertical="center"/>
    </xf>
    <xf numFmtId="0" fontId="47" fillId="5" borderId="60" xfId="29" applyNumberFormat="1" applyFont="1" applyFill="1" applyBorder="1" applyAlignment="1">
      <alignment vertical="center"/>
    </xf>
    <xf numFmtId="0" fontId="47" fillId="5" borderId="13" xfId="29" applyNumberFormat="1" applyFont="1" applyFill="1" applyBorder="1" applyAlignment="1">
      <alignment vertical="center"/>
    </xf>
    <xf numFmtId="0" fontId="121" fillId="0" borderId="0" xfId="29" applyNumberFormat="1" applyFont="1" applyFill="1"/>
    <xf numFmtId="0" fontId="47" fillId="0" borderId="0" xfId="29" applyNumberFormat="1" applyFont="1" applyFill="1" applyBorder="1" applyAlignment="1">
      <alignment vertical="center"/>
    </xf>
    <xf numFmtId="0" fontId="125" fillId="0" borderId="0" xfId="8" applyNumberFormat="1" applyFont="1" applyBorder="1"/>
    <xf numFmtId="0" fontId="63" fillId="0" borderId="0" xfId="8" applyNumberFormat="1" applyFont="1" applyBorder="1" applyAlignment="1">
      <alignment horizontal="right"/>
    </xf>
    <xf numFmtId="0" fontId="129" fillId="0" borderId="0" xfId="8" applyNumberFormat="1" applyFont="1" applyBorder="1" applyAlignment="1">
      <alignment horizontal="right"/>
    </xf>
    <xf numFmtId="0" fontId="41" fillId="0" borderId="0" xfId="29" applyNumberFormat="1" applyFont="1" applyBorder="1"/>
    <xf numFmtId="0" fontId="63" fillId="0" borderId="0" xfId="8" applyNumberFormat="1" applyFont="1" applyBorder="1" applyAlignment="1">
      <alignment horizontal="center"/>
    </xf>
    <xf numFmtId="0" fontId="130" fillId="0" borderId="0" xfId="8" applyNumberFormat="1" applyFont="1" applyFill="1" applyBorder="1" applyAlignment="1">
      <alignment horizontal="right"/>
    </xf>
    <xf numFmtId="0" fontId="130" fillId="0" borderId="0" xfId="8" applyNumberFormat="1" applyFont="1" applyFill="1" applyBorder="1" applyAlignment="1">
      <alignment horizontal="left"/>
    </xf>
    <xf numFmtId="0" fontId="36" fillId="0" borderId="61" xfId="29" applyNumberFormat="1" applyFont="1" applyFill="1" applyBorder="1"/>
    <xf numFmtId="0" fontId="36" fillId="0" borderId="62" xfId="29" applyNumberFormat="1" applyFont="1" applyFill="1" applyBorder="1"/>
    <xf numFmtId="0" fontId="37" fillId="0" borderId="52" xfId="29" applyNumberFormat="1" applyFont="1" applyFill="1" applyBorder="1"/>
    <xf numFmtId="0" fontId="37" fillId="0" borderId="54" xfId="29" applyNumberFormat="1" applyFont="1" applyFill="1" applyBorder="1"/>
    <xf numFmtId="0" fontId="37" fillId="0" borderId="42" xfId="29" applyNumberFormat="1" applyFont="1" applyFill="1" applyBorder="1"/>
    <xf numFmtId="0" fontId="32" fillId="0" borderId="13" xfId="29" applyNumberFormat="1" applyFont="1" applyFill="1" applyBorder="1"/>
    <xf numFmtId="0" fontId="36" fillId="0" borderId="13" xfId="29" applyNumberFormat="1" applyFont="1" applyFill="1" applyBorder="1"/>
    <xf numFmtId="0" fontId="36" fillId="14" borderId="34" xfId="29" applyNumberFormat="1" applyFont="1" applyFill="1" applyBorder="1" applyAlignment="1">
      <alignment vertical="center"/>
    </xf>
    <xf numFmtId="0" fontId="32" fillId="14" borderId="11" xfId="29" applyNumberFormat="1" applyFont="1" applyFill="1" applyBorder="1" applyAlignment="1">
      <alignment vertical="center"/>
    </xf>
    <xf numFmtId="0" fontId="36" fillId="14" borderId="11" xfId="29" applyNumberFormat="1" applyFont="1" applyFill="1" applyBorder="1" applyAlignment="1">
      <alignment vertical="center"/>
    </xf>
    <xf numFmtId="0" fontId="36" fillId="17" borderId="52" xfId="29" applyNumberFormat="1" applyFont="1" applyFill="1" applyBorder="1"/>
    <xf numFmtId="0" fontId="36" fillId="17" borderId="41" xfId="29" applyNumberFormat="1" applyFont="1" applyFill="1" applyBorder="1"/>
    <xf numFmtId="0" fontId="36" fillId="0" borderId="70" xfId="29" applyNumberFormat="1" applyFont="1" applyFill="1" applyBorder="1"/>
    <xf numFmtId="0" fontId="32" fillId="14" borderId="34" xfId="29" applyNumberFormat="1" applyFont="1" applyFill="1" applyBorder="1" applyAlignment="1">
      <alignment vertical="center"/>
    </xf>
    <xf numFmtId="0" fontId="68" fillId="14" borderId="5" xfId="29" applyNumberFormat="1" applyFont="1" applyFill="1" applyBorder="1" applyAlignment="1"/>
    <xf numFmtId="0" fontId="68" fillId="14" borderId="1" xfId="29" applyNumberFormat="1" applyFont="1" applyFill="1" applyBorder="1" applyAlignment="1"/>
    <xf numFmtId="0" fontId="36" fillId="14" borderId="60" xfId="29" applyNumberFormat="1" applyFont="1" applyFill="1" applyBorder="1"/>
    <xf numFmtId="0" fontId="68" fillId="14" borderId="13" xfId="29" applyNumberFormat="1" applyFont="1" applyFill="1" applyBorder="1" applyAlignment="1">
      <alignment vertical="center"/>
    </xf>
    <xf numFmtId="0" fontId="50" fillId="14" borderId="34" xfId="29" applyNumberFormat="1" applyFont="1" applyFill="1" applyBorder="1" applyAlignment="1">
      <alignment vertical="center"/>
    </xf>
    <xf numFmtId="0" fontId="9" fillId="14" borderId="11" xfId="29" applyNumberFormat="1" applyFont="1" applyFill="1" applyBorder="1"/>
    <xf numFmtId="0" fontId="51" fillId="14" borderId="11" xfId="29" applyNumberFormat="1" applyFont="1" applyFill="1" applyBorder="1"/>
    <xf numFmtId="0" fontId="52" fillId="0" borderId="61" xfId="29" applyNumberFormat="1" applyFont="1" applyFill="1" applyBorder="1"/>
    <xf numFmtId="0" fontId="52" fillId="0" borderId="62" xfId="29" applyNumberFormat="1" applyFont="1" applyFill="1" applyBorder="1"/>
    <xf numFmtId="0" fontId="48" fillId="0" borderId="62" xfId="29" applyNumberFormat="1" applyFont="1" applyFill="1" applyBorder="1"/>
    <xf numFmtId="0" fontId="48" fillId="0" borderId="53" xfId="29" applyNumberFormat="1" applyFont="1" applyFill="1" applyBorder="1"/>
    <xf numFmtId="0" fontId="48" fillId="0" borderId="43" xfId="29" applyNumberFormat="1" applyFont="1" applyFill="1" applyBorder="1"/>
    <xf numFmtId="0" fontId="48" fillId="0" borderId="9" xfId="29" applyNumberFormat="1" applyFont="1" applyFill="1" applyBorder="1"/>
    <xf numFmtId="0" fontId="48" fillId="0" borderId="2" xfId="29" applyNumberFormat="1" applyFont="1" applyFill="1" applyBorder="1"/>
    <xf numFmtId="0" fontId="45" fillId="0" borderId="2" xfId="29" applyNumberFormat="1" applyFont="1" applyFill="1" applyBorder="1"/>
    <xf numFmtId="0" fontId="48" fillId="0" borderId="0" xfId="29" applyNumberFormat="1" applyFont="1" applyFill="1" applyBorder="1"/>
    <xf numFmtId="0" fontId="9" fillId="14" borderId="1" xfId="29" applyNumberFormat="1" applyFont="1" applyFill="1" applyBorder="1" applyAlignment="1"/>
    <xf numFmtId="0" fontId="64" fillId="0" borderId="0" xfId="29" applyNumberFormat="1" applyFont="1" applyFill="1"/>
    <xf numFmtId="0" fontId="62" fillId="0" borderId="0" xfId="29" applyNumberFormat="1" applyFont="1" applyFill="1"/>
    <xf numFmtId="0" fontId="71" fillId="0" borderId="0" xfId="29" applyNumberFormat="1" applyFont="1" applyFill="1"/>
    <xf numFmtId="0" fontId="72" fillId="0" borderId="0" xfId="29" applyNumberFormat="1" applyFont="1" applyFill="1"/>
    <xf numFmtId="0" fontId="36" fillId="0" borderId="0" xfId="29" applyNumberFormat="1" applyFont="1" applyFill="1" applyAlignment="1">
      <alignment horizontal="right"/>
    </xf>
    <xf numFmtId="0" fontId="36" fillId="0" borderId="0" xfId="29" applyNumberFormat="1" applyFont="1" applyFill="1" applyAlignment="1"/>
    <xf numFmtId="0" fontId="67" fillId="0" borderId="0" xfId="29" applyNumberFormat="1" applyFont="1" applyFill="1" applyAlignment="1"/>
    <xf numFmtId="0" fontId="76" fillId="0" borderId="0" xfId="29" applyNumberFormat="1" applyFont="1" applyFill="1" applyAlignment="1"/>
    <xf numFmtId="0" fontId="36" fillId="0" borderId="0" xfId="29" applyNumberFormat="1" applyFont="1" applyFill="1" applyAlignment="1">
      <alignment vertical="top"/>
    </xf>
    <xf numFmtId="0" fontId="76" fillId="0" borderId="0" xfId="29" applyNumberFormat="1" applyFont="1" applyFill="1" applyAlignment="1">
      <alignment vertical="top"/>
    </xf>
    <xf numFmtId="0" fontId="32" fillId="0" borderId="0" xfId="29" applyNumberFormat="1" applyFont="1" applyFill="1" applyAlignment="1"/>
    <xf numFmtId="0" fontId="32" fillId="0" borderId="0" xfId="16" applyNumberFormat="1" applyFont="1" applyFill="1" applyAlignment="1">
      <alignment horizontal="center"/>
    </xf>
    <xf numFmtId="0" fontId="32" fillId="0" borderId="0" xfId="16" applyNumberFormat="1" applyFont="1" applyFill="1" applyBorder="1" applyAlignment="1">
      <alignment horizontal="center"/>
    </xf>
    <xf numFmtId="0" fontId="36" fillId="0" borderId="0" xfId="8" applyNumberFormat="1" applyFont="1" applyFill="1" applyAlignment="1">
      <alignment horizontal="center"/>
    </xf>
    <xf numFmtId="0" fontId="34" fillId="0" borderId="0" xfId="29" applyNumberFormat="1" applyFont="1" applyFill="1"/>
    <xf numFmtId="0" fontId="34" fillId="0" borderId="0" xfId="29" applyNumberFormat="1" applyFont="1" applyFill="1" applyAlignment="1">
      <alignment horizontal="right"/>
    </xf>
    <xf numFmtId="167" fontId="0" fillId="0" borderId="0" xfId="0" applyBorder="1"/>
    <xf numFmtId="167" fontId="3" fillId="0" borderId="0" xfId="0" applyFont="1" applyBorder="1" applyAlignment="1">
      <alignment horizontal="right"/>
    </xf>
    <xf numFmtId="167" fontId="0" fillId="0" borderId="0" xfId="0" applyBorder="1" applyAlignment="1">
      <alignment horizontal="right"/>
    </xf>
    <xf numFmtId="168" fontId="0" fillId="0" borderId="0" xfId="1" applyNumberFormat="1" applyFont="1" applyBorder="1"/>
    <xf numFmtId="168" fontId="2" fillId="0" borderId="0" xfId="1" applyNumberFormat="1" applyFont="1" applyBorder="1"/>
    <xf numFmtId="168" fontId="36" fillId="13" borderId="55" xfId="1" applyNumberFormat="1" applyFont="1" applyFill="1" applyBorder="1"/>
    <xf numFmtId="168" fontId="36" fillId="0" borderId="99" xfId="1" applyNumberFormat="1" applyFont="1" applyFill="1" applyBorder="1"/>
    <xf numFmtId="168" fontId="36" fillId="13" borderId="64" xfId="1" applyNumberFormat="1" applyFont="1" applyFill="1" applyBorder="1"/>
    <xf numFmtId="0" fontId="32" fillId="0" borderId="95" xfId="29" applyNumberFormat="1" applyFont="1" applyFill="1" applyBorder="1"/>
    <xf numFmtId="0" fontId="32" fillId="0" borderId="94" xfId="29" applyNumberFormat="1" applyFont="1" applyFill="1" applyBorder="1"/>
    <xf numFmtId="0" fontId="36" fillId="0" borderId="94" xfId="29" applyNumberFormat="1" applyFont="1" applyFill="1" applyBorder="1"/>
    <xf numFmtId="168" fontId="36" fillId="0" borderId="94" xfId="8" applyNumberFormat="1" applyFont="1" applyFill="1" applyBorder="1"/>
    <xf numFmtId="0" fontId="36" fillId="0" borderId="65" xfId="29" applyNumberFormat="1" applyFont="1" applyFill="1" applyBorder="1"/>
    <xf numFmtId="0" fontId="36" fillId="0" borderId="95" xfId="29" applyNumberFormat="1" applyFont="1" applyFill="1" applyBorder="1"/>
    <xf numFmtId="0" fontId="36" fillId="17" borderId="95" xfId="29" applyNumberFormat="1" applyFont="1" applyFill="1" applyBorder="1"/>
    <xf numFmtId="0" fontId="32" fillId="17" borderId="94" xfId="29" applyNumberFormat="1" applyFont="1" applyFill="1" applyBorder="1"/>
    <xf numFmtId="0" fontId="36" fillId="17" borderId="94" xfId="29" applyNumberFormat="1" applyFont="1" applyFill="1" applyBorder="1"/>
    <xf numFmtId="0" fontId="36" fillId="12" borderId="7" xfId="29" applyNumberFormat="1" applyFont="1" applyFill="1" applyBorder="1" applyAlignment="1">
      <alignment vertical="center"/>
    </xf>
    <xf numFmtId="0" fontId="32" fillId="12" borderId="0" xfId="29" applyNumberFormat="1" applyFont="1" applyFill="1" applyBorder="1" applyAlignment="1">
      <alignment vertical="center"/>
    </xf>
    <xf numFmtId="0" fontId="36" fillId="12" borderId="0" xfId="29" applyNumberFormat="1" applyFont="1" applyFill="1" applyBorder="1" applyAlignment="1">
      <alignment vertical="center"/>
    </xf>
    <xf numFmtId="172" fontId="32" fillId="12" borderId="0" xfId="16" applyNumberFormat="1" applyFont="1" applyFill="1" applyBorder="1" applyAlignment="1">
      <alignment vertical="center"/>
    </xf>
    <xf numFmtId="172" fontId="32" fillId="12" borderId="37" xfId="16" applyNumberFormat="1" applyFont="1" applyFill="1" applyBorder="1" applyAlignment="1">
      <alignment vertical="center"/>
    </xf>
    <xf numFmtId="172" fontId="32" fillId="12" borderId="8" xfId="16" applyNumberFormat="1" applyFont="1" applyFill="1" applyBorder="1" applyAlignment="1">
      <alignment vertical="center"/>
    </xf>
    <xf numFmtId="0" fontId="32" fillId="0" borderId="96" xfId="29" applyNumberFormat="1" applyFont="1" applyFill="1" applyBorder="1" applyAlignment="1">
      <alignment vertical="center"/>
    </xf>
    <xf numFmtId="0" fontId="52" fillId="0" borderId="40" xfId="29" applyNumberFormat="1" applyFont="1" applyFill="1" applyBorder="1" applyAlignment="1">
      <alignment vertical="center"/>
    </xf>
    <xf numFmtId="0" fontId="52" fillId="0" borderId="41" xfId="29" applyNumberFormat="1" applyFont="1" applyFill="1" applyBorder="1" applyAlignment="1">
      <alignment vertical="center"/>
    </xf>
    <xf numFmtId="43" fontId="36" fillId="0" borderId="0" xfId="1" applyFont="1" applyFill="1"/>
    <xf numFmtId="167" fontId="118" fillId="17" borderId="94" xfId="29" applyFont="1" applyFill="1" applyBorder="1"/>
    <xf numFmtId="168" fontId="117" fillId="17" borderId="94" xfId="8" applyNumberFormat="1" applyFont="1" applyFill="1" applyBorder="1"/>
    <xf numFmtId="3" fontId="118" fillId="17" borderId="47" xfId="8" applyNumberFormat="1" applyFont="1" applyFill="1" applyBorder="1" applyAlignment="1">
      <alignment horizontal="right"/>
    </xf>
    <xf numFmtId="0" fontId="0" fillId="0" borderId="0" xfId="0" applyNumberFormat="1"/>
    <xf numFmtId="0" fontId="0" fillId="0" borderId="0" xfId="0" applyNumberFormat="1" applyAlignment="1">
      <alignment horizontal="center"/>
    </xf>
    <xf numFmtId="0" fontId="0" fillId="0" borderId="0" xfId="0" applyNumberFormat="1" applyAlignment="1">
      <alignment horizontal="right"/>
    </xf>
    <xf numFmtId="10" fontId="0" fillId="0" borderId="0" xfId="2" applyNumberFormat="1" applyFont="1" applyAlignment="1">
      <alignment horizontal="center"/>
    </xf>
    <xf numFmtId="176" fontId="0" fillId="0" borderId="0" xfId="2" applyNumberFormat="1" applyFont="1"/>
    <xf numFmtId="170" fontId="0" fillId="0" borderId="0" xfId="0" applyNumberFormat="1"/>
    <xf numFmtId="170" fontId="0" fillId="0" borderId="0" xfId="0" applyNumberFormat="1" applyAlignment="1">
      <alignment horizontal="right"/>
    </xf>
    <xf numFmtId="170" fontId="11" fillId="0" borderId="0" xfId="44" applyNumberFormat="1" applyFont="1"/>
    <xf numFmtId="170" fontId="1" fillId="0" borderId="0" xfId="44" applyNumberFormat="1" applyFont="1"/>
    <xf numFmtId="43" fontId="24" fillId="0" borderId="0" xfId="1" quotePrefix="1" applyFont="1"/>
    <xf numFmtId="10" fontId="11" fillId="0" borderId="0" xfId="2" applyNumberFormat="1" applyFont="1" applyAlignment="1">
      <alignment horizontal="center"/>
    </xf>
    <xf numFmtId="170" fontId="0" fillId="0" borderId="0" xfId="44" applyNumberFormat="1" applyFont="1"/>
    <xf numFmtId="10" fontId="11" fillId="0" borderId="0" xfId="2" applyNumberFormat="1" applyFont="1"/>
    <xf numFmtId="17" fontId="24" fillId="0" borderId="0" xfId="2" applyNumberFormat="1" applyFont="1" applyAlignment="1">
      <alignment horizontal="center"/>
    </xf>
    <xf numFmtId="17" fontId="24" fillId="0" borderId="0" xfId="2" applyNumberFormat="1" applyFont="1"/>
    <xf numFmtId="167" fontId="32" fillId="12" borderId="1" xfId="29" applyFont="1" applyFill="1" applyBorder="1" applyAlignment="1">
      <alignment horizontal="center" vertical="center" wrapText="1"/>
    </xf>
    <xf numFmtId="167" fontId="32" fillId="5" borderId="1" xfId="29" applyFont="1" applyFill="1" applyBorder="1" applyAlignment="1">
      <alignment horizontal="center" vertical="center" wrapText="1"/>
    </xf>
    <xf numFmtId="0" fontId="34" fillId="0" borderId="7" xfId="29" applyNumberFormat="1" applyFont="1" applyFill="1" applyBorder="1" applyAlignment="1">
      <alignment horizontal="center"/>
    </xf>
    <xf numFmtId="0" fontId="35" fillId="0" borderId="0" xfId="29" applyNumberFormat="1" applyFont="1" applyFill="1" applyBorder="1" applyAlignment="1">
      <alignment horizontal="center"/>
    </xf>
    <xf numFmtId="0" fontId="34" fillId="0" borderId="0" xfId="29" applyNumberFormat="1" applyFont="1" applyFill="1" applyBorder="1" applyAlignment="1">
      <alignment horizontal="center"/>
    </xf>
    <xf numFmtId="167" fontId="35" fillId="0" borderId="37" xfId="29" applyFont="1" applyFill="1" applyBorder="1" applyAlignment="1">
      <alignment horizontal="center"/>
    </xf>
    <xf numFmtId="167" fontId="35" fillId="0" borderId="46" xfId="29" applyFont="1" applyFill="1" applyBorder="1" applyAlignment="1">
      <alignment horizontal="center"/>
    </xf>
    <xf numFmtId="0" fontId="35" fillId="0" borderId="7" xfId="29" applyNumberFormat="1" applyFont="1" applyFill="1" applyBorder="1"/>
    <xf numFmtId="0" fontId="35" fillId="0" borderId="0" xfId="29" applyNumberFormat="1" applyFont="1" applyFill="1" applyBorder="1"/>
    <xf numFmtId="0" fontId="34" fillId="0" borderId="0" xfId="29" applyNumberFormat="1" applyFont="1" applyFill="1" applyBorder="1"/>
    <xf numFmtId="167" fontId="35" fillId="11" borderId="7" xfId="29" applyFont="1" applyFill="1" applyBorder="1"/>
    <xf numFmtId="167" fontId="35" fillId="0" borderId="37" xfId="29" applyFont="1" applyFill="1" applyBorder="1"/>
    <xf numFmtId="167" fontId="35" fillId="11" borderId="8" xfId="29" applyFont="1" applyFill="1" applyBorder="1"/>
    <xf numFmtId="167" fontId="35" fillId="0" borderId="46" xfId="29" applyFont="1" applyFill="1" applyBorder="1"/>
    <xf numFmtId="167" fontId="32" fillId="12" borderId="2" xfId="29" applyFont="1" applyFill="1" applyBorder="1" applyAlignment="1">
      <alignment horizontal="center" vertical="center" wrapText="1"/>
    </xf>
    <xf numFmtId="167" fontId="32" fillId="5" borderId="2" xfId="29" applyFont="1" applyFill="1" applyBorder="1" applyAlignment="1">
      <alignment horizontal="center" vertical="center" wrapText="1"/>
    </xf>
    <xf numFmtId="167" fontId="121" fillId="5" borderId="57" xfId="29" applyFont="1" applyFill="1" applyBorder="1" applyAlignment="1">
      <alignment horizontal="center" vertical="center" wrapText="1"/>
    </xf>
    <xf numFmtId="167" fontId="32" fillId="14" borderId="5" xfId="29" applyFont="1" applyFill="1" applyBorder="1" applyAlignment="1">
      <alignment horizontal="center" wrapText="1"/>
    </xf>
    <xf numFmtId="167" fontId="32" fillId="5" borderId="5" xfId="29" applyFont="1" applyFill="1" applyBorder="1" applyAlignment="1">
      <alignment horizontal="center" wrapText="1"/>
    </xf>
    <xf numFmtId="167" fontId="32" fillId="5" borderId="113" xfId="29" applyFont="1" applyFill="1" applyBorder="1" applyAlignment="1">
      <alignment horizontal="center" wrapText="1"/>
    </xf>
    <xf numFmtId="167" fontId="32" fillId="5" borderId="6" xfId="29" applyFont="1" applyFill="1" applyBorder="1" applyAlignment="1">
      <alignment horizontal="center" wrapText="1"/>
    </xf>
    <xf numFmtId="167" fontId="32" fillId="5" borderId="58" xfId="29" applyFont="1" applyFill="1" applyBorder="1" applyAlignment="1">
      <alignment horizontal="center" wrapText="1"/>
    </xf>
    <xf numFmtId="167" fontId="32" fillId="14" borderId="1" xfId="29" applyFont="1" applyFill="1" applyBorder="1" applyAlignment="1">
      <alignment horizontal="center" vertical="center" wrapText="1"/>
    </xf>
    <xf numFmtId="167" fontId="32" fillId="14" borderId="113" xfId="29" applyFont="1" applyFill="1" applyBorder="1" applyAlignment="1">
      <alignment horizontal="center" wrapText="1"/>
    </xf>
    <xf numFmtId="167" fontId="32" fillId="14" borderId="6" xfId="29" applyFont="1" applyFill="1" applyBorder="1" applyAlignment="1">
      <alignment horizontal="center" wrapText="1"/>
    </xf>
    <xf numFmtId="167" fontId="32" fillId="14" borderId="58" xfId="29" applyFont="1" applyFill="1" applyBorder="1" applyAlignment="1">
      <alignment horizontal="center" wrapText="1"/>
    </xf>
    <xf numFmtId="167" fontId="32" fillId="14" borderId="2" xfId="29" applyFont="1" applyFill="1" applyBorder="1" applyAlignment="1">
      <alignment horizontal="center" vertical="center" wrapText="1"/>
    </xf>
    <xf numFmtId="167" fontId="121" fillId="14" borderId="57" xfId="29" applyFont="1" applyFill="1" applyBorder="1" applyAlignment="1">
      <alignment horizontal="center" vertical="center" wrapText="1"/>
    </xf>
    <xf numFmtId="172" fontId="84" fillId="0" borderId="2" xfId="32" applyNumberFormat="1" applyFont="1" applyBorder="1" applyAlignment="1">
      <alignment horizontal="center"/>
    </xf>
    <xf numFmtId="172" fontId="88" fillId="10" borderId="0" xfId="32" applyNumberFormat="1" applyFont="1" applyFill="1" applyBorder="1"/>
    <xf numFmtId="172" fontId="83" fillId="0" borderId="0" xfId="32" applyNumberFormat="1" applyFont="1" applyBorder="1"/>
    <xf numFmtId="172" fontId="84" fillId="0" borderId="114" xfId="32" applyNumberFormat="1" applyFont="1" applyBorder="1" applyAlignment="1">
      <alignment horizontal="center"/>
    </xf>
    <xf numFmtId="172" fontId="83" fillId="2" borderId="115" xfId="32" applyNumberFormat="1" applyFont="1" applyFill="1" applyBorder="1"/>
    <xf numFmtId="172" fontId="83" fillId="10" borderId="115" xfId="32" applyNumberFormat="1" applyFont="1" applyFill="1" applyBorder="1"/>
    <xf numFmtId="172" fontId="83" fillId="0" borderId="115" xfId="32" applyNumberFormat="1" applyFont="1" applyFill="1" applyBorder="1"/>
    <xf numFmtId="172" fontId="83" fillId="0" borderId="116" xfId="32" applyNumberFormat="1" applyFont="1" applyBorder="1"/>
    <xf numFmtId="172" fontId="83" fillId="4" borderId="116" xfId="32" applyNumberFormat="1" applyFont="1" applyFill="1" applyBorder="1"/>
    <xf numFmtId="172" fontId="83" fillId="10" borderId="116" xfId="32" applyNumberFormat="1" applyFont="1" applyFill="1" applyBorder="1"/>
    <xf numFmtId="172" fontId="83" fillId="10" borderId="117" xfId="32" applyNumberFormat="1" applyFont="1" applyFill="1" applyBorder="1"/>
    <xf numFmtId="172" fontId="84" fillId="0" borderId="116" xfId="32" applyNumberFormat="1" applyFont="1" applyBorder="1"/>
    <xf numFmtId="168" fontId="83" fillId="0" borderId="116" xfId="33" applyNumberFormat="1" applyFont="1" applyBorder="1"/>
    <xf numFmtId="168" fontId="83" fillId="0" borderId="116" xfId="33" applyNumberFormat="1" applyFont="1" applyBorder="1" applyAlignment="1">
      <alignment vertical="top"/>
    </xf>
    <xf numFmtId="172" fontId="84" fillId="0" borderId="118" xfId="32" applyNumberFormat="1" applyFont="1" applyBorder="1"/>
    <xf numFmtId="43" fontId="144" fillId="0" borderId="0" xfId="1" applyFont="1"/>
    <xf numFmtId="43" fontId="144" fillId="17" borderId="0" xfId="1" applyFont="1" applyFill="1"/>
    <xf numFmtId="43" fontId="144" fillId="0" borderId="0" xfId="1" applyFont="1" applyFill="1"/>
    <xf numFmtId="43" fontId="145" fillId="0" borderId="0" xfId="1" applyFont="1" applyFill="1"/>
    <xf numFmtId="43" fontId="146" fillId="0" borderId="0" xfId="1" applyFont="1" applyFill="1"/>
    <xf numFmtId="43" fontId="144" fillId="0" borderId="0" xfId="1" applyFont="1" applyFill="1" applyAlignment="1"/>
    <xf numFmtId="43" fontId="144" fillId="0" borderId="0" xfId="1" applyFont="1" applyFill="1" applyAlignment="1">
      <alignment vertical="top"/>
    </xf>
    <xf numFmtId="43" fontId="145" fillId="0" borderId="0" xfId="1" applyFont="1" applyFill="1" applyAlignment="1">
      <alignment horizontal="left"/>
    </xf>
    <xf numFmtId="43" fontId="145" fillId="0" borderId="0" xfId="1" applyFont="1" applyFill="1" applyBorder="1" applyAlignment="1">
      <alignment horizontal="left"/>
    </xf>
    <xf numFmtId="43" fontId="144" fillId="0" borderId="0" xfId="1" applyFont="1" applyFill="1" applyBorder="1" applyAlignment="1">
      <alignment vertical="center"/>
    </xf>
    <xf numFmtId="43" fontId="145" fillId="0" borderId="0" xfId="1" applyFont="1" applyFill="1" applyAlignment="1">
      <alignment vertical="top"/>
    </xf>
    <xf numFmtId="170" fontId="0" fillId="0" borderId="0" xfId="2" applyNumberFormat="1" applyFont="1"/>
    <xf numFmtId="43" fontId="132" fillId="0" borderId="0" xfId="1" applyFont="1"/>
    <xf numFmtId="167" fontId="32" fillId="5" borderId="9" xfId="29" applyFont="1" applyFill="1" applyBorder="1" applyAlignment="1">
      <alignment horizontal="center" vertical="center" wrapText="1"/>
    </xf>
    <xf numFmtId="43" fontId="136" fillId="0" borderId="0" xfId="1" applyFont="1" applyFill="1"/>
    <xf numFmtId="43" fontId="22" fillId="6" borderId="0" xfId="1" applyFont="1" applyFill="1"/>
    <xf numFmtId="0" fontId="22" fillId="6" borderId="0" xfId="1" applyNumberFormat="1" applyFont="1" applyFill="1" applyBorder="1"/>
    <xf numFmtId="0" fontId="156" fillId="6" borderId="0" xfId="1" applyNumberFormat="1" applyFont="1" applyFill="1" applyAlignment="1">
      <alignment horizontal="left"/>
    </xf>
    <xf numFmtId="0" fontId="157" fillId="0" borderId="0" xfId="0" applyNumberFormat="1" applyFont="1"/>
    <xf numFmtId="0" fontId="158" fillId="16" borderId="5" xfId="42" applyFont="1" applyFill="1" applyBorder="1"/>
    <xf numFmtId="0" fontId="159" fillId="16" borderId="1" xfId="42" applyFont="1" applyFill="1" applyBorder="1"/>
    <xf numFmtId="172" fontId="158" fillId="16" borderId="75" xfId="44" applyNumberFormat="1" applyFont="1" applyFill="1" applyBorder="1" applyAlignment="1">
      <alignment horizontal="center"/>
    </xf>
    <xf numFmtId="172" fontId="158" fillId="16" borderId="84" xfId="44" applyNumberFormat="1" applyFont="1" applyFill="1" applyBorder="1" applyAlignment="1">
      <alignment horizontal="center"/>
    </xf>
    <xf numFmtId="172" fontId="158" fillId="16" borderId="24" xfId="44" applyNumberFormat="1" applyFont="1" applyFill="1" applyBorder="1" applyAlignment="1">
      <alignment horizontal="center"/>
    </xf>
    <xf numFmtId="172" fontId="158" fillId="16" borderId="58" xfId="44" applyNumberFormat="1" applyFont="1" applyFill="1" applyBorder="1" applyAlignment="1">
      <alignment horizontal="center"/>
    </xf>
    <xf numFmtId="172" fontId="159" fillId="0" borderId="0" xfId="44" applyNumberFormat="1" applyFont="1" applyFill="1"/>
    <xf numFmtId="0" fontId="159" fillId="0" borderId="0" xfId="42" applyFont="1" applyFill="1"/>
    <xf numFmtId="0" fontId="160" fillId="16" borderId="9" xfId="42" applyFont="1" applyFill="1" applyBorder="1" applyAlignment="1">
      <alignment wrapText="1"/>
    </xf>
    <xf numFmtId="0" fontId="158" fillId="16" borderId="2" xfId="42" applyFont="1" applyFill="1" applyBorder="1" applyAlignment="1">
      <alignment wrapText="1"/>
    </xf>
    <xf numFmtId="172" fontId="158" fillId="16" borderId="76" xfId="44" applyNumberFormat="1" applyFont="1" applyFill="1" applyBorder="1" applyAlignment="1">
      <alignment horizontal="center" wrapText="1"/>
    </xf>
    <xf numFmtId="172" fontId="158" fillId="16" borderId="85" xfId="44" applyNumberFormat="1" applyFont="1" applyFill="1" applyBorder="1" applyAlignment="1">
      <alignment horizontal="center" wrapText="1"/>
    </xf>
    <xf numFmtId="172" fontId="158" fillId="16" borderId="25" xfId="44" applyNumberFormat="1" applyFont="1" applyFill="1" applyBorder="1" applyAlignment="1">
      <alignment horizontal="center" wrapText="1"/>
    </xf>
    <xf numFmtId="172" fontId="158" fillId="16" borderId="57" xfId="44" applyNumberFormat="1" applyFont="1" applyFill="1" applyBorder="1" applyAlignment="1">
      <alignment horizontal="center" wrapText="1"/>
    </xf>
    <xf numFmtId="0" fontId="159" fillId="0" borderId="0" xfId="42" applyFont="1" applyFill="1" applyAlignment="1">
      <alignment wrapText="1"/>
    </xf>
    <xf numFmtId="0" fontId="159" fillId="0" borderId="26" xfId="42" applyFont="1" applyFill="1" applyBorder="1"/>
    <xf numFmtId="0" fontId="159" fillId="0" borderId="27" xfId="42" applyFont="1" applyFill="1" applyBorder="1"/>
    <xf numFmtId="172" fontId="159" fillId="0" borderId="77" xfId="44" applyNumberFormat="1" applyFont="1" applyFill="1" applyBorder="1"/>
    <xf numFmtId="172" fontId="159" fillId="0" borderId="86" xfId="44" applyNumberFormat="1" applyFont="1" applyFill="1" applyBorder="1"/>
    <xf numFmtId="172" fontId="159" fillId="0" borderId="28" xfId="44" applyNumberFormat="1" applyFont="1" applyFill="1" applyBorder="1"/>
    <xf numFmtId="172" fontId="159" fillId="0" borderId="71" xfId="44" applyNumberFormat="1" applyFont="1" applyFill="1" applyBorder="1"/>
    <xf numFmtId="0" fontId="159" fillId="0" borderId="29" xfId="42" applyFont="1" applyFill="1" applyBorder="1"/>
    <xf numFmtId="0" fontId="159" fillId="0" borderId="30" xfId="42" applyFont="1" applyFill="1" applyBorder="1"/>
    <xf numFmtId="172" fontId="159" fillId="0" borderId="78" xfId="44" applyNumberFormat="1" applyFont="1" applyFill="1" applyBorder="1"/>
    <xf numFmtId="172" fontId="159" fillId="0" borderId="87" xfId="44" applyNumberFormat="1" applyFont="1" applyFill="1" applyBorder="1"/>
    <xf numFmtId="172" fontId="159" fillId="0" borderId="31" xfId="44" applyNumberFormat="1" applyFont="1" applyFill="1" applyBorder="1"/>
    <xf numFmtId="172" fontId="159" fillId="0" borderId="72" xfId="44" applyNumberFormat="1" applyFont="1" applyFill="1" applyBorder="1"/>
    <xf numFmtId="0" fontId="159" fillId="0" borderId="29" xfId="42" applyFont="1" applyFill="1" applyBorder="1" applyAlignment="1">
      <alignment horizontal="left"/>
    </xf>
    <xf numFmtId="0" fontId="158" fillId="0" borderId="7" xfId="42" applyFont="1" applyFill="1" applyBorder="1" applyAlignment="1">
      <alignment horizontal="left"/>
    </xf>
    <xf numFmtId="0" fontId="159" fillId="0" borderId="2" xfId="42" applyFont="1" applyFill="1" applyBorder="1"/>
    <xf numFmtId="172" fontId="159" fillId="0" borderId="79" xfId="44" applyNumberFormat="1" applyFont="1" applyFill="1" applyBorder="1"/>
    <xf numFmtId="172" fontId="159" fillId="0" borderId="88" xfId="44" applyNumberFormat="1" applyFont="1" applyFill="1" applyBorder="1"/>
    <xf numFmtId="172" fontId="159" fillId="0" borderId="33" xfId="44" applyNumberFormat="1" applyFont="1" applyFill="1" applyBorder="1"/>
    <xf numFmtId="172" fontId="159" fillId="0" borderId="73" xfId="44" applyNumberFormat="1" applyFont="1" applyFill="1" applyBorder="1"/>
    <xf numFmtId="0" fontId="158" fillId="0" borderId="34" xfId="42" applyFont="1" applyFill="1" applyBorder="1" applyAlignment="1">
      <alignment horizontal="left"/>
    </xf>
    <xf numFmtId="0" fontId="159" fillId="0" borderId="11" xfId="42" applyFont="1" applyFill="1" applyBorder="1"/>
    <xf numFmtId="172" fontId="159" fillId="0" borderId="2" xfId="44" applyNumberFormat="1" applyFont="1" applyFill="1" applyBorder="1"/>
    <xf numFmtId="172" fontId="159" fillId="0" borderId="74" xfId="44" applyNumberFormat="1" applyFont="1" applyFill="1" applyBorder="1"/>
    <xf numFmtId="172" fontId="159" fillId="0" borderId="35" xfId="44" applyNumberFormat="1" applyFont="1" applyFill="1" applyBorder="1"/>
    <xf numFmtId="172" fontId="159" fillId="0" borderId="45" xfId="44" applyNumberFormat="1" applyFont="1" applyFill="1" applyBorder="1"/>
    <xf numFmtId="0" fontId="160" fillId="16" borderId="9" xfId="42" applyFont="1" applyFill="1" applyBorder="1"/>
    <xf numFmtId="14" fontId="158" fillId="16" borderId="2" xfId="42" applyNumberFormat="1" applyFont="1" applyFill="1" applyBorder="1" applyAlignment="1">
      <alignment horizontal="right"/>
    </xf>
    <xf numFmtId="172" fontId="158" fillId="16" borderId="76" xfId="44" applyNumberFormat="1" applyFont="1" applyFill="1" applyBorder="1" applyAlignment="1">
      <alignment horizontal="center"/>
    </xf>
    <xf numFmtId="172" fontId="158" fillId="16" borderId="25" xfId="44" applyNumberFormat="1" applyFont="1" applyFill="1" applyBorder="1" applyAlignment="1">
      <alignment horizontal="center"/>
    </xf>
    <xf numFmtId="172" fontId="158" fillId="16" borderId="57" xfId="44" applyNumberFormat="1" applyFont="1" applyFill="1" applyBorder="1" applyAlignment="1">
      <alignment horizontal="center"/>
    </xf>
    <xf numFmtId="0" fontId="159" fillId="0" borderId="7" xfId="42" applyFont="1" applyFill="1" applyBorder="1"/>
    <xf numFmtId="0" fontId="159" fillId="0" borderId="0" xfId="42" applyFont="1" applyFill="1" applyBorder="1"/>
    <xf numFmtId="172" fontId="159" fillId="0" borderId="80" xfId="44" applyNumberFormat="1" applyFont="1" applyFill="1" applyBorder="1"/>
    <xf numFmtId="172" fontId="159" fillId="0" borderId="89" xfId="44" applyNumberFormat="1" applyFont="1" applyFill="1" applyBorder="1"/>
    <xf numFmtId="172" fontId="159" fillId="0" borderId="37" xfId="44" applyNumberFormat="1" applyFont="1" applyFill="1" applyBorder="1"/>
    <xf numFmtId="172" fontId="159" fillId="0" borderId="46" xfId="44" applyNumberFormat="1" applyFont="1" applyFill="1" applyBorder="1"/>
    <xf numFmtId="0" fontId="158" fillId="0" borderId="9" xfId="42" applyFont="1" applyFill="1" applyBorder="1" applyAlignment="1">
      <alignment horizontal="left"/>
    </xf>
    <xf numFmtId="0" fontId="159" fillId="0" borderId="34" xfId="42" applyFont="1" applyFill="1" applyBorder="1"/>
    <xf numFmtId="172" fontId="159" fillId="0" borderId="11" xfId="44" applyNumberFormat="1" applyFont="1" applyFill="1" applyBorder="1"/>
    <xf numFmtId="172" fontId="159" fillId="0" borderId="75" xfId="44" applyNumberFormat="1" applyFont="1" applyFill="1" applyBorder="1"/>
    <xf numFmtId="172" fontId="159" fillId="0" borderId="84" xfId="44" applyNumberFormat="1" applyFont="1" applyFill="1" applyBorder="1"/>
    <xf numFmtId="172" fontId="159" fillId="0" borderId="24" xfId="44" applyNumberFormat="1" applyFont="1" applyFill="1" applyBorder="1"/>
    <xf numFmtId="172" fontId="159" fillId="0" borderId="58" xfId="44" applyNumberFormat="1" applyFont="1" applyFill="1" applyBorder="1"/>
    <xf numFmtId="0" fontId="158" fillId="0" borderId="38" xfId="42" applyFont="1" applyFill="1" applyBorder="1" applyAlignment="1">
      <alignment horizontal="left"/>
    </xf>
    <xf numFmtId="0" fontId="159" fillId="0" borderId="32" xfId="42" applyFont="1" applyFill="1" applyBorder="1"/>
    <xf numFmtId="0" fontId="158" fillId="20" borderId="5" xfId="42" applyFont="1" applyFill="1" applyBorder="1"/>
    <xf numFmtId="0" fontId="159" fillId="20" borderId="1" xfId="42" applyFont="1" applyFill="1" applyBorder="1"/>
    <xf numFmtId="172" fontId="158" fillId="20" borderId="75" xfId="44" applyNumberFormat="1" applyFont="1" applyFill="1" applyBorder="1" applyAlignment="1">
      <alignment horizontal="center"/>
    </xf>
    <xf numFmtId="172" fontId="158" fillId="20" borderId="84" xfId="44" applyNumberFormat="1" applyFont="1" applyFill="1" applyBorder="1" applyAlignment="1">
      <alignment horizontal="center"/>
    </xf>
    <xf numFmtId="172" fontId="158" fillId="20" borderId="24" xfId="44" applyNumberFormat="1" applyFont="1" applyFill="1" applyBorder="1" applyAlignment="1">
      <alignment horizontal="center"/>
    </xf>
    <xf numFmtId="172" fontId="158" fillId="20" borderId="58" xfId="44" applyNumberFormat="1" applyFont="1" applyFill="1" applyBorder="1" applyAlignment="1">
      <alignment horizontal="center"/>
    </xf>
    <xf numFmtId="0" fontId="160" fillId="20" borderId="9" xfId="42" applyFont="1" applyFill="1" applyBorder="1"/>
    <xf numFmtId="14" fontId="158" fillId="20" borderId="2" xfId="42" applyNumberFormat="1" applyFont="1" applyFill="1" applyBorder="1" applyAlignment="1">
      <alignment horizontal="right"/>
    </xf>
    <xf numFmtId="172" fontId="158" fillId="20" borderId="76" xfId="44" applyNumberFormat="1" applyFont="1" applyFill="1" applyBorder="1" applyAlignment="1">
      <alignment horizontal="center"/>
    </xf>
    <xf numFmtId="172" fontId="158" fillId="20" borderId="85" xfId="44" applyNumberFormat="1" applyFont="1" applyFill="1" applyBorder="1" applyAlignment="1">
      <alignment horizontal="center" wrapText="1"/>
    </xf>
    <xf numFmtId="172" fontId="158" fillId="20" borderId="25" xfId="44" applyNumberFormat="1" applyFont="1" applyFill="1" applyBorder="1" applyAlignment="1">
      <alignment horizontal="center"/>
    </xf>
    <xf numFmtId="172" fontId="158" fillId="20" borderId="57" xfId="44" applyNumberFormat="1" applyFont="1" applyFill="1" applyBorder="1" applyAlignment="1">
      <alignment horizontal="center"/>
    </xf>
    <xf numFmtId="172" fontId="159" fillId="0" borderId="81" xfId="44" applyNumberFormat="1" applyFont="1" applyFill="1" applyBorder="1"/>
    <xf numFmtId="172" fontId="159" fillId="0" borderId="82" xfId="44" applyNumberFormat="1" applyFont="1" applyFill="1" applyBorder="1"/>
    <xf numFmtId="172" fontId="159" fillId="0" borderId="83" xfId="44" applyNumberFormat="1" applyFont="1" applyFill="1" applyBorder="1"/>
    <xf numFmtId="172" fontId="159" fillId="0" borderId="90" xfId="44" applyNumberFormat="1" applyFont="1" applyFill="1" applyBorder="1"/>
    <xf numFmtId="172" fontId="159" fillId="0" borderId="39" xfId="44" applyNumberFormat="1" applyFont="1" applyFill="1" applyBorder="1"/>
    <xf numFmtId="172" fontId="159" fillId="0" borderId="76" xfId="44" applyNumberFormat="1" applyFont="1" applyFill="1" applyBorder="1"/>
    <xf numFmtId="172" fontId="159" fillId="0" borderId="85" xfId="44" applyNumberFormat="1" applyFont="1" applyFill="1" applyBorder="1"/>
    <xf numFmtId="172" fontId="159" fillId="0" borderId="25" xfId="44" applyNumberFormat="1" applyFont="1" applyFill="1" applyBorder="1"/>
    <xf numFmtId="167" fontId="32" fillId="3" borderId="5" xfId="29" applyFont="1" applyFill="1" applyBorder="1" applyAlignment="1">
      <alignment horizontal="center" wrapText="1"/>
    </xf>
    <xf numFmtId="167" fontId="32" fillId="3" borderId="113" xfId="29" applyFont="1" applyFill="1" applyBorder="1" applyAlignment="1">
      <alignment horizontal="center" wrapText="1"/>
    </xf>
    <xf numFmtId="167" fontId="32" fillId="3" borderId="6" xfId="29" applyFont="1" applyFill="1" applyBorder="1" applyAlignment="1">
      <alignment horizontal="center" wrapText="1"/>
    </xf>
    <xf numFmtId="167" fontId="32" fillId="3" borderId="58" xfId="29" applyFont="1" applyFill="1" applyBorder="1" applyAlignment="1">
      <alignment horizontal="center" wrapText="1"/>
    </xf>
    <xf numFmtId="167" fontId="35" fillId="3" borderId="7" xfId="29" applyFont="1" applyFill="1" applyBorder="1" applyAlignment="1">
      <alignment horizontal="center"/>
    </xf>
    <xf numFmtId="167" fontId="36" fillId="3" borderId="9" xfId="29" applyFont="1" applyFill="1" applyBorder="1" applyAlignment="1">
      <alignment horizontal="center"/>
    </xf>
    <xf numFmtId="172" fontId="36" fillId="3" borderId="55" xfId="16" applyNumberFormat="1" applyFont="1" applyFill="1" applyBorder="1"/>
    <xf numFmtId="168" fontId="36" fillId="3" borderId="95" xfId="8" applyNumberFormat="1" applyFont="1" applyFill="1" applyBorder="1"/>
    <xf numFmtId="168" fontId="37" fillId="3" borderId="95" xfId="8" applyNumberFormat="1" applyFont="1" applyFill="1" applyBorder="1"/>
    <xf numFmtId="168" fontId="36" fillId="3" borderId="96" xfId="8" applyNumberFormat="1" applyFont="1" applyFill="1" applyBorder="1"/>
    <xf numFmtId="168" fontId="36" fillId="3" borderId="7" xfId="8" applyNumberFormat="1" applyFont="1" applyFill="1" applyBorder="1"/>
    <xf numFmtId="172" fontId="32" fillId="3" borderId="51" xfId="8" applyNumberFormat="1" applyFont="1" applyFill="1" applyBorder="1"/>
    <xf numFmtId="44" fontId="36" fillId="3" borderId="65" xfId="29" applyNumberFormat="1" applyFont="1" applyFill="1" applyBorder="1"/>
    <xf numFmtId="44" fontId="36" fillId="3" borderId="7" xfId="29" applyNumberFormat="1" applyFont="1" applyFill="1" applyBorder="1"/>
    <xf numFmtId="172" fontId="36" fillId="3" borderId="95" xfId="16" applyNumberFormat="1" applyFont="1" applyFill="1" applyBorder="1"/>
    <xf numFmtId="168" fontId="36" fillId="3" borderId="106" xfId="8" applyNumberFormat="1" applyFont="1" applyFill="1" applyBorder="1"/>
    <xf numFmtId="172" fontId="32" fillId="3" borderId="51" xfId="16" applyNumberFormat="1" applyFont="1" applyFill="1" applyBorder="1"/>
    <xf numFmtId="172" fontId="36" fillId="3" borderId="65" xfId="16" applyNumberFormat="1" applyFont="1" applyFill="1" applyBorder="1"/>
    <xf numFmtId="172" fontId="32" fillId="3" borderId="34" xfId="8" applyNumberFormat="1" applyFont="1" applyFill="1" applyBorder="1" applyAlignment="1">
      <alignment vertical="center"/>
    </xf>
    <xf numFmtId="172" fontId="36" fillId="3" borderId="5" xfId="16" applyNumberFormat="1" applyFont="1" applyFill="1" applyBorder="1"/>
    <xf numFmtId="44" fontId="42" fillId="3" borderId="9" xfId="29" applyNumberFormat="1" applyFont="1" applyFill="1" applyBorder="1"/>
    <xf numFmtId="172" fontId="42" fillId="3" borderId="55" xfId="16" applyNumberFormat="1" applyFont="1" applyFill="1" applyBorder="1"/>
    <xf numFmtId="168" fontId="42" fillId="3" borderId="95" xfId="8" applyNumberFormat="1" applyFont="1" applyFill="1" applyBorder="1"/>
    <xf numFmtId="168" fontId="37" fillId="3" borderId="95" xfId="8" applyNumberFormat="1" applyFont="1" applyFill="1" applyBorder="1" applyAlignment="1">
      <alignment vertical="top"/>
    </xf>
    <xf numFmtId="44" fontId="36" fillId="3" borderId="9" xfId="29" applyNumberFormat="1" applyFont="1" applyFill="1" applyBorder="1"/>
    <xf numFmtId="44" fontId="36" fillId="3" borderId="55" xfId="44" applyFont="1" applyFill="1" applyBorder="1"/>
    <xf numFmtId="172" fontId="32" fillId="3" borderId="34" xfId="29" applyNumberFormat="1" applyFont="1" applyFill="1" applyBorder="1" applyAlignment="1">
      <alignment vertical="center"/>
    </xf>
    <xf numFmtId="172" fontId="32" fillId="3" borderId="34" xfId="16" applyNumberFormat="1" applyFont="1" applyFill="1" applyBorder="1" applyAlignment="1">
      <alignment vertical="center"/>
    </xf>
    <xf numFmtId="172" fontId="32" fillId="3" borderId="9" xfId="16" applyNumberFormat="1" applyFont="1" applyFill="1" applyBorder="1" applyAlignment="1">
      <alignment vertical="center"/>
    </xf>
    <xf numFmtId="172" fontId="32" fillId="3" borderId="51" xfId="16" applyNumberFormat="1" applyFont="1" applyFill="1" applyBorder="1" applyAlignment="1">
      <alignment vertical="center"/>
    </xf>
    <xf numFmtId="172" fontId="32" fillId="3" borderId="0" xfId="16" applyNumberFormat="1" applyFont="1" applyFill="1" applyBorder="1" applyAlignment="1">
      <alignment vertical="center"/>
    </xf>
    <xf numFmtId="44" fontId="32" fillId="3" borderId="11" xfId="16" applyNumberFormat="1" applyFont="1" applyFill="1" applyBorder="1"/>
    <xf numFmtId="172" fontId="32" fillId="3" borderId="55" xfId="16" applyNumberFormat="1" applyFont="1" applyFill="1" applyBorder="1" applyAlignment="1">
      <alignment horizontal="left" vertical="center"/>
    </xf>
    <xf numFmtId="168" fontId="32" fillId="3" borderId="95" xfId="8" applyNumberFormat="1" applyFont="1" applyFill="1" applyBorder="1" applyAlignment="1">
      <alignment vertical="center"/>
    </xf>
    <xf numFmtId="168" fontId="32" fillId="3" borderId="96" xfId="8" applyNumberFormat="1" applyFont="1" applyFill="1" applyBorder="1" applyAlignment="1">
      <alignment vertical="center"/>
    </xf>
    <xf numFmtId="167" fontId="35" fillId="3" borderId="8" xfId="29" applyFont="1" applyFill="1" applyBorder="1" applyAlignment="1">
      <alignment horizontal="center"/>
    </xf>
    <xf numFmtId="167" fontId="36" fillId="3" borderId="10" xfId="29" applyFont="1" applyFill="1" applyBorder="1" applyAlignment="1">
      <alignment horizontal="center"/>
    </xf>
    <xf numFmtId="172" fontId="36" fillId="3" borderId="64" xfId="16" applyNumberFormat="1" applyFont="1" applyFill="1" applyBorder="1"/>
    <xf numFmtId="168" fontId="36" fillId="3" borderId="91" xfId="8" applyNumberFormat="1" applyFont="1" applyFill="1" applyBorder="1"/>
    <xf numFmtId="168" fontId="37" fillId="3" borderId="91" xfId="8" applyNumberFormat="1" applyFont="1" applyFill="1" applyBorder="1"/>
    <xf numFmtId="168" fontId="36" fillId="3" borderId="92" xfId="8" applyNumberFormat="1" applyFont="1" applyFill="1" applyBorder="1"/>
    <xf numFmtId="168" fontId="36" fillId="3" borderId="8" xfId="8" applyNumberFormat="1" applyFont="1" applyFill="1" applyBorder="1"/>
    <xf numFmtId="172" fontId="32" fillId="3" borderId="97" xfId="8" applyNumberFormat="1" applyFont="1" applyFill="1" applyBorder="1"/>
    <xf numFmtId="44" fontId="36" fillId="3" borderId="69" xfId="29" applyNumberFormat="1" applyFont="1" applyFill="1" applyBorder="1"/>
    <xf numFmtId="44" fontId="36" fillId="3" borderId="8" xfId="29" applyNumberFormat="1" applyFont="1" applyFill="1" applyBorder="1"/>
    <xf numFmtId="172" fontId="36" fillId="3" borderId="91" xfId="16" applyNumberFormat="1" applyFont="1" applyFill="1" applyBorder="1"/>
    <xf numFmtId="168" fontId="36" fillId="3" borderId="107" xfId="8" applyNumberFormat="1" applyFont="1" applyFill="1" applyBorder="1"/>
    <xf numFmtId="172" fontId="32" fillId="3" borderId="97" xfId="16" applyNumberFormat="1" applyFont="1" applyFill="1" applyBorder="1"/>
    <xf numFmtId="172" fontId="36" fillId="3" borderId="69" xfId="16" applyNumberFormat="1" applyFont="1" applyFill="1" applyBorder="1"/>
    <xf numFmtId="172" fontId="32" fillId="3" borderId="36" xfId="8" applyNumberFormat="1" applyFont="1" applyFill="1" applyBorder="1" applyAlignment="1">
      <alignment vertical="center"/>
    </xf>
    <xf numFmtId="172" fontId="36" fillId="3" borderId="6" xfId="16" applyNumberFormat="1" applyFont="1" applyFill="1" applyBorder="1"/>
    <xf numFmtId="44" fontId="36" fillId="3" borderId="10" xfId="29" applyNumberFormat="1" applyFont="1" applyFill="1" applyBorder="1"/>
    <xf numFmtId="168" fontId="36" fillId="3" borderId="91" xfId="8" applyNumberFormat="1" applyFont="1" applyFill="1" applyBorder="1" applyAlignment="1">
      <alignment vertical="top"/>
    </xf>
    <xf numFmtId="168" fontId="37" fillId="3" borderId="91" xfId="8" applyNumberFormat="1" applyFont="1" applyFill="1" applyBorder="1" applyAlignment="1">
      <alignment vertical="top"/>
    </xf>
    <xf numFmtId="44" fontId="36" fillId="3" borderId="64" xfId="44" applyFont="1" applyFill="1" applyBorder="1"/>
    <xf numFmtId="172" fontId="32" fillId="3" borderId="36" xfId="29" applyNumberFormat="1" applyFont="1" applyFill="1" applyBorder="1" applyAlignment="1">
      <alignment vertical="center"/>
    </xf>
    <xf numFmtId="172" fontId="32" fillId="3" borderId="36" xfId="16" applyNumberFormat="1" applyFont="1" applyFill="1" applyBorder="1" applyAlignment="1">
      <alignment vertical="center"/>
    </xf>
    <xf numFmtId="172" fontId="32" fillId="3" borderId="10" xfId="16" applyNumberFormat="1" applyFont="1" applyFill="1" applyBorder="1" applyAlignment="1">
      <alignment vertical="center"/>
    </xf>
    <xf numFmtId="172" fontId="32" fillId="3" borderId="97" xfId="16" applyNumberFormat="1" applyFont="1" applyFill="1" applyBorder="1" applyAlignment="1">
      <alignment vertical="center"/>
    </xf>
    <xf numFmtId="172" fontId="32" fillId="3" borderId="64" xfId="16" applyNumberFormat="1" applyFont="1" applyFill="1" applyBorder="1" applyAlignment="1">
      <alignment vertical="center"/>
    </xf>
    <xf numFmtId="168" fontId="32" fillId="3" borderId="91" xfId="8" applyNumberFormat="1" applyFont="1" applyFill="1" applyBorder="1" applyAlignment="1">
      <alignment vertical="center"/>
    </xf>
    <xf numFmtId="168" fontId="32" fillId="3" borderId="92" xfId="8" applyNumberFormat="1" applyFont="1" applyFill="1" applyBorder="1" applyAlignment="1">
      <alignment vertical="center"/>
    </xf>
    <xf numFmtId="0" fontId="36" fillId="3" borderId="34" xfId="29" applyNumberFormat="1" applyFont="1" applyFill="1" applyBorder="1" applyAlignment="1">
      <alignment vertical="center"/>
    </xf>
    <xf numFmtId="0" fontId="32" fillId="3" borderId="11" xfId="29" applyNumberFormat="1" applyFont="1" applyFill="1" applyBorder="1" applyAlignment="1">
      <alignment vertical="center"/>
    </xf>
    <xf numFmtId="0" fontId="36" fillId="3" borderId="11" xfId="29" applyNumberFormat="1" applyFont="1" applyFill="1" applyBorder="1" applyAlignment="1">
      <alignment vertical="center"/>
    </xf>
    <xf numFmtId="44" fontId="36" fillId="3" borderId="11" xfId="29" applyNumberFormat="1" applyFont="1" applyFill="1" applyBorder="1" applyAlignment="1">
      <alignment vertical="center"/>
    </xf>
    <xf numFmtId="172" fontId="32" fillId="3" borderId="35" xfId="29" applyNumberFormat="1" applyFont="1" applyFill="1" applyBorder="1" applyAlignment="1">
      <alignment vertical="center"/>
    </xf>
    <xf numFmtId="172" fontId="32" fillId="3" borderId="45" xfId="29" applyNumberFormat="1" applyFont="1" applyFill="1" applyBorder="1" applyAlignment="1">
      <alignment vertical="center"/>
    </xf>
    <xf numFmtId="172" fontId="36" fillId="3" borderId="11" xfId="16" applyNumberFormat="1" applyFont="1" applyFill="1" applyBorder="1" applyAlignment="1">
      <alignment vertical="center"/>
    </xf>
    <xf numFmtId="172" fontId="32" fillId="3" borderId="35" xfId="16" applyNumberFormat="1" applyFont="1" applyFill="1" applyBorder="1" applyAlignment="1">
      <alignment vertical="center"/>
    </xf>
    <xf numFmtId="172" fontId="32" fillId="3" borderId="45" xfId="16" applyNumberFormat="1" applyFont="1" applyFill="1" applyBorder="1" applyAlignment="1">
      <alignment vertical="center"/>
    </xf>
    <xf numFmtId="0" fontId="36" fillId="3" borderId="9" xfId="29" applyNumberFormat="1" applyFont="1" applyFill="1" applyBorder="1" applyAlignment="1">
      <alignment vertical="center"/>
    </xf>
    <xf numFmtId="0" fontId="32" fillId="3" borderId="2" xfId="29" applyNumberFormat="1" applyFont="1" applyFill="1" applyBorder="1" applyAlignment="1">
      <alignment vertical="center"/>
    </xf>
    <xf numFmtId="0" fontId="36" fillId="3" borderId="2" xfId="29" applyNumberFormat="1" applyFont="1" applyFill="1" applyBorder="1" applyAlignment="1">
      <alignment vertical="center"/>
    </xf>
    <xf numFmtId="172" fontId="32" fillId="3" borderId="2" xfId="16" applyNumberFormat="1" applyFont="1" applyFill="1" applyBorder="1" applyAlignment="1">
      <alignment vertical="center"/>
    </xf>
    <xf numFmtId="172" fontId="32" fillId="3" borderId="25" xfId="16" applyNumberFormat="1" applyFont="1" applyFill="1" applyBorder="1" applyAlignment="1">
      <alignment vertical="center"/>
    </xf>
    <xf numFmtId="172" fontId="32" fillId="3" borderId="57" xfId="16" applyNumberFormat="1" applyFont="1" applyFill="1" applyBorder="1" applyAlignment="1">
      <alignment vertical="center"/>
    </xf>
    <xf numFmtId="0" fontId="36" fillId="3" borderId="51" xfId="29" applyNumberFormat="1" applyFont="1" applyFill="1" applyBorder="1" applyAlignment="1">
      <alignment vertical="center"/>
    </xf>
    <xf numFmtId="0" fontId="32" fillId="3" borderId="12" xfId="29" applyNumberFormat="1" applyFont="1" applyFill="1" applyBorder="1" applyAlignment="1">
      <alignment vertical="center"/>
    </xf>
    <xf numFmtId="0" fontId="36" fillId="3" borderId="12" xfId="29" applyNumberFormat="1" applyFont="1" applyFill="1" applyBorder="1" applyAlignment="1">
      <alignment vertical="center"/>
    </xf>
    <xf numFmtId="172" fontId="32" fillId="3" borderId="12" xfId="16" applyNumberFormat="1" applyFont="1" applyFill="1" applyBorder="1" applyAlignment="1">
      <alignment vertical="center"/>
    </xf>
    <xf numFmtId="172" fontId="32" fillId="3" borderId="101" xfId="16" applyNumberFormat="1" applyFont="1" applyFill="1" applyBorder="1" applyAlignment="1">
      <alignment vertical="center"/>
    </xf>
    <xf numFmtId="172" fontId="32" fillId="3" borderId="44" xfId="16" applyNumberFormat="1" applyFont="1" applyFill="1" applyBorder="1" applyAlignment="1">
      <alignment vertical="center"/>
    </xf>
    <xf numFmtId="0" fontId="36" fillId="3" borderId="11" xfId="29" applyNumberFormat="1" applyFont="1" applyFill="1" applyBorder="1"/>
    <xf numFmtId="44" fontId="32" fillId="3" borderId="35" xfId="16" applyNumberFormat="1" applyFont="1" applyFill="1" applyBorder="1"/>
    <xf numFmtId="44" fontId="32" fillId="3" borderId="36" xfId="16" applyNumberFormat="1" applyFont="1" applyFill="1" applyBorder="1"/>
    <xf numFmtId="172" fontId="36" fillId="0" borderId="7" xfId="29" applyNumberFormat="1" applyFont="1" applyFill="1" applyBorder="1"/>
    <xf numFmtId="172" fontId="36" fillId="0" borderId="8" xfId="29" applyNumberFormat="1" applyFont="1" applyFill="1" applyBorder="1"/>
    <xf numFmtId="0" fontId="32" fillId="3" borderId="34" xfId="29" applyNumberFormat="1" applyFont="1" applyFill="1" applyBorder="1" applyAlignment="1">
      <alignment vertical="center"/>
    </xf>
    <xf numFmtId="44" fontId="32" fillId="3" borderId="11" xfId="29" applyNumberFormat="1" applyFont="1" applyFill="1" applyBorder="1" applyAlignment="1">
      <alignment vertical="center"/>
    </xf>
    <xf numFmtId="172" fontId="32" fillId="3" borderId="35" xfId="8" applyNumberFormat="1" applyFont="1" applyFill="1" applyBorder="1" applyAlignment="1">
      <alignment vertical="center"/>
    </xf>
    <xf numFmtId="172" fontId="32" fillId="3" borderId="45" xfId="8" applyNumberFormat="1" applyFont="1" applyFill="1" applyBorder="1" applyAlignment="1">
      <alignment vertical="center"/>
    </xf>
    <xf numFmtId="167" fontId="35" fillId="5" borderId="10" xfId="29" applyFont="1" applyFill="1" applyBorder="1" applyAlignment="1">
      <alignment horizontal="center" vertical="center" wrapText="1"/>
    </xf>
    <xf numFmtId="167" fontId="35" fillId="5" borderId="57" xfId="29" applyFont="1" applyFill="1" applyBorder="1" applyAlignment="1">
      <alignment horizontal="center" vertical="center" wrapText="1"/>
    </xf>
    <xf numFmtId="167" fontId="32" fillId="3" borderId="9" xfId="29" applyFont="1" applyFill="1" applyBorder="1" applyAlignment="1">
      <alignment horizontal="center" vertical="center" wrapText="1"/>
    </xf>
    <xf numFmtId="167" fontId="35" fillId="3" borderId="10" xfId="29" applyFont="1" applyFill="1" applyBorder="1" applyAlignment="1">
      <alignment horizontal="center" vertical="center" wrapText="1"/>
    </xf>
    <xf numFmtId="167" fontId="35" fillId="3" borderId="57" xfId="29" applyFont="1" applyFill="1" applyBorder="1" applyAlignment="1">
      <alignment horizontal="center" vertical="center" wrapText="1"/>
    </xf>
    <xf numFmtId="167" fontId="32" fillId="14" borderId="9" xfId="29" applyFont="1" applyFill="1" applyBorder="1" applyAlignment="1">
      <alignment horizontal="center" vertical="center" wrapText="1"/>
    </xf>
    <xf numFmtId="167" fontId="35" fillId="14" borderId="10" xfId="29" applyFont="1" applyFill="1" applyBorder="1" applyAlignment="1">
      <alignment horizontal="center" vertical="center" wrapText="1"/>
    </xf>
    <xf numFmtId="167" fontId="35" fillId="14" borderId="57" xfId="29" applyFont="1" applyFill="1" applyBorder="1" applyAlignment="1">
      <alignment horizontal="center" vertical="center" wrapText="1"/>
    </xf>
    <xf numFmtId="10" fontId="144" fillId="17" borderId="0" xfId="1" applyNumberFormat="1" applyFont="1" applyFill="1"/>
    <xf numFmtId="167" fontId="144" fillId="17" borderId="0" xfId="1" applyNumberFormat="1" applyFont="1" applyFill="1"/>
    <xf numFmtId="173" fontId="161" fillId="0" borderId="0" xfId="2" applyNumberFormat="1" applyFont="1" applyFill="1"/>
    <xf numFmtId="173" fontId="161" fillId="0" borderId="105" xfId="2" applyNumberFormat="1" applyFont="1" applyFill="1" applyBorder="1"/>
    <xf numFmtId="0" fontId="40" fillId="0" borderId="0" xfId="29" applyNumberFormat="1" applyFont="1" applyFill="1" applyAlignment="1">
      <alignment horizontal="right"/>
    </xf>
    <xf numFmtId="0" fontId="46" fillId="0" borderId="0" xfId="1" applyNumberFormat="1" applyFont="1" applyFill="1"/>
    <xf numFmtId="0" fontId="126" fillId="0" borderId="0" xfId="29" applyNumberFormat="1" applyFont="1" applyFill="1"/>
    <xf numFmtId="0" fontId="46" fillId="0" borderId="0" xfId="8" applyNumberFormat="1" applyFont="1" applyAlignment="1"/>
    <xf numFmtId="0" fontId="46" fillId="0" borderId="0" xfId="2" applyNumberFormat="1" applyFont="1" applyFill="1"/>
    <xf numFmtId="0" fontId="92" fillId="0" borderId="0" xfId="1" applyNumberFormat="1" applyFont="1" applyFill="1" applyBorder="1"/>
    <xf numFmtId="0" fontId="9" fillId="0" borderId="0" xfId="2" applyNumberFormat="1" applyFont="1" applyFill="1" applyBorder="1" applyAlignment="1">
      <alignment vertical="center"/>
    </xf>
    <xf numFmtId="0" fontId="153" fillId="0" borderId="0" xfId="29" applyNumberFormat="1" applyFont="1" applyFill="1"/>
    <xf numFmtId="0" fontId="33" fillId="0" borderId="0" xfId="8" applyNumberFormat="1" applyFont="1" applyBorder="1"/>
    <xf numFmtId="0" fontId="93" fillId="0" borderId="0" xfId="8" applyNumberFormat="1" applyFont="1" applyBorder="1" applyAlignment="1">
      <alignment horizontal="right"/>
    </xf>
    <xf numFmtId="0" fontId="39" fillId="0" borderId="0" xfId="8" applyNumberFormat="1" applyFont="1" applyBorder="1"/>
    <xf numFmtId="0" fontId="46" fillId="0" borderId="0" xfId="29" applyNumberFormat="1" applyFont="1" applyBorder="1" applyAlignment="1">
      <alignment horizontal="right"/>
    </xf>
    <xf numFmtId="0" fontId="154" fillId="0" borderId="0" xfId="29" applyNumberFormat="1" applyFont="1" applyFill="1"/>
    <xf numFmtId="0" fontId="45" fillId="0" borderId="0" xfId="1" applyNumberFormat="1" applyFont="1" applyFill="1" applyBorder="1" applyAlignment="1"/>
    <xf numFmtId="0" fontId="119" fillId="0" borderId="0" xfId="29" applyNumberFormat="1" applyFont="1" applyFill="1" applyBorder="1" applyAlignment="1"/>
    <xf numFmtId="0" fontId="45" fillId="0" borderId="0" xfId="1" applyNumberFormat="1" applyFont="1" applyFill="1" applyBorder="1"/>
    <xf numFmtId="0" fontId="119" fillId="0" borderId="0" xfId="29" applyNumberFormat="1" applyFont="1" applyFill="1" applyBorder="1"/>
    <xf numFmtId="0" fontId="116" fillId="0" borderId="0" xfId="1" applyNumberFormat="1" applyFont="1" applyFill="1" applyBorder="1"/>
    <xf numFmtId="0" fontId="116" fillId="0" borderId="0" xfId="29" applyNumberFormat="1" applyFont="1" applyFill="1" applyBorder="1"/>
    <xf numFmtId="0" fontId="119" fillId="0" borderId="0" xfId="1" applyNumberFormat="1" applyFont="1" applyFill="1" applyBorder="1"/>
    <xf numFmtId="0" fontId="4" fillId="0" borderId="0" xfId="1" applyNumberFormat="1" applyFont="1" applyFill="1" applyBorder="1"/>
    <xf numFmtId="0" fontId="4" fillId="0" borderId="0" xfId="29" applyNumberFormat="1" applyFont="1" applyFill="1" applyBorder="1"/>
    <xf numFmtId="0" fontId="155" fillId="0" borderId="0" xfId="29" applyNumberFormat="1" applyFont="1" applyFill="1" applyAlignment="1">
      <alignment vertical="center"/>
    </xf>
    <xf numFmtId="0" fontId="4" fillId="0" borderId="0" xfId="1" applyNumberFormat="1" applyFont="1" applyFill="1"/>
    <xf numFmtId="0" fontId="4" fillId="0" borderId="0" xfId="29" applyNumberFormat="1" applyFont="1" applyFill="1"/>
    <xf numFmtId="0" fontId="120" fillId="0" borderId="0" xfId="29" applyNumberFormat="1" applyFont="1" applyFill="1" applyBorder="1" applyAlignment="1">
      <alignment vertical="center"/>
    </xf>
    <xf numFmtId="0" fontId="144" fillId="0" borderId="0" xfId="29" applyNumberFormat="1" applyFont="1" applyFill="1"/>
    <xf numFmtId="0" fontId="9" fillId="0" borderId="0" xfId="1" applyNumberFormat="1" applyFont="1" applyFill="1"/>
    <xf numFmtId="0" fontId="43" fillId="0" borderId="0" xfId="29" applyNumberFormat="1" applyFont="1" applyFill="1" applyBorder="1"/>
    <xf numFmtId="43" fontId="147" fillId="0" borderId="0" xfId="1" applyFont="1" applyFill="1" applyAlignment="1">
      <alignment horizontal="right"/>
    </xf>
    <xf numFmtId="43" fontId="147" fillId="0" borderId="0" xfId="1" applyFont="1" applyAlignment="1">
      <alignment horizontal="right"/>
    </xf>
    <xf numFmtId="43" fontId="148" fillId="0" borderId="0" xfId="1" applyFont="1" applyAlignment="1">
      <alignment horizontal="center"/>
    </xf>
    <xf numFmtId="43" fontId="149" fillId="0" borderId="0" xfId="1" applyFont="1" applyAlignment="1">
      <alignment horizontal="right"/>
    </xf>
    <xf numFmtId="43" fontId="147" fillId="0" borderId="0" xfId="1" applyFont="1" applyAlignment="1">
      <alignment horizontal="right" vertical="top"/>
    </xf>
    <xf numFmtId="43" fontId="147" fillId="0" borderId="0" xfId="1" applyFont="1" applyAlignment="1">
      <alignment horizontal="right" vertical="center"/>
    </xf>
    <xf numFmtId="43" fontId="145" fillId="0" borderId="0" xfId="1" applyFont="1" applyFill="1" applyBorder="1"/>
    <xf numFmtId="43" fontId="147" fillId="0" borderId="0" xfId="1" applyFont="1" applyFill="1" applyBorder="1" applyAlignment="1">
      <alignment horizontal="right" vertical="center"/>
    </xf>
    <xf numFmtId="43" fontId="148" fillId="0" borderId="0" xfId="1" applyFont="1" applyFill="1" applyAlignment="1">
      <alignment horizontal="right"/>
    </xf>
    <xf numFmtId="43" fontId="40" fillId="0" borderId="0" xfId="1" applyFont="1" applyFill="1" applyAlignment="1">
      <alignment horizontal="right"/>
    </xf>
    <xf numFmtId="43" fontId="46" fillId="0" borderId="0" xfId="1" applyFont="1" applyBorder="1" applyAlignment="1">
      <alignment horizontal="right"/>
    </xf>
    <xf numFmtId="43" fontId="46" fillId="0" borderId="0" xfId="1" applyFont="1" applyFill="1" applyBorder="1" applyAlignment="1">
      <alignment horizontal="right"/>
    </xf>
    <xf numFmtId="43" fontId="9" fillId="0" borderId="0" xfId="1" applyFont="1" applyFill="1" applyBorder="1" applyAlignment="1">
      <alignment vertical="center"/>
    </xf>
    <xf numFmtId="43" fontId="33" fillId="0" borderId="0" xfId="1" applyFont="1" applyFill="1" applyBorder="1"/>
    <xf numFmtId="43" fontId="93" fillId="0" borderId="0" xfId="1" applyFont="1" applyBorder="1" applyAlignment="1">
      <alignment horizontal="right"/>
    </xf>
    <xf numFmtId="43" fontId="147" fillId="0" borderId="0" xfId="1" applyFont="1" applyBorder="1" applyAlignment="1">
      <alignment horizontal="right" vertical="center"/>
    </xf>
    <xf numFmtId="43" fontId="46" fillId="0" borderId="0" xfId="1" applyFont="1" applyBorder="1" applyAlignment="1">
      <alignment horizontal="right" vertical="center"/>
    </xf>
    <xf numFmtId="43" fontId="46" fillId="0" borderId="0" xfId="1" applyFont="1" applyFill="1" applyBorder="1" applyAlignment="1">
      <alignment horizontal="right" vertical="center"/>
    </xf>
    <xf numFmtId="43" fontId="151" fillId="0" borderId="0" xfId="1" applyFont="1" applyFill="1" applyBorder="1"/>
    <xf numFmtId="43" fontId="43" fillId="0" borderId="0" xfId="1" applyFont="1" applyFill="1" applyBorder="1"/>
    <xf numFmtId="167" fontId="162" fillId="0" borderId="0" xfId="29" applyNumberFormat="1" applyFont="1" applyFill="1" applyAlignment="1">
      <alignment horizontal="right"/>
    </xf>
    <xf numFmtId="43" fontId="163" fillId="0" borderId="0" xfId="1" applyFont="1" applyFill="1" applyBorder="1" applyAlignment="1">
      <alignment horizontal="right" vertical="center"/>
    </xf>
    <xf numFmtId="43" fontId="150" fillId="0" borderId="0" xfId="1" applyFont="1" applyFill="1" applyBorder="1" applyAlignment="1">
      <alignment horizontal="right" vertical="center"/>
    </xf>
    <xf numFmtId="167" fontId="164" fillId="0" borderId="0" xfId="1" applyNumberFormat="1" applyFont="1" applyFill="1" applyAlignment="1">
      <alignment horizontal="right"/>
    </xf>
    <xf numFmtId="43" fontId="145" fillId="0" borderId="0" xfId="1" applyFont="1" applyFill="1" applyAlignment="1">
      <alignment horizontal="right" vertical="center"/>
    </xf>
    <xf numFmtId="43" fontId="145" fillId="0" borderId="0" xfId="1" applyFont="1" applyFill="1" applyAlignment="1">
      <alignment horizontal="right"/>
    </xf>
    <xf numFmtId="43" fontId="145" fillId="0" borderId="0" xfId="1" applyFont="1" applyAlignment="1">
      <alignment horizontal="right"/>
    </xf>
    <xf numFmtId="43" fontId="152" fillId="0" borderId="0" xfId="1" applyFont="1" applyAlignment="1">
      <alignment horizontal="right"/>
    </xf>
    <xf numFmtId="43" fontId="145" fillId="0" borderId="0" xfId="1" applyFont="1" applyAlignment="1">
      <alignment horizontal="right" vertical="top"/>
    </xf>
    <xf numFmtId="43" fontId="165" fillId="0" borderId="0" xfId="1" applyFont="1" applyFill="1" applyBorder="1"/>
    <xf numFmtId="43" fontId="145" fillId="0" borderId="0" xfId="1" applyFont="1" applyFill="1" applyBorder="1" applyAlignment="1">
      <alignment horizontal="right"/>
    </xf>
    <xf numFmtId="43" fontId="145" fillId="0" borderId="0" xfId="1" applyFont="1" applyBorder="1" applyAlignment="1">
      <alignment horizontal="right"/>
    </xf>
    <xf numFmtId="43" fontId="145" fillId="0" borderId="0" xfId="1" applyFont="1" applyAlignment="1">
      <alignment horizontal="right" vertical="center"/>
    </xf>
    <xf numFmtId="43" fontId="165" fillId="0" borderId="0" xfId="1" applyFont="1" applyFill="1" applyBorder="1" applyAlignment="1">
      <alignment vertical="center"/>
    </xf>
    <xf numFmtId="43" fontId="148" fillId="0" borderId="0" xfId="1" applyFont="1" applyFill="1" applyBorder="1" applyAlignment="1">
      <alignment vertical="center"/>
    </xf>
    <xf numFmtId="43" fontId="166" fillId="0" borderId="0" xfId="1" applyFont="1" applyFill="1" applyBorder="1" applyAlignment="1">
      <alignment vertical="center"/>
    </xf>
    <xf numFmtId="43" fontId="145" fillId="0" borderId="0" xfId="1" applyFont="1" applyFill="1" applyBorder="1" applyAlignment="1">
      <alignment vertical="center"/>
    </xf>
    <xf numFmtId="43" fontId="167" fillId="6" borderId="0" xfId="1" applyFont="1" applyFill="1" applyBorder="1" applyAlignment="1">
      <alignment vertical="center"/>
    </xf>
    <xf numFmtId="43" fontId="145" fillId="0" borderId="0" xfId="1" applyFont="1" applyFill="1" applyBorder="1" applyAlignment="1">
      <alignment vertical="top"/>
    </xf>
    <xf numFmtId="43" fontId="152" fillId="0" borderId="0" xfId="1" applyFont="1" applyBorder="1" applyAlignment="1">
      <alignment horizontal="right"/>
    </xf>
    <xf numFmtId="43" fontId="145" fillId="0" borderId="0" xfId="1" applyFont="1" applyFill="1" applyBorder="1" applyAlignment="1">
      <alignment horizontal="right" vertical="center"/>
    </xf>
    <xf numFmtId="43" fontId="145" fillId="0" borderId="0" xfId="1" applyFont="1" applyBorder="1" applyAlignment="1">
      <alignment horizontal="right" vertical="center"/>
    </xf>
    <xf numFmtId="43" fontId="145" fillId="0" borderId="0" xfId="1" applyFont="1" applyBorder="1" applyAlignment="1">
      <alignment horizontal="right" vertical="top"/>
    </xf>
    <xf numFmtId="43" fontId="165" fillId="0" borderId="0" xfId="1" applyFont="1" applyFill="1" applyBorder="1" applyAlignment="1">
      <alignment vertical="top"/>
    </xf>
    <xf numFmtId="43" fontId="165" fillId="0" borderId="0" xfId="1" applyFont="1" applyFill="1" applyAlignment="1"/>
    <xf numFmtId="43" fontId="165" fillId="0" borderId="0" xfId="1" applyFont="1" applyFill="1" applyBorder="1" applyAlignment="1"/>
    <xf numFmtId="43" fontId="168" fillId="0" borderId="0" xfId="1" applyFont="1" applyFill="1" applyAlignment="1">
      <alignment vertical="center"/>
    </xf>
    <xf numFmtId="43" fontId="151" fillId="0" borderId="0" xfId="1" applyFont="1" applyFill="1" applyBorder="1" applyAlignment="1">
      <alignment horizontal="right"/>
    </xf>
    <xf numFmtId="167" fontId="169" fillId="0" borderId="0" xfId="29" applyNumberFormat="1" applyFont="1" applyFill="1" applyAlignment="1">
      <alignment horizontal="right"/>
    </xf>
    <xf numFmtId="0" fontId="109" fillId="0" borderId="0" xfId="0" applyNumberFormat="1" applyFont="1"/>
    <xf numFmtId="0" fontId="22" fillId="0" borderId="0" xfId="0" applyNumberFormat="1" applyFont="1" applyFill="1"/>
    <xf numFmtId="43" fontId="109" fillId="0" borderId="0" xfId="1" applyFont="1"/>
    <xf numFmtId="43" fontId="113" fillId="0" borderId="0" xfId="1" applyFont="1"/>
    <xf numFmtId="43" fontId="22" fillId="0" borderId="1" xfId="0" applyNumberFormat="1" applyFont="1" applyBorder="1"/>
    <xf numFmtId="43" fontId="22" fillId="0" borderId="0" xfId="0" applyNumberFormat="1" applyFont="1" applyBorder="1"/>
    <xf numFmtId="10" fontId="18" fillId="0" borderId="0" xfId="2" applyNumberFormat="1" applyFont="1" applyAlignment="1">
      <alignment horizontal="left"/>
    </xf>
    <xf numFmtId="10" fontId="81" fillId="0" borderId="0" xfId="2" applyNumberFormat="1" applyFont="1" applyAlignment="1">
      <alignment horizontal="right"/>
    </xf>
    <xf numFmtId="10" fontId="24" fillId="0" borderId="0" xfId="2" applyNumberFormat="1" applyFont="1" applyBorder="1" applyAlignment="1">
      <alignment horizontal="right"/>
    </xf>
    <xf numFmtId="10" fontId="1" fillId="0" borderId="0" xfId="2" applyNumberFormat="1" applyFont="1" applyBorder="1"/>
    <xf numFmtId="10" fontId="1" fillId="0" borderId="0" xfId="2" applyNumberFormat="1" applyFont="1" applyBorder="1" applyAlignment="1">
      <alignment horizontal="left"/>
    </xf>
    <xf numFmtId="10" fontId="1" fillId="0" borderId="0" xfId="2" applyNumberFormat="1" applyFont="1" applyBorder="1" applyAlignment="1">
      <alignment horizontal="right"/>
    </xf>
    <xf numFmtId="10" fontId="7" fillId="0" borderId="0" xfId="2" applyNumberFormat="1" applyFont="1" applyAlignment="1">
      <alignment horizontal="right"/>
    </xf>
    <xf numFmtId="10" fontId="6" fillId="0" borderId="0" xfId="2" applyNumberFormat="1" applyFont="1" applyBorder="1"/>
    <xf numFmtId="10" fontId="6" fillId="0" borderId="0" xfId="2" applyNumberFormat="1" applyFont="1" applyBorder="1" applyAlignment="1">
      <alignment horizontal="right"/>
    </xf>
    <xf numFmtId="10" fontId="0" fillId="0" borderId="0" xfId="2" applyNumberFormat="1" applyFont="1" applyFill="1" applyBorder="1"/>
    <xf numFmtId="10" fontId="6" fillId="0" borderId="0" xfId="2" applyNumberFormat="1" applyFont="1" applyFill="1" applyAlignment="1">
      <alignment horizontal="right"/>
    </xf>
    <xf numFmtId="10" fontId="0" fillId="0" borderId="0" xfId="2" applyNumberFormat="1" applyFont="1" applyFill="1"/>
    <xf numFmtId="10" fontId="2" fillId="0" borderId="0" xfId="2" applyNumberFormat="1" applyFont="1" applyFill="1" applyBorder="1"/>
    <xf numFmtId="10" fontId="0" fillId="0" borderId="0" xfId="2" applyNumberFormat="1" applyFont="1" applyFill="1" applyAlignment="1">
      <alignment horizontal="right"/>
    </xf>
    <xf numFmtId="10" fontId="2" fillId="0" borderId="0" xfId="2" applyNumberFormat="1" applyFont="1" applyFill="1" applyBorder="1" applyAlignment="1">
      <alignment horizontal="right"/>
    </xf>
    <xf numFmtId="10" fontId="22" fillId="0" borderId="0" xfId="2" applyNumberFormat="1" applyFont="1" applyFill="1"/>
    <xf numFmtId="10" fontId="28" fillId="0" borderId="0" xfId="2" applyNumberFormat="1" applyFont="1" applyFill="1" applyBorder="1"/>
    <xf numFmtId="10" fontId="6" fillId="0" borderId="0" xfId="2" applyNumberFormat="1" applyFont="1" applyFill="1" applyBorder="1" applyAlignment="1">
      <alignment horizontal="left"/>
    </xf>
    <xf numFmtId="10" fontId="6" fillId="0" borderId="0" xfId="2" applyNumberFormat="1" applyFont="1" applyFill="1" applyBorder="1"/>
    <xf numFmtId="10" fontId="6" fillId="0" borderId="0" xfId="2" applyNumberFormat="1" applyFont="1" applyFill="1" applyBorder="1" applyAlignment="1">
      <alignment horizontal="right"/>
    </xf>
    <xf numFmtId="10" fontId="0" fillId="0" borderId="0" xfId="2" applyNumberFormat="1" applyFont="1" applyFill="1" applyBorder="1" applyAlignment="1">
      <alignment horizontal="right"/>
    </xf>
    <xf numFmtId="10" fontId="22" fillId="0" borderId="0" xfId="2" applyNumberFormat="1" applyFont="1" applyBorder="1"/>
    <xf numFmtId="10" fontId="109" fillId="0" borderId="0" xfId="2" applyNumberFormat="1" applyFont="1"/>
    <xf numFmtId="10" fontId="22" fillId="0" borderId="0" xfId="2" applyNumberFormat="1" applyFont="1"/>
    <xf numFmtId="10" fontId="112" fillId="2" borderId="0" xfId="2" applyNumberFormat="1" applyFont="1" applyFill="1" applyAlignment="1">
      <alignment horizontal="right"/>
    </xf>
    <xf numFmtId="10" fontId="22" fillId="0" borderId="0" xfId="2" applyNumberFormat="1" applyFont="1" applyAlignment="1">
      <alignment horizontal="right"/>
    </xf>
    <xf numFmtId="10" fontId="28" fillId="0" borderId="0" xfId="2" applyNumberFormat="1" applyFont="1" applyBorder="1"/>
    <xf numFmtId="10" fontId="30" fillId="0" borderId="0" xfId="2" applyNumberFormat="1" applyFont="1" applyAlignment="1">
      <alignment horizontal="right"/>
    </xf>
    <xf numFmtId="10" fontId="30" fillId="0" borderId="0" xfId="2" applyNumberFormat="1" applyFont="1"/>
    <xf numFmtId="10" fontId="112" fillId="2" borderId="0" xfId="2" applyNumberFormat="1" applyFont="1" applyFill="1" applyAlignment="1"/>
    <xf numFmtId="10" fontId="108" fillId="0" borderId="0" xfId="2" applyNumberFormat="1" applyFont="1" applyBorder="1" applyAlignment="1">
      <alignment horizontal="left"/>
    </xf>
    <xf numFmtId="10" fontId="108" fillId="0" borderId="0" xfId="2" applyNumberFormat="1" applyFont="1"/>
    <xf numFmtId="10" fontId="108" fillId="0" borderId="0" xfId="2" applyNumberFormat="1" applyFont="1" applyAlignment="1">
      <alignment horizontal="right"/>
    </xf>
    <xf numFmtId="10" fontId="112" fillId="3" borderId="0" xfId="2" applyNumberFormat="1" applyFont="1" applyFill="1" applyAlignment="1">
      <alignment horizontal="right"/>
    </xf>
    <xf numFmtId="10" fontId="28" fillId="0" borderId="0" xfId="2" applyNumberFormat="1" applyFont="1" applyAlignment="1">
      <alignment horizontal="right"/>
    </xf>
    <xf numFmtId="10" fontId="28" fillId="0" borderId="0" xfId="2" applyNumberFormat="1" applyFont="1" applyBorder="1" applyAlignment="1">
      <alignment horizontal="right"/>
    </xf>
    <xf numFmtId="10" fontId="22" fillId="0" borderId="0" xfId="2" applyNumberFormat="1" applyFont="1" applyBorder="1" applyAlignment="1">
      <alignment horizontal="right"/>
    </xf>
    <xf numFmtId="10" fontId="7" fillId="0" borderId="0" xfId="2" applyNumberFormat="1" applyFont="1" applyBorder="1" applyAlignment="1">
      <alignment horizontal="left"/>
    </xf>
    <xf numFmtId="0" fontId="27" fillId="0" borderId="0" xfId="1" applyNumberFormat="1" applyFont="1" applyBorder="1" applyAlignment="1">
      <alignment horizontal="center"/>
    </xf>
    <xf numFmtId="43" fontId="27" fillId="6" borderId="0" xfId="1" applyFont="1" applyFill="1"/>
    <xf numFmtId="0" fontId="27" fillId="6" borderId="0" xfId="2" applyNumberFormat="1" applyFont="1" applyFill="1" applyBorder="1"/>
    <xf numFmtId="166" fontId="98" fillId="0" borderId="0" xfId="4" applyNumberFormat="1" applyFont="1" applyAlignment="1">
      <alignment horizontal="left"/>
    </xf>
    <xf numFmtId="43" fontId="109" fillId="0" borderId="0" xfId="1" applyFont="1" applyBorder="1"/>
    <xf numFmtId="0" fontId="124" fillId="0" borderId="0" xfId="1" applyNumberFormat="1" applyFont="1" applyFill="1" applyBorder="1" applyAlignment="1">
      <alignment horizontal="left"/>
    </xf>
    <xf numFmtId="0" fontId="23" fillId="6" borderId="0" xfId="1" applyNumberFormat="1" applyFont="1" applyFill="1" applyBorder="1" applyAlignment="1">
      <alignment horizontal="left"/>
    </xf>
    <xf numFmtId="172" fontId="36" fillId="5" borderId="64" xfId="16" applyNumberFormat="1" applyFont="1" applyFill="1" applyBorder="1"/>
    <xf numFmtId="168" fontId="37" fillId="5" borderId="91" xfId="8" applyNumberFormat="1" applyFont="1" applyFill="1" applyBorder="1"/>
    <xf numFmtId="168" fontId="36" fillId="5" borderId="91" xfId="8" applyNumberFormat="1" applyFont="1" applyFill="1" applyBorder="1"/>
    <xf numFmtId="168" fontId="37" fillId="5" borderId="8" xfId="8" applyNumberFormat="1" applyFont="1" applyFill="1" applyBorder="1"/>
    <xf numFmtId="167" fontId="32" fillId="14" borderId="25" xfId="29" applyFont="1" applyFill="1" applyBorder="1" applyAlignment="1">
      <alignment horizontal="center" vertical="center" wrapText="1"/>
    </xf>
    <xf numFmtId="167" fontId="32" fillId="3" borderId="25" xfId="29" applyFont="1" applyFill="1" applyBorder="1" applyAlignment="1">
      <alignment horizontal="center" vertical="center" wrapText="1"/>
    </xf>
    <xf numFmtId="167" fontId="32" fillId="5" borderId="25" xfId="29" applyFont="1" applyFill="1" applyBorder="1" applyAlignment="1">
      <alignment horizontal="center" vertical="center" wrapText="1"/>
    </xf>
    <xf numFmtId="0" fontId="27" fillId="21" borderId="0" xfId="1" applyNumberFormat="1" applyFont="1" applyFill="1" applyAlignment="1">
      <alignment horizontal="right"/>
    </xf>
    <xf numFmtId="0" fontId="27" fillId="21" borderId="0" xfId="1" applyNumberFormat="1" applyFont="1" applyFill="1"/>
    <xf numFmtId="0" fontId="0" fillId="21" borderId="0" xfId="1" applyNumberFormat="1" applyFont="1" applyFill="1" applyAlignment="1">
      <alignment horizontal="right"/>
    </xf>
    <xf numFmtId="0" fontId="0" fillId="21" borderId="0" xfId="1" applyNumberFormat="1" applyFont="1" applyFill="1"/>
    <xf numFmtId="43" fontId="0" fillId="21" borderId="0" xfId="1" applyFont="1" applyFill="1"/>
    <xf numFmtId="0" fontId="18" fillId="21" borderId="0" xfId="1" applyNumberFormat="1" applyFont="1" applyFill="1"/>
    <xf numFmtId="43" fontId="0" fillId="21" borderId="0" xfId="1" applyFont="1" applyFill="1" applyAlignment="1">
      <alignment horizontal="center"/>
    </xf>
    <xf numFmtId="0" fontId="27" fillId="0" borderId="0" xfId="1" applyNumberFormat="1" applyFont="1" applyFill="1" applyAlignment="1">
      <alignment horizontal="right"/>
    </xf>
    <xf numFmtId="0" fontId="27" fillId="0" borderId="0" xfId="1" applyNumberFormat="1" applyFont="1" applyFill="1"/>
    <xf numFmtId="0" fontId="170" fillId="0" borderId="0" xfId="1" applyNumberFormat="1" applyFont="1" applyBorder="1"/>
    <xf numFmtId="0" fontId="170" fillId="0" borderId="0" xfId="1" applyNumberFormat="1" applyFont="1" applyBorder="1" applyAlignment="1">
      <alignment horizontal="left"/>
    </xf>
    <xf numFmtId="0" fontId="170" fillId="0" borderId="0" xfId="1" applyNumberFormat="1" applyFont="1"/>
    <xf numFmtId="0" fontId="17" fillId="0" borderId="0" xfId="1" applyNumberFormat="1" applyFont="1" applyBorder="1" applyAlignment="1">
      <alignment horizontal="left"/>
    </xf>
    <xf numFmtId="10" fontId="140" fillId="0" borderId="0" xfId="2" applyNumberFormat="1" applyFont="1" applyAlignment="1">
      <alignment horizontal="right"/>
    </xf>
    <xf numFmtId="43" fontId="0" fillId="22" borderId="0" xfId="1" applyFont="1" applyFill="1"/>
    <xf numFmtId="0" fontId="0" fillId="22" borderId="0" xfId="2" applyNumberFormat="1" applyFont="1" applyFill="1" applyBorder="1"/>
    <xf numFmtId="43" fontId="0" fillId="23" borderId="0" xfId="1" applyFont="1" applyFill="1"/>
    <xf numFmtId="0" fontId="0" fillId="23" borderId="0" xfId="2" applyNumberFormat="1" applyFont="1" applyFill="1" applyBorder="1"/>
    <xf numFmtId="43" fontId="0" fillId="14" borderId="0" xfId="1" applyFont="1" applyFill="1"/>
    <xf numFmtId="0" fontId="0" fillId="14" borderId="0" xfId="2" applyNumberFormat="1" applyFont="1" applyFill="1" applyBorder="1"/>
    <xf numFmtId="0" fontId="2" fillId="14" borderId="0" xfId="2" applyNumberFormat="1" applyFont="1" applyFill="1" applyBorder="1"/>
    <xf numFmtId="0" fontId="2" fillId="22" borderId="0" xfId="2" applyNumberFormat="1" applyFont="1" applyFill="1" applyBorder="1"/>
    <xf numFmtId="0" fontId="2" fillId="23" borderId="0" xfId="2" applyNumberFormat="1" applyFont="1" applyFill="1" applyBorder="1"/>
    <xf numFmtId="0" fontId="1" fillId="0" borderId="0" xfId="1" applyNumberFormat="1" applyFont="1" applyAlignment="1">
      <alignment horizontal="left"/>
    </xf>
    <xf numFmtId="44" fontId="148" fillId="0" borderId="0" xfId="44" applyFont="1" applyFill="1" applyBorder="1" applyAlignment="1">
      <alignment vertical="center"/>
    </xf>
    <xf numFmtId="172" fontId="33" fillId="0" borderId="0" xfId="29" applyNumberFormat="1" applyFont="1" applyAlignment="1">
      <alignment vertical="center"/>
    </xf>
    <xf numFmtId="43" fontId="33" fillId="0" borderId="0" xfId="1" applyFont="1" applyAlignment="1">
      <alignment vertical="center"/>
    </xf>
    <xf numFmtId="44" fontId="33" fillId="0" borderId="0" xfId="29" applyNumberFormat="1" applyFont="1" applyAlignment="1">
      <alignment vertical="center"/>
    </xf>
    <xf numFmtId="166" fontId="154" fillId="0" borderId="0" xfId="2" applyNumberFormat="1" applyFont="1" applyFill="1"/>
    <xf numFmtId="166" fontId="153" fillId="0" borderId="0" xfId="2" applyNumberFormat="1" applyFont="1" applyFill="1"/>
    <xf numFmtId="166" fontId="155" fillId="0" borderId="0" xfId="2" applyNumberFormat="1" applyFont="1" applyFill="1" applyAlignment="1">
      <alignment vertical="center"/>
    </xf>
    <xf numFmtId="166" fontId="144" fillId="0" borderId="0" xfId="2" applyNumberFormat="1" applyFont="1" applyFill="1"/>
    <xf numFmtId="10" fontId="144" fillId="0" borderId="0" xfId="2" applyNumberFormat="1" applyFont="1" applyFill="1" applyAlignment="1">
      <alignment horizontal="left"/>
    </xf>
    <xf numFmtId="166" fontId="154" fillId="0" borderId="0" xfId="2" applyNumberFormat="1" applyFont="1" applyFill="1" applyAlignment="1">
      <alignment horizontal="left"/>
    </xf>
    <xf numFmtId="166" fontId="153" fillId="0" borderId="0" xfId="2" applyNumberFormat="1" applyFont="1" applyFill="1" applyAlignment="1">
      <alignment horizontal="left"/>
    </xf>
    <xf numFmtId="166" fontId="155" fillId="0" borderId="0" xfId="2" applyNumberFormat="1" applyFont="1" applyFill="1" applyAlignment="1">
      <alignment horizontal="left" vertical="center"/>
    </xf>
    <xf numFmtId="166" fontId="144" fillId="0" borderId="0" xfId="2" applyNumberFormat="1" applyFont="1" applyFill="1" applyAlignment="1">
      <alignment horizontal="left"/>
    </xf>
    <xf numFmtId="166" fontId="144" fillId="0" borderId="0" xfId="2" applyNumberFormat="1" applyFont="1" applyFill="1" applyAlignment="1">
      <alignment horizontal="left" vertical="center"/>
    </xf>
    <xf numFmtId="0" fontId="144" fillId="0" borderId="0" xfId="29" applyNumberFormat="1" applyFont="1" applyFill="1" applyAlignment="1">
      <alignment vertical="center"/>
    </xf>
    <xf numFmtId="166" fontId="144" fillId="0" borderId="0" xfId="2" applyNumberFormat="1" applyFont="1" applyFill="1" applyAlignment="1">
      <alignment vertical="center"/>
    </xf>
    <xf numFmtId="166" fontId="144" fillId="0" borderId="0" xfId="2" applyNumberFormat="1" applyFont="1" applyAlignment="1">
      <alignment horizontal="left"/>
    </xf>
    <xf numFmtId="0" fontId="144" fillId="0" borderId="0" xfId="29" applyNumberFormat="1" applyFont="1" applyAlignment="1"/>
    <xf numFmtId="166" fontId="144" fillId="0" borderId="0" xfId="2" applyNumberFormat="1" applyFont="1" applyAlignment="1"/>
    <xf numFmtId="166" fontId="34" fillId="0" borderId="0" xfId="2" applyNumberFormat="1" applyFont="1" applyFill="1" applyBorder="1" applyAlignment="1">
      <alignment horizontal="left"/>
    </xf>
    <xf numFmtId="166" fontId="34" fillId="0" borderId="0" xfId="2" applyNumberFormat="1" applyFont="1" applyFill="1" applyBorder="1"/>
    <xf numFmtId="10" fontId="34" fillId="0" borderId="0" xfId="2" applyNumberFormat="1" applyFont="1" applyFill="1" applyBorder="1"/>
    <xf numFmtId="166" fontId="181" fillId="0" borderId="0" xfId="2" applyNumberFormat="1" applyFont="1" applyFill="1" applyAlignment="1">
      <alignment horizontal="left"/>
    </xf>
    <xf numFmtId="0" fontId="181" fillId="0" borderId="0" xfId="29" applyNumberFormat="1" applyFont="1" applyFill="1"/>
    <xf numFmtId="166" fontId="181" fillId="0" borderId="0" xfId="2" applyNumberFormat="1" applyFont="1" applyFill="1"/>
    <xf numFmtId="166" fontId="144" fillId="0" borderId="0" xfId="2" applyNumberFormat="1" applyFont="1" applyFill="1" applyBorder="1" applyAlignment="1">
      <alignment horizontal="left"/>
    </xf>
    <xf numFmtId="0" fontId="144" fillId="0" borderId="0" xfId="29" applyNumberFormat="1" applyFont="1" applyFill="1" applyBorder="1"/>
    <xf numFmtId="166" fontId="144" fillId="0" borderId="0" xfId="2" applyNumberFormat="1" applyFont="1" applyFill="1" applyBorder="1"/>
    <xf numFmtId="168" fontId="35" fillId="0" borderId="0" xfId="1" applyNumberFormat="1" applyFont="1" applyFill="1" applyBorder="1" applyAlignment="1">
      <alignment horizontal="center" vertical="center" wrapText="1"/>
    </xf>
    <xf numFmtId="168" fontId="35" fillId="0" borderId="0" xfId="1" applyNumberFormat="1" applyFont="1" applyFill="1" applyBorder="1"/>
    <xf numFmtId="168" fontId="171" fillId="0" borderId="0" xfId="1" applyNumberFormat="1" applyFont="1" applyFill="1" applyBorder="1"/>
    <xf numFmtId="168" fontId="34" fillId="0" borderId="0" xfId="1" applyNumberFormat="1" applyFont="1" applyFill="1" applyBorder="1"/>
    <xf numFmtId="168" fontId="172" fillId="0" borderId="0" xfId="1" applyNumberFormat="1" applyFont="1" applyFill="1" applyBorder="1" applyAlignment="1">
      <alignment vertical="top"/>
    </xf>
    <xf numFmtId="168" fontId="173" fillId="0" borderId="0" xfId="1" applyNumberFormat="1" applyFont="1" applyFill="1" applyBorder="1"/>
    <xf numFmtId="168" fontId="174" fillId="0" borderId="0" xfId="1" applyNumberFormat="1" applyFont="1" applyFill="1" applyBorder="1" applyAlignment="1">
      <alignment horizontal="right"/>
    </xf>
    <xf numFmtId="168" fontId="54" fillId="0" borderId="0" xfId="1" applyNumberFormat="1" applyFont="1" applyFill="1" applyAlignment="1">
      <alignment vertical="center"/>
    </xf>
    <xf numFmtId="168" fontId="175" fillId="0" borderId="0" xfId="1" applyNumberFormat="1" applyFont="1" applyFill="1" applyBorder="1" applyAlignment="1">
      <alignment vertical="top"/>
    </xf>
    <xf numFmtId="168" fontId="176" fillId="0" borderId="0" xfId="1" applyNumberFormat="1" applyFont="1" applyFill="1" applyBorder="1" applyAlignment="1">
      <alignment vertical="top"/>
    </xf>
    <xf numFmtId="168" fontId="177" fillId="0" borderId="0" xfId="1" applyNumberFormat="1" applyFont="1" applyFill="1" applyBorder="1"/>
    <xf numFmtId="168" fontId="178" fillId="0" borderId="0" xfId="1" applyNumberFormat="1" applyFont="1" applyFill="1" applyBorder="1" applyAlignment="1">
      <alignment vertical="top"/>
    </xf>
    <xf numFmtId="168" fontId="179" fillId="0" borderId="0" xfId="1" applyNumberFormat="1" applyFont="1" applyFill="1" applyBorder="1" applyAlignment="1"/>
    <xf numFmtId="168" fontId="180" fillId="0" borderId="0" xfId="1" applyNumberFormat="1" applyFont="1" applyFill="1" applyBorder="1" applyAlignment="1">
      <alignment vertical="top"/>
    </xf>
    <xf numFmtId="168" fontId="34" fillId="0" borderId="0" xfId="1" applyNumberFormat="1" applyFont="1" applyFill="1"/>
    <xf numFmtId="168" fontId="144" fillId="0" borderId="0" xfId="1" applyNumberFormat="1" applyFont="1" applyFill="1" applyAlignment="1">
      <alignment vertical="center"/>
    </xf>
    <xf numFmtId="168" fontId="144" fillId="0" borderId="0" xfId="1" applyNumberFormat="1" applyFont="1" applyFill="1"/>
    <xf numFmtId="168" fontId="144" fillId="0" borderId="0" xfId="1" applyNumberFormat="1" applyFont="1" applyAlignment="1"/>
    <xf numFmtId="168" fontId="154" fillId="0" borderId="0" xfId="1" applyNumberFormat="1" applyFont="1" applyFill="1"/>
    <xf numFmtId="168" fontId="153" fillId="0" borderId="0" xfId="1" applyNumberFormat="1" applyFont="1" applyFill="1"/>
    <xf numFmtId="168" fontId="155" fillId="0" borderId="0" xfId="1" applyNumberFormat="1" applyFont="1" applyFill="1" applyAlignment="1">
      <alignment vertical="center"/>
    </xf>
    <xf numFmtId="168" fontId="181" fillId="0" borderId="0" xfId="1" applyNumberFormat="1" applyFont="1" applyFill="1"/>
    <xf numFmtId="168" fontId="144" fillId="0" borderId="0" xfId="1" applyNumberFormat="1" applyFont="1" applyFill="1" applyBorder="1"/>
    <xf numFmtId="168" fontId="118" fillId="7" borderId="95" xfId="8" applyNumberFormat="1" applyFont="1" applyFill="1" applyBorder="1"/>
    <xf numFmtId="0" fontId="36" fillId="24" borderId="41" xfId="29" applyNumberFormat="1" applyFont="1" applyFill="1" applyBorder="1"/>
    <xf numFmtId="3" fontId="159" fillId="24" borderId="94" xfId="8" applyNumberFormat="1" applyFont="1" applyFill="1" applyBorder="1" applyAlignment="1">
      <alignment horizontal="right"/>
    </xf>
    <xf numFmtId="0" fontId="182" fillId="24" borderId="41" xfId="29" applyNumberFormat="1" applyFont="1" applyFill="1" applyBorder="1"/>
    <xf numFmtId="168" fontId="182" fillId="24" borderId="94" xfId="8" applyNumberFormat="1" applyFont="1" applyFill="1" applyBorder="1"/>
    <xf numFmtId="0" fontId="36" fillId="24" borderId="52" xfId="29" applyNumberFormat="1" applyFont="1" applyFill="1" applyBorder="1"/>
    <xf numFmtId="44" fontId="36" fillId="24" borderId="94" xfId="29" applyNumberFormat="1" applyFont="1" applyFill="1" applyBorder="1"/>
    <xf numFmtId="168" fontId="36" fillId="24" borderId="95" xfId="8" applyNumberFormat="1" applyFont="1" applyFill="1" applyBorder="1"/>
    <xf numFmtId="3" fontId="36" fillId="24" borderId="100" xfId="8" applyNumberFormat="1" applyFont="1" applyFill="1" applyBorder="1" applyAlignment="1">
      <alignment horizontal="right"/>
    </xf>
    <xf numFmtId="3" fontId="36" fillId="24" borderId="91" xfId="8" applyNumberFormat="1" applyFont="1" applyFill="1" applyBorder="1" applyAlignment="1">
      <alignment horizontal="right"/>
    </xf>
    <xf numFmtId="3" fontId="36" fillId="24" borderId="47" xfId="8" applyNumberFormat="1" applyFont="1" applyFill="1" applyBorder="1" applyAlignment="1">
      <alignment horizontal="right"/>
    </xf>
    <xf numFmtId="44" fontId="36" fillId="24" borderId="94" xfId="29" applyNumberFormat="1" applyFont="1" applyFill="1" applyBorder="1" applyAlignment="1">
      <alignment horizontal="right"/>
    </xf>
    <xf numFmtId="0" fontId="182" fillId="24" borderId="52" xfId="29" applyNumberFormat="1" applyFont="1" applyFill="1" applyBorder="1"/>
    <xf numFmtId="44" fontId="182" fillId="24" borderId="94" xfId="29" applyNumberFormat="1" applyFont="1" applyFill="1" applyBorder="1"/>
    <xf numFmtId="168" fontId="34" fillId="6" borderId="0" xfId="1" applyNumberFormat="1" applyFont="1" applyFill="1" applyBorder="1"/>
    <xf numFmtId="10" fontId="144" fillId="6" borderId="0" xfId="2" applyNumberFormat="1" applyFont="1" applyFill="1" applyAlignment="1">
      <alignment horizontal="left"/>
    </xf>
    <xf numFmtId="168" fontId="34" fillId="9" borderId="0" xfId="1" applyNumberFormat="1" applyFont="1" applyFill="1" applyBorder="1"/>
    <xf numFmtId="10" fontId="144" fillId="9" borderId="0" xfId="2" applyNumberFormat="1" applyFont="1" applyFill="1" applyAlignment="1">
      <alignment horizontal="left"/>
    </xf>
    <xf numFmtId="10" fontId="183" fillId="0" borderId="0" xfId="2" applyNumberFormat="1" applyFont="1" applyAlignment="1">
      <alignment horizontal="right"/>
    </xf>
    <xf numFmtId="10" fontId="184" fillId="5" borderId="60" xfId="5" applyNumberFormat="1" applyFont="1" applyFill="1" applyBorder="1" applyAlignment="1">
      <alignment vertical="top"/>
    </xf>
    <xf numFmtId="10" fontId="184" fillId="5" borderId="104" xfId="5" applyNumberFormat="1" applyFont="1" applyFill="1" applyBorder="1" applyAlignment="1">
      <alignment vertical="top"/>
    </xf>
    <xf numFmtId="10" fontId="184" fillId="5" borderId="98" xfId="5" applyNumberFormat="1" applyFont="1" applyFill="1" applyBorder="1" applyAlignment="1">
      <alignment vertical="top"/>
    </xf>
    <xf numFmtId="10" fontId="184" fillId="5" borderId="59" xfId="5" applyNumberFormat="1" applyFont="1" applyFill="1" applyBorder="1" applyAlignment="1">
      <alignment vertical="top"/>
    </xf>
    <xf numFmtId="43" fontId="82" fillId="0" borderId="0" xfId="1" applyNumberFormat="1" applyFont="1" applyBorder="1" applyAlignment="1">
      <alignment horizontal="left"/>
    </xf>
    <xf numFmtId="43" fontId="18" fillId="0" borderId="0" xfId="1" applyNumberFormat="1" applyFont="1"/>
    <xf numFmtId="43" fontId="97" fillId="0" borderId="0" xfId="1" applyFont="1"/>
    <xf numFmtId="0" fontId="97" fillId="0" borderId="0" xfId="1" applyNumberFormat="1" applyFont="1" applyBorder="1" applyAlignment="1">
      <alignment horizontal="left"/>
    </xf>
    <xf numFmtId="43" fontId="185" fillId="0" borderId="0" xfId="1" applyFont="1" applyFill="1" applyBorder="1" applyAlignment="1"/>
    <xf numFmtId="0" fontId="154" fillId="0" borderId="0" xfId="29" applyNumberFormat="1" applyFont="1" applyFill="1" applyAlignment="1">
      <alignment horizontal="right"/>
    </xf>
    <xf numFmtId="10" fontId="105" fillId="0" borderId="0" xfId="9" applyNumberFormat="1" applyFont="1" applyFill="1" applyBorder="1"/>
    <xf numFmtId="10" fontId="105" fillId="0" borderId="0" xfId="2" applyNumberFormat="1" applyFont="1" applyFill="1" applyBorder="1"/>
    <xf numFmtId="169" fontId="105" fillId="0" borderId="0" xfId="9" applyNumberFormat="1" applyFont="1" applyFill="1" applyBorder="1"/>
    <xf numFmtId="169" fontId="105" fillId="0" borderId="0" xfId="2" applyNumberFormat="1" applyFont="1" applyFill="1" applyBorder="1"/>
    <xf numFmtId="166" fontId="105" fillId="0" borderId="0" xfId="9" applyNumberFormat="1" applyFont="1" applyFill="1" applyBorder="1"/>
    <xf numFmtId="166" fontId="101" fillId="0" borderId="0" xfId="9" applyNumberFormat="1" applyFont="1" applyFill="1" applyBorder="1"/>
    <xf numFmtId="10" fontId="101" fillId="0" borderId="0" xfId="9" applyNumberFormat="1" applyFont="1" applyFill="1" applyBorder="1"/>
    <xf numFmtId="170" fontId="98" fillId="0" borderId="0" xfId="4" applyNumberFormat="1" applyFont="1" applyFill="1"/>
    <xf numFmtId="170" fontId="98" fillId="0" borderId="2" xfId="4" applyNumberFormat="1" applyFont="1" applyFill="1" applyBorder="1"/>
    <xf numFmtId="167" fontId="101" fillId="0" borderId="0" xfId="6" applyFont="1" applyFill="1"/>
    <xf numFmtId="10" fontId="98" fillId="0" borderId="0" xfId="4" applyNumberFormat="1" applyFont="1" applyFill="1"/>
    <xf numFmtId="10" fontId="101" fillId="0" borderId="0" xfId="5" applyNumberFormat="1" applyFont="1" applyFill="1"/>
    <xf numFmtId="167" fontId="98" fillId="0" borderId="0" xfId="4" applyFont="1" applyFill="1" applyAlignment="1">
      <alignment horizontal="left" vertical="top"/>
    </xf>
    <xf numFmtId="170" fontId="98" fillId="0" borderId="0" xfId="4" applyNumberFormat="1" applyFont="1" applyFill="1" applyAlignment="1"/>
    <xf numFmtId="170" fontId="98" fillId="0" borderId="0" xfId="4" applyNumberFormat="1" applyFont="1" applyFill="1" applyBorder="1" applyAlignment="1"/>
    <xf numFmtId="170" fontId="98" fillId="0" borderId="0" xfId="1" applyNumberFormat="1" applyFont="1" applyFill="1" applyBorder="1" applyAlignment="1"/>
    <xf numFmtId="170" fontId="98" fillId="0" borderId="1" xfId="4" applyNumberFormat="1" applyFont="1" applyFill="1" applyBorder="1"/>
    <xf numFmtId="168" fontId="103" fillId="0" borderId="0" xfId="8" applyNumberFormat="1" applyFont="1" applyFill="1"/>
    <xf numFmtId="168" fontId="103" fillId="0" borderId="0" xfId="4" applyNumberFormat="1" applyFont="1" applyFill="1" applyAlignment="1">
      <alignment vertical="top"/>
    </xf>
    <xf numFmtId="10" fontId="98" fillId="0" borderId="0" xfId="5" applyNumberFormat="1" applyFont="1" applyFill="1"/>
    <xf numFmtId="167" fontId="186" fillId="0" borderId="0" xfId="4" applyFont="1" applyAlignment="1">
      <alignment horizontal="right"/>
    </xf>
    <xf numFmtId="10" fontId="187" fillId="0" borderId="0" xfId="5" applyNumberFormat="1" applyFont="1"/>
    <xf numFmtId="166" fontId="2" fillId="0" borderId="0" xfId="2" applyNumberFormat="1" applyFont="1" applyAlignment="1">
      <alignment horizontal="left"/>
    </xf>
    <xf numFmtId="43" fontId="2" fillId="6" borderId="1" xfId="1" applyFont="1" applyFill="1" applyBorder="1" applyAlignment="1">
      <alignment horizontal="center"/>
    </xf>
    <xf numFmtId="0" fontId="0" fillId="6" borderId="0" xfId="1" applyNumberFormat="1" applyFont="1" applyFill="1" applyBorder="1" applyAlignment="1">
      <alignment horizontal="left"/>
    </xf>
    <xf numFmtId="0" fontId="106" fillId="6" borderId="0" xfId="1" applyNumberFormat="1" applyFont="1" applyFill="1" applyBorder="1"/>
    <xf numFmtId="0" fontId="22" fillId="6" borderId="0" xfId="1" applyNumberFormat="1" applyFont="1" applyFill="1" applyBorder="1" applyAlignment="1">
      <alignment horizontal="left"/>
    </xf>
    <xf numFmtId="172" fontId="158" fillId="16" borderId="6" xfId="44" applyNumberFormat="1" applyFont="1" applyFill="1" applyBorder="1" applyAlignment="1">
      <alignment horizontal="center"/>
    </xf>
    <xf numFmtId="172" fontId="158" fillId="16" borderId="10" xfId="44" applyNumberFormat="1" applyFont="1" applyFill="1" applyBorder="1" applyAlignment="1">
      <alignment horizontal="center" wrapText="1"/>
    </xf>
    <xf numFmtId="172" fontId="159" fillId="0" borderId="119" xfId="44" applyNumberFormat="1" applyFont="1" applyFill="1" applyBorder="1"/>
    <xf numFmtId="172" fontId="159" fillId="0" borderId="120" xfId="44" applyNumberFormat="1" applyFont="1" applyFill="1" applyBorder="1"/>
    <xf numFmtId="172" fontId="159" fillId="0" borderId="121" xfId="44" applyNumberFormat="1" applyFont="1" applyFill="1" applyBorder="1"/>
    <xf numFmtId="172" fontId="159" fillId="0" borderId="36" xfId="44" applyNumberFormat="1" applyFont="1" applyFill="1" applyBorder="1"/>
    <xf numFmtId="172" fontId="158" fillId="16" borderId="10" xfId="44" applyNumberFormat="1" applyFont="1" applyFill="1" applyBorder="1" applyAlignment="1">
      <alignment horizontal="center"/>
    </xf>
    <xf numFmtId="172" fontId="159" fillId="0" borderId="8" xfId="44" applyNumberFormat="1" applyFont="1" applyFill="1" applyBorder="1"/>
    <xf numFmtId="172" fontId="159" fillId="0" borderId="6" xfId="44" applyNumberFormat="1" applyFont="1" applyFill="1" applyBorder="1"/>
    <xf numFmtId="172" fontId="158" fillId="20" borderId="6" xfId="44" applyNumberFormat="1" applyFont="1" applyFill="1" applyBorder="1" applyAlignment="1">
      <alignment horizontal="center"/>
    </xf>
    <xf numFmtId="172" fontId="158" fillId="20" borderId="10" xfId="44" applyNumberFormat="1" applyFont="1" applyFill="1" applyBorder="1" applyAlignment="1">
      <alignment horizontal="center"/>
    </xf>
    <xf numFmtId="167" fontId="188" fillId="0" borderId="0" xfId="30" applyFont="1" applyFill="1"/>
    <xf numFmtId="167" fontId="189" fillId="0" borderId="0" xfId="30" applyFont="1" applyFill="1"/>
    <xf numFmtId="167" fontId="190" fillId="0" borderId="0" xfId="30" applyFont="1"/>
    <xf numFmtId="167" fontId="189" fillId="0" borderId="0" xfId="30" applyFont="1"/>
    <xf numFmtId="43" fontId="189" fillId="0" borderId="0" xfId="1" applyFont="1" applyFill="1"/>
    <xf numFmtId="0" fontId="189" fillId="0" borderId="0" xfId="30" applyNumberFormat="1" applyFont="1" applyFill="1"/>
    <xf numFmtId="167" fontId="190" fillId="0" borderId="0" xfId="30" applyFont="1" applyAlignment="1">
      <alignment horizontal="right"/>
    </xf>
    <xf numFmtId="167" fontId="190" fillId="3" borderId="5" xfId="30" applyFont="1" applyFill="1" applyBorder="1" applyAlignment="1">
      <alignment horizontal="left"/>
    </xf>
    <xf numFmtId="167" fontId="190" fillId="3" borderId="1" xfId="30" applyFont="1" applyFill="1" applyBorder="1"/>
    <xf numFmtId="167" fontId="189" fillId="3" borderId="1" xfId="30" applyFont="1" applyFill="1" applyBorder="1"/>
    <xf numFmtId="167" fontId="189" fillId="3" borderId="6" xfId="30" applyFont="1" applyFill="1" applyBorder="1"/>
    <xf numFmtId="167" fontId="190" fillId="0" borderId="5" xfId="30" applyFont="1" applyBorder="1" applyAlignment="1">
      <alignment horizontal="right"/>
    </xf>
    <xf numFmtId="167" fontId="190" fillId="0" borderId="1" xfId="30" applyFont="1" applyBorder="1"/>
    <xf numFmtId="167" fontId="190" fillId="0" borderId="1" xfId="30" applyFont="1" applyBorder="1" applyAlignment="1">
      <alignment horizontal="right"/>
    </xf>
    <xf numFmtId="10" fontId="190" fillId="0" borderId="1" xfId="9" applyNumberFormat="1" applyFont="1" applyFill="1" applyBorder="1" applyAlignment="1">
      <alignment horizontal="center"/>
    </xf>
    <xf numFmtId="167" fontId="190" fillId="0" borderId="6" xfId="30" applyFont="1" applyBorder="1"/>
    <xf numFmtId="167" fontId="191" fillId="0" borderId="7" xfId="30" applyFont="1" applyBorder="1" applyAlignment="1">
      <alignment horizontal="right"/>
    </xf>
    <xf numFmtId="167" fontId="191" fillId="0" borderId="0" xfId="30" applyFont="1" applyBorder="1" applyAlignment="1">
      <alignment horizontal="right"/>
    </xf>
    <xf numFmtId="167" fontId="191" fillId="0" borderId="8" xfId="30" applyFont="1" applyBorder="1" applyAlignment="1">
      <alignment horizontal="right"/>
    </xf>
    <xf numFmtId="167" fontId="190" fillId="0" borderId="7" xfId="30" applyFont="1" applyBorder="1" applyAlignment="1">
      <alignment horizontal="right"/>
    </xf>
    <xf numFmtId="167" fontId="190" fillId="0" borderId="0" xfId="30" applyFont="1" applyBorder="1" applyAlignment="1">
      <alignment horizontal="right"/>
    </xf>
    <xf numFmtId="168" fontId="41" fillId="0" borderId="0" xfId="13" applyNumberFormat="1" applyFont="1" applyFill="1" applyBorder="1"/>
    <xf numFmtId="168" fontId="41" fillId="0" borderId="0" xfId="13" applyNumberFormat="1" applyFont="1" applyBorder="1"/>
    <xf numFmtId="168" fontId="41" fillId="0" borderId="8" xfId="13" applyNumberFormat="1" applyFont="1" applyBorder="1"/>
    <xf numFmtId="10" fontId="41" fillId="0" borderId="0" xfId="2" applyNumberFormat="1" applyFont="1" applyBorder="1"/>
    <xf numFmtId="10" fontId="41" fillId="0" borderId="8" xfId="2" applyNumberFormat="1" applyFont="1" applyBorder="1"/>
    <xf numFmtId="10" fontId="41" fillId="10" borderId="0" xfId="9" applyNumberFormat="1" applyFont="1" applyFill="1" applyBorder="1"/>
    <xf numFmtId="10" fontId="41" fillId="10" borderId="8" xfId="9" applyNumberFormat="1" applyFont="1" applyFill="1" applyBorder="1"/>
    <xf numFmtId="167" fontId="190" fillId="0" borderId="7" xfId="30" applyFont="1" applyBorder="1" applyAlignment="1">
      <alignment horizontal="right" wrapText="1"/>
    </xf>
    <xf numFmtId="167" fontId="190" fillId="0" borderId="0" xfId="30" applyFont="1" applyBorder="1" applyAlignment="1">
      <alignment horizontal="center" wrapText="1"/>
    </xf>
    <xf numFmtId="43" fontId="41" fillId="0" borderId="0" xfId="13" applyFont="1" applyBorder="1" applyAlignment="1">
      <alignment horizontal="center"/>
    </xf>
    <xf numFmtId="173" fontId="41" fillId="0" borderId="0" xfId="9" applyNumberFormat="1" applyFont="1" applyBorder="1"/>
    <xf numFmtId="173" fontId="41" fillId="0" borderId="8" xfId="9" applyNumberFormat="1" applyFont="1" applyBorder="1"/>
    <xf numFmtId="167" fontId="189" fillId="0" borderId="0" xfId="30" applyFont="1" applyBorder="1" applyAlignment="1">
      <alignment horizontal="center"/>
    </xf>
    <xf numFmtId="43" fontId="189" fillId="0" borderId="0" xfId="30" applyNumberFormat="1" applyFont="1" applyBorder="1"/>
    <xf numFmtId="43" fontId="189" fillId="0" borderId="8" xfId="30" applyNumberFormat="1" applyFont="1" applyBorder="1"/>
    <xf numFmtId="10" fontId="189" fillId="0" borderId="0" xfId="2" applyNumberFormat="1" applyFont="1" applyBorder="1"/>
    <xf numFmtId="10" fontId="189" fillId="0" borderId="8" xfId="2" applyNumberFormat="1" applyFont="1" applyBorder="1"/>
    <xf numFmtId="167" fontId="189" fillId="0" borderId="0" xfId="30" applyFont="1" applyBorder="1"/>
    <xf numFmtId="44" fontId="190" fillId="8" borderId="8" xfId="44" applyFont="1" applyFill="1" applyBorder="1" applyAlignment="1">
      <alignment horizontal="right"/>
    </xf>
    <xf numFmtId="167" fontId="190" fillId="0" borderId="0" xfId="30" applyFont="1" applyBorder="1"/>
    <xf numFmtId="167" fontId="189" fillId="0" borderId="8" xfId="30" applyFont="1" applyFill="1" applyBorder="1"/>
    <xf numFmtId="10" fontId="41" fillId="14" borderId="0" xfId="9" applyNumberFormat="1" applyFont="1" applyFill="1" applyBorder="1"/>
    <xf numFmtId="10" fontId="41" fillId="14" borderId="8" xfId="9" applyNumberFormat="1" applyFont="1" applyFill="1" applyBorder="1"/>
    <xf numFmtId="168" fontId="189" fillId="0" borderId="0" xfId="1" applyNumberFormat="1" applyFont="1" applyBorder="1" applyAlignment="1">
      <alignment horizontal="center"/>
    </xf>
    <xf numFmtId="168" fontId="189" fillId="0" borderId="0" xfId="1" applyNumberFormat="1" applyFont="1" applyBorder="1"/>
    <xf numFmtId="168" fontId="189" fillId="0" borderId="8" xfId="1" applyNumberFormat="1" applyFont="1" applyBorder="1"/>
    <xf numFmtId="168" fontId="189" fillId="0" borderId="0" xfId="2" applyNumberFormat="1" applyFont="1" applyBorder="1"/>
    <xf numFmtId="168" fontId="189" fillId="0" borderId="8" xfId="2" applyNumberFormat="1" applyFont="1" applyBorder="1"/>
    <xf numFmtId="167" fontId="131" fillId="0" borderId="0" xfId="30" applyFont="1" applyBorder="1" applyAlignment="1">
      <alignment horizontal="center"/>
    </xf>
    <xf numFmtId="10" fontId="131" fillId="0" borderId="0" xfId="2" applyNumberFormat="1" applyFont="1" applyBorder="1"/>
    <xf numFmtId="10" fontId="131" fillId="0" borderId="8" xfId="2" applyNumberFormat="1" applyFont="1" applyBorder="1"/>
    <xf numFmtId="167" fontId="131" fillId="0" borderId="0" xfId="30" applyFont="1" applyFill="1"/>
    <xf numFmtId="43" fontId="131" fillId="0" borderId="8" xfId="1" applyFont="1" applyFill="1" applyBorder="1" applyAlignment="1">
      <alignment horizontal="right"/>
    </xf>
    <xf numFmtId="167" fontId="189" fillId="0" borderId="8" xfId="30" applyFont="1" applyBorder="1"/>
    <xf numFmtId="167" fontId="190" fillId="25" borderId="34" xfId="30" applyFont="1" applyFill="1" applyBorder="1" applyAlignment="1">
      <alignment horizontal="left"/>
    </xf>
    <xf numFmtId="167" fontId="190" fillId="25" borderId="11" xfId="30" applyFont="1" applyFill="1" applyBorder="1"/>
    <xf numFmtId="167" fontId="189" fillId="25" borderId="11" xfId="30" applyFont="1" applyFill="1" applyBorder="1"/>
    <xf numFmtId="167" fontId="189" fillId="25" borderId="36" xfId="30" applyFont="1" applyFill="1" applyBorder="1"/>
    <xf numFmtId="167" fontId="192" fillId="0" borderId="0" xfId="30" applyFont="1" applyFill="1"/>
    <xf numFmtId="167" fontId="190" fillId="0" borderId="0" xfId="30" applyFont="1" applyFill="1" applyBorder="1" applyAlignment="1">
      <alignment horizontal="right"/>
    </xf>
    <xf numFmtId="10" fontId="190" fillId="0" borderId="0" xfId="9" applyNumberFormat="1" applyFont="1" applyFill="1" applyBorder="1" applyAlignment="1">
      <alignment horizontal="center"/>
    </xf>
    <xf numFmtId="167" fontId="190" fillId="0" borderId="0" xfId="30" applyFont="1" applyFill="1" applyBorder="1"/>
    <xf numFmtId="167" fontId="190" fillId="0" borderId="8" xfId="30" applyFont="1" applyBorder="1"/>
    <xf numFmtId="43" fontId="190" fillId="0" borderId="0" xfId="1" applyFont="1" applyFill="1"/>
    <xf numFmtId="0" fontId="190" fillId="0" borderId="0" xfId="30" applyNumberFormat="1" applyFont="1" applyFill="1"/>
    <xf numFmtId="167" fontId="190" fillId="0" borderId="0" xfId="30" applyFont="1" applyFill="1"/>
    <xf numFmtId="167" fontId="193" fillId="0" borderId="0" xfId="30" applyFont="1" applyFill="1" applyAlignment="1">
      <alignment horizontal="right"/>
    </xf>
    <xf numFmtId="43" fontId="191" fillId="0" borderId="0" xfId="1" applyFont="1" applyFill="1" applyAlignment="1">
      <alignment horizontal="right"/>
    </xf>
    <xf numFmtId="0" fontId="191" fillId="0" borderId="0" xfId="30" applyNumberFormat="1" applyFont="1" applyFill="1" applyAlignment="1">
      <alignment horizontal="right"/>
    </xf>
    <xf numFmtId="167" fontId="191" fillId="0" borderId="0" xfId="30" applyFont="1" applyFill="1" applyAlignment="1">
      <alignment horizontal="right"/>
    </xf>
    <xf numFmtId="168" fontId="41" fillId="10" borderId="0" xfId="13" applyNumberFormat="1" applyFont="1" applyFill="1" applyBorder="1"/>
    <xf numFmtId="9" fontId="41" fillId="0" borderId="0" xfId="2" applyFont="1" applyBorder="1"/>
    <xf numFmtId="169" fontId="41" fillId="10" borderId="0" xfId="9" applyNumberFormat="1" applyFont="1" applyFill="1" applyBorder="1"/>
    <xf numFmtId="166" fontId="41" fillId="10" borderId="0" xfId="9" applyNumberFormat="1" applyFont="1" applyFill="1" applyBorder="1"/>
    <xf numFmtId="166" fontId="41" fillId="10" borderId="8" xfId="9" applyNumberFormat="1" applyFont="1" applyFill="1" applyBorder="1"/>
    <xf numFmtId="169" fontId="41" fillId="0" borderId="0" xfId="9" applyNumberFormat="1" applyFont="1" applyFill="1" applyBorder="1"/>
    <xf numFmtId="177" fontId="41" fillId="0" borderId="0" xfId="9" applyNumberFormat="1" applyFont="1" applyFill="1" applyBorder="1"/>
    <xf numFmtId="169" fontId="41" fillId="0" borderId="8" xfId="9" applyNumberFormat="1" applyFont="1" applyFill="1" applyBorder="1" applyAlignment="1">
      <alignment horizontal="right"/>
    </xf>
    <xf numFmtId="167" fontId="190" fillId="0" borderId="7" xfId="30" applyFont="1" applyFill="1" applyBorder="1" applyAlignment="1">
      <alignment horizontal="right"/>
    </xf>
    <xf numFmtId="166" fontId="41" fillId="0" borderId="0" xfId="9" applyNumberFormat="1" applyFont="1" applyFill="1" applyBorder="1"/>
    <xf numFmtId="166" fontId="41" fillId="0" borderId="8" xfId="9" applyNumberFormat="1" applyFont="1" applyFill="1" applyBorder="1"/>
    <xf numFmtId="44" fontId="190" fillId="8" borderId="8" xfId="44" applyFont="1" applyFill="1" applyBorder="1"/>
    <xf numFmtId="169" fontId="41" fillId="14" borderId="0" xfId="9" applyNumberFormat="1" applyFont="1" applyFill="1" applyBorder="1"/>
    <xf numFmtId="169" fontId="41" fillId="14" borderId="8" xfId="9" applyNumberFormat="1" applyFont="1" applyFill="1" applyBorder="1"/>
    <xf numFmtId="43" fontId="131" fillId="0" borderId="0" xfId="1" applyFont="1" applyBorder="1" applyAlignment="1">
      <alignment horizontal="center"/>
    </xf>
    <xf numFmtId="167" fontId="190" fillId="0" borderId="9" xfId="30" applyFont="1" applyBorder="1" applyAlignment="1">
      <alignment horizontal="right"/>
    </xf>
    <xf numFmtId="167" fontId="190" fillId="0" borderId="2" xfId="30" applyFont="1" applyBorder="1"/>
    <xf numFmtId="167" fontId="189" fillId="0" borderId="2" xfId="30" applyFont="1" applyBorder="1"/>
    <xf numFmtId="167" fontId="189" fillId="0" borderId="10" xfId="30" applyFont="1" applyBorder="1"/>
    <xf numFmtId="167" fontId="189" fillId="0" borderId="1" xfId="30" applyFont="1" applyBorder="1"/>
    <xf numFmtId="167" fontId="98" fillId="0" borderId="0" xfId="4" applyFont="1" applyAlignment="1">
      <alignment horizontal="justify" vertical="top" wrapText="1"/>
    </xf>
    <xf numFmtId="10" fontId="98" fillId="0" borderId="0" xfId="5" applyNumberFormat="1" applyFont="1" applyFill="1" applyAlignment="1">
      <alignment vertical="top"/>
    </xf>
    <xf numFmtId="10" fontId="101" fillId="0" borderId="0" xfId="5" applyNumberFormat="1" applyFont="1" applyFill="1" applyAlignment="1">
      <alignment vertical="top"/>
    </xf>
    <xf numFmtId="10" fontId="187" fillId="0" borderId="0" xfId="5" applyNumberFormat="1" applyFont="1" applyAlignment="1">
      <alignment vertical="top"/>
    </xf>
    <xf numFmtId="10" fontId="103" fillId="0" borderId="0" xfId="5" applyNumberFormat="1" applyFont="1" applyAlignment="1">
      <alignment vertical="top"/>
    </xf>
    <xf numFmtId="10" fontId="98" fillId="10" borderId="0" xfId="5" applyNumberFormat="1" applyFont="1" applyFill="1" applyAlignment="1"/>
    <xf numFmtId="10" fontId="101" fillId="10" borderId="0" xfId="5" applyNumberFormat="1" applyFont="1" applyFill="1" applyAlignment="1"/>
    <xf numFmtId="10" fontId="187" fillId="0" borderId="0" xfId="5" applyNumberFormat="1" applyFont="1" applyAlignment="1"/>
    <xf numFmtId="10" fontId="194" fillId="0" borderId="0" xfId="5" applyNumberFormat="1" applyFont="1" applyFill="1" applyAlignment="1">
      <alignment vertical="top"/>
    </xf>
    <xf numFmtId="10" fontId="195" fillId="0" borderId="0" xfId="5" applyNumberFormat="1" applyFont="1" applyFill="1" applyAlignment="1">
      <alignment vertical="top"/>
    </xf>
    <xf numFmtId="10" fontId="196" fillId="0" borderId="0" xfId="5" applyNumberFormat="1" applyFont="1" applyAlignment="1">
      <alignment vertical="top"/>
    </xf>
    <xf numFmtId="167" fontId="194" fillId="0" borderId="0" xfId="4" applyFont="1" applyFill="1" applyAlignment="1">
      <alignment horizontal="right" vertical="top"/>
    </xf>
    <xf numFmtId="170" fontId="98" fillId="10" borderId="0" xfId="4" applyNumberFormat="1" applyFont="1" applyFill="1"/>
    <xf numFmtId="170" fontId="98" fillId="10" borderId="0" xfId="4" applyNumberFormat="1" applyFont="1" applyFill="1" applyAlignment="1"/>
    <xf numFmtId="10" fontId="98" fillId="10" borderId="0" xfId="4" applyNumberFormat="1" applyFont="1" applyFill="1" applyAlignment="1">
      <alignment horizontal="right"/>
    </xf>
    <xf numFmtId="167" fontId="98" fillId="10" borderId="0" xfId="4" applyFont="1" applyFill="1" applyAlignment="1">
      <alignment vertical="top"/>
    </xf>
    <xf numFmtId="167" fontId="98" fillId="10" borderId="0" xfId="4" applyFont="1" applyFill="1" applyAlignment="1">
      <alignment horizontal="justify" vertical="top" wrapText="1"/>
    </xf>
    <xf numFmtId="172" fontId="158" fillId="16" borderId="1" xfId="44" applyNumberFormat="1" applyFont="1" applyFill="1" applyBorder="1" applyAlignment="1">
      <alignment horizontal="center"/>
    </xf>
    <xf numFmtId="172" fontId="158" fillId="16" borderId="2" xfId="44" applyNumberFormat="1" applyFont="1" applyFill="1" applyBorder="1" applyAlignment="1">
      <alignment horizontal="center" wrapText="1"/>
    </xf>
    <xf numFmtId="172" fontId="159" fillId="0" borderId="27" xfId="44" applyNumberFormat="1" applyFont="1" applyFill="1" applyBorder="1"/>
    <xf numFmtId="172" fontId="159" fillId="0" borderId="123" xfId="44" applyNumberFormat="1" applyFont="1" applyFill="1" applyBorder="1"/>
    <xf numFmtId="172" fontId="159" fillId="0" borderId="124" xfId="44" applyNumberFormat="1" applyFont="1" applyFill="1" applyBorder="1"/>
    <xf numFmtId="172" fontId="158" fillId="16" borderId="2" xfId="44" applyNumberFormat="1" applyFont="1" applyFill="1" applyBorder="1" applyAlignment="1">
      <alignment horizontal="center"/>
    </xf>
    <xf numFmtId="172" fontId="159" fillId="0" borderId="0" xfId="44" applyNumberFormat="1" applyFont="1" applyFill="1" applyBorder="1"/>
    <xf numFmtId="172" fontId="159" fillId="0" borderId="1" xfId="44" applyNumberFormat="1" applyFont="1" applyFill="1" applyBorder="1"/>
    <xf numFmtId="172" fontId="158" fillId="20" borderId="1" xfId="44" applyNumberFormat="1" applyFont="1" applyFill="1" applyBorder="1" applyAlignment="1">
      <alignment horizontal="center"/>
    </xf>
    <xf numFmtId="172" fontId="158" fillId="20" borderId="2" xfId="44" applyNumberFormat="1" applyFont="1" applyFill="1" applyBorder="1" applyAlignment="1">
      <alignment horizontal="center"/>
    </xf>
    <xf numFmtId="172" fontId="158" fillId="16" borderId="125" xfId="44" applyNumberFormat="1" applyFont="1" applyFill="1" applyBorder="1" applyAlignment="1">
      <alignment horizontal="center"/>
    </xf>
    <xf numFmtId="172" fontId="158" fillId="16" borderId="126" xfId="44" applyNumberFormat="1" applyFont="1" applyFill="1" applyBorder="1" applyAlignment="1">
      <alignment horizontal="center" wrapText="1"/>
    </xf>
    <xf numFmtId="172" fontId="159" fillId="0" borderId="127" xfId="44" applyNumberFormat="1" applyFont="1" applyFill="1" applyBorder="1"/>
    <xf numFmtId="172" fontId="159" fillId="0" borderId="128" xfId="44" applyNumberFormat="1" applyFont="1" applyFill="1" applyBorder="1"/>
    <xf numFmtId="172" fontId="159" fillId="0" borderId="129" xfId="44" applyNumberFormat="1" applyFont="1" applyFill="1" applyBorder="1"/>
    <xf numFmtId="172" fontId="159" fillId="0" borderId="130" xfId="44" applyNumberFormat="1" applyFont="1" applyFill="1" applyBorder="1"/>
    <xf numFmtId="172" fontId="158" fillId="16" borderId="126" xfId="44" applyNumberFormat="1" applyFont="1" applyFill="1" applyBorder="1" applyAlignment="1">
      <alignment horizontal="center"/>
    </xf>
    <xf numFmtId="172" fontId="159" fillId="0" borderId="131" xfId="44" applyNumberFormat="1" applyFont="1" applyFill="1" applyBorder="1"/>
    <xf numFmtId="172" fontId="159" fillId="0" borderId="125" xfId="44" applyNumberFormat="1" applyFont="1" applyFill="1" applyBorder="1"/>
    <xf numFmtId="172" fontId="158" fillId="20" borderId="125" xfId="44" applyNumberFormat="1" applyFont="1" applyFill="1" applyBorder="1" applyAlignment="1">
      <alignment horizontal="center"/>
    </xf>
    <xf numFmtId="172" fontId="158" fillId="20" borderId="126" xfId="44" applyNumberFormat="1" applyFont="1" applyFill="1" applyBorder="1" applyAlignment="1">
      <alignment horizontal="center"/>
    </xf>
    <xf numFmtId="172" fontId="159" fillId="0" borderId="122" xfId="44" applyNumberFormat="1" applyFont="1" applyFill="1" applyBorder="1"/>
    <xf numFmtId="167" fontId="98" fillId="0" borderId="0" xfId="4" applyFont="1" applyAlignment="1">
      <alignment vertical="top" wrapText="1"/>
    </xf>
    <xf numFmtId="167" fontId="98" fillId="0" borderId="0" xfId="4" applyFont="1" applyAlignment="1">
      <alignment horizontal="left" wrapText="1"/>
    </xf>
    <xf numFmtId="167" fontId="99" fillId="0" borderId="0" xfId="4" applyNumberFormat="1" applyFont="1" applyAlignment="1">
      <alignment horizontal="left"/>
    </xf>
    <xf numFmtId="167" fontId="100" fillId="0" borderId="0" xfId="4" applyFont="1" applyAlignment="1">
      <alignment horizontal="center"/>
    </xf>
    <xf numFmtId="167" fontId="98" fillId="0" borderId="0" xfId="4" applyFont="1" applyAlignment="1">
      <alignment horizontal="justify" vertical="top" wrapText="1"/>
    </xf>
    <xf numFmtId="167" fontId="98" fillId="0" borderId="0" xfId="4" applyFont="1" applyAlignment="1">
      <alignment horizontal="center" vertical="top" wrapText="1"/>
    </xf>
    <xf numFmtId="170" fontId="98" fillId="0" borderId="0" xfId="4" applyNumberFormat="1" applyFont="1" applyFill="1" applyAlignment="1">
      <alignment horizontal="right"/>
    </xf>
    <xf numFmtId="167" fontId="2" fillId="0" borderId="0" xfId="0" applyFont="1" applyAlignment="1">
      <alignment horizontal="right" wrapText="1"/>
    </xf>
    <xf numFmtId="167" fontId="14" fillId="4" borderId="0" xfId="0" applyFont="1" applyFill="1" applyAlignment="1">
      <alignment horizontal="center"/>
    </xf>
    <xf numFmtId="0" fontId="31" fillId="5" borderId="5" xfId="29" applyNumberFormat="1" applyFont="1" applyFill="1" applyBorder="1" applyAlignment="1">
      <alignment horizontal="left" vertical="center"/>
    </xf>
    <xf numFmtId="0" fontId="31" fillId="5" borderId="1" xfId="29" applyNumberFormat="1" applyFont="1" applyFill="1" applyBorder="1" applyAlignment="1">
      <alignment horizontal="left" vertical="center"/>
    </xf>
    <xf numFmtId="0" fontId="31" fillId="5" borderId="9" xfId="29" applyNumberFormat="1" applyFont="1" applyFill="1" applyBorder="1" applyAlignment="1">
      <alignment horizontal="left" vertical="center"/>
    </xf>
    <xf numFmtId="0" fontId="31" fillId="5" borderId="2" xfId="29" applyNumberFormat="1" applyFont="1" applyFill="1" applyBorder="1" applyAlignment="1">
      <alignment horizontal="left" vertical="center"/>
    </xf>
    <xf numFmtId="0" fontId="31" fillId="3" borderId="5" xfId="29" applyNumberFormat="1" applyFont="1" applyFill="1" applyBorder="1" applyAlignment="1">
      <alignment horizontal="left" vertical="center"/>
    </xf>
    <xf numFmtId="0" fontId="31" fillId="3" borderId="1" xfId="29" applyNumberFormat="1" applyFont="1" applyFill="1" applyBorder="1" applyAlignment="1">
      <alignment horizontal="left" vertical="center"/>
    </xf>
    <xf numFmtId="0" fontId="31" fillId="3" borderId="9" xfId="29" applyNumberFormat="1" applyFont="1" applyFill="1" applyBorder="1" applyAlignment="1">
      <alignment horizontal="left" vertical="center"/>
    </xf>
    <xf numFmtId="0" fontId="31" fillId="3" borderId="2" xfId="29" applyNumberFormat="1" applyFont="1" applyFill="1" applyBorder="1" applyAlignment="1">
      <alignment horizontal="left" vertical="center"/>
    </xf>
    <xf numFmtId="43" fontId="144" fillId="17" borderId="0" xfId="1" applyFont="1" applyFill="1" applyAlignment="1">
      <alignment horizontal="center"/>
    </xf>
    <xf numFmtId="0" fontId="31" fillId="14" borderId="5" xfId="29" applyNumberFormat="1" applyFont="1" applyFill="1" applyBorder="1" applyAlignment="1">
      <alignment horizontal="left" vertical="center"/>
    </xf>
    <xf numFmtId="0" fontId="31" fillId="14" borderId="1" xfId="29" applyNumberFormat="1" applyFont="1" applyFill="1" applyBorder="1" applyAlignment="1">
      <alignment horizontal="left" vertical="center"/>
    </xf>
    <xf numFmtId="0" fontId="31" fillId="14" borderId="9" xfId="29" applyNumberFormat="1" applyFont="1" applyFill="1" applyBorder="1" applyAlignment="1">
      <alignment horizontal="left" vertical="center"/>
    </xf>
    <xf numFmtId="0" fontId="31" fillId="14" borderId="2" xfId="29" applyNumberFormat="1" applyFont="1" applyFill="1" applyBorder="1" applyAlignment="1">
      <alignment horizontal="left" vertical="center"/>
    </xf>
    <xf numFmtId="170" fontId="2" fillId="0" borderId="0" xfId="1" applyNumberFormat="1" applyFont="1" applyBorder="1" applyAlignment="1">
      <alignment horizontal="right"/>
    </xf>
    <xf numFmtId="170" fontId="0" fillId="0" borderId="0" xfId="1" applyNumberFormat="1" applyFont="1" applyBorder="1" applyAlignment="1">
      <alignment horizontal="right"/>
    </xf>
    <xf numFmtId="167" fontId="190" fillId="0" borderId="0" xfId="30" applyFont="1" applyAlignment="1">
      <alignment horizontal="center"/>
    </xf>
    <xf numFmtId="167" fontId="190" fillId="0" borderId="7" xfId="30" applyFont="1" applyBorder="1" applyAlignment="1">
      <alignment horizontal="center"/>
    </xf>
    <xf numFmtId="167" fontId="190" fillId="0" borderId="0" xfId="30" applyFont="1" applyBorder="1" applyAlignment="1">
      <alignment horizontal="center"/>
    </xf>
    <xf numFmtId="167" fontId="190" fillId="0" borderId="8" xfId="30" applyFont="1" applyBorder="1" applyAlignment="1">
      <alignment horizontal="center"/>
    </xf>
    <xf numFmtId="0" fontId="2" fillId="0" borderId="0" xfId="1" applyNumberFormat="1" applyFont="1" applyBorder="1" applyAlignment="1">
      <alignment horizontal="right" wrapText="1"/>
    </xf>
    <xf numFmtId="0" fontId="2" fillId="0" borderId="0" xfId="0" applyNumberFormat="1" applyFont="1" applyBorder="1" applyAlignment="1">
      <alignment horizontal="right" wrapText="1"/>
    </xf>
    <xf numFmtId="43" fontId="2" fillId="0" borderId="0" xfId="1" applyFont="1" applyAlignment="1">
      <alignment horizontal="right" wrapText="1"/>
    </xf>
    <xf numFmtId="43" fontId="17" fillId="0" borderId="0" xfId="1" applyFont="1" applyAlignment="1">
      <alignment horizontal="right" wrapText="1"/>
    </xf>
    <xf numFmtId="43" fontId="14" fillId="4" borderId="0" xfId="1" applyFont="1" applyFill="1" applyAlignment="1">
      <alignment horizontal="center"/>
    </xf>
    <xf numFmtId="43" fontId="23" fillId="0" borderId="0" xfId="1" applyFont="1" applyAlignment="1">
      <alignment horizontal="right" wrapText="1"/>
    </xf>
    <xf numFmtId="43" fontId="14" fillId="19" borderId="0" xfId="1" applyFont="1" applyFill="1" applyAlignment="1">
      <alignment horizontal="center"/>
    </xf>
    <xf numFmtId="0" fontId="28" fillId="0" borderId="0" xfId="0" applyNumberFormat="1" applyFont="1" applyBorder="1" applyAlignment="1">
      <alignment horizontal="right" wrapText="1"/>
    </xf>
    <xf numFmtId="172" fontId="35" fillId="0" borderId="2" xfId="44" applyNumberFormat="1" applyFont="1" applyFill="1" applyBorder="1" applyAlignment="1">
      <alignment horizontal="center" vertical="center"/>
    </xf>
    <xf numFmtId="49" fontId="2" fillId="0" borderId="0" xfId="0" applyNumberFormat="1" applyFont="1" applyBorder="1" applyAlignment="1">
      <alignment horizontal="right" wrapText="1"/>
    </xf>
  </cellXfs>
  <cellStyles count="49">
    <cellStyle name="Comma" xfId="1" builtinId="3"/>
    <cellStyle name="Comma 2" xfId="8"/>
    <cellStyle name="Comma 2 2" xfId="10"/>
    <cellStyle name="Comma 2 3" xfId="34"/>
    <cellStyle name="Comma 3" xfId="11"/>
    <cellStyle name="Comma 3 2" xfId="12"/>
    <cellStyle name="Comma 3 3" xfId="35"/>
    <cellStyle name="Comma 4" xfId="13"/>
    <cellStyle name="Comma 4 2" xfId="14"/>
    <cellStyle name="Comma 5" xfId="15"/>
    <cellStyle name="Comma 6" xfId="33"/>
    <cellStyle name="Currency" xfId="44" builtinId="4"/>
    <cellStyle name="Currency 2" xfId="16"/>
    <cellStyle name="Currency 2 2" xfId="17"/>
    <cellStyle name="Currency 2 3" xfId="36"/>
    <cellStyle name="Currency 3" xfId="18"/>
    <cellStyle name="Currency 3 2" xfId="19"/>
    <cellStyle name="Currency 3 2 2" xfId="43"/>
    <cellStyle name="Currency 4" xfId="32"/>
    <cellStyle name="Currency 4 2" xfId="37"/>
    <cellStyle name="Currency 5" xfId="38"/>
    <cellStyle name="Currency 6" xfId="39"/>
    <cellStyle name="Currency 7" xfId="40"/>
    <cellStyle name="Normal" xfId="0" builtinId="0"/>
    <cellStyle name="Normal 10" xfId="47"/>
    <cellStyle name="Normal 11" xfId="48"/>
    <cellStyle name="Normal 2" xfId="6"/>
    <cellStyle name="Normal 2 2" xfId="29"/>
    <cellStyle name="Normal 2 2 2" xfId="42"/>
    <cellStyle name="Normal 2 3" xfId="41"/>
    <cellStyle name="Normal 20" xfId="3"/>
    <cellStyle name="Normal 3" xfId="20"/>
    <cellStyle name="Normal 3 2" xfId="21"/>
    <cellStyle name="Normal 3 3" xfId="30"/>
    <cellStyle name="Normal 4" xfId="4"/>
    <cellStyle name="Normal 4 2" xfId="7"/>
    <cellStyle name="Normal 5" xfId="22"/>
    <cellStyle name="Normal 6" xfId="28"/>
    <cellStyle name="Normal 7" xfId="31"/>
    <cellStyle name="Normal 8" xfId="45"/>
    <cellStyle name="Normal 9" xfId="46"/>
    <cellStyle name="Percent" xfId="2" builtinId="5"/>
    <cellStyle name="Percent 2" xfId="5"/>
    <cellStyle name="Percent 2 2" xfId="23"/>
    <cellStyle name="Percent 3" xfId="24"/>
    <cellStyle name="Percent 3 2" xfId="25"/>
    <cellStyle name="Percent 4" xfId="9"/>
    <cellStyle name="Percent 4 2" xfId="26"/>
    <cellStyle name="Percent 5" xfId="27"/>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CCFFCC"/>
      <color rgb="FF3333FF"/>
      <color rgb="FF008000"/>
      <color rgb="FFFFFF99"/>
      <color rgb="FFFFCCFF"/>
      <color rgb="FFFF0000"/>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104557</xdr:rowOff>
    </xdr:from>
    <xdr:to>
      <xdr:col>11</xdr:col>
      <xdr:colOff>598543</xdr:colOff>
      <xdr:row>47</xdr:row>
      <xdr:rowOff>123607</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557"/>
          <a:ext cx="6519918" cy="897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24</xdr:col>
      <xdr:colOff>542925</xdr:colOff>
      <xdr:row>73</xdr:row>
      <xdr:rowOff>28575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90500"/>
          <a:ext cx="16259175" cy="1374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cde.ca.gov/fg/aa/ca/" TargetMode="External"/><Relationship Id="rId2" Type="http://schemas.openxmlformats.org/officeDocument/2006/relationships/hyperlink" Target="http://www.cde.ca.gov/fg/aa/ca/" TargetMode="External"/><Relationship Id="rId1" Type="http://schemas.openxmlformats.org/officeDocument/2006/relationships/hyperlink" Target="http://www.cde.ca.gov/fg/aa/ca/" TargetMode="External"/><Relationship Id="rId6" Type="http://schemas.openxmlformats.org/officeDocument/2006/relationships/printerSettings" Target="../printerSettings/printerSettings10.bin"/><Relationship Id="rId5" Type="http://schemas.openxmlformats.org/officeDocument/2006/relationships/hyperlink" Target="http://www.cde.ca.gov/fg/aa/ca/" TargetMode="External"/><Relationship Id="rId4" Type="http://schemas.openxmlformats.org/officeDocument/2006/relationships/hyperlink" Target="http://www.cde.ca.gov/fg/aa/ca/"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N88"/>
  <sheetViews>
    <sheetView showGridLines="0" tabSelected="1" zoomScaleNormal="100" workbookViewId="0"/>
  </sheetViews>
  <sheetFormatPr defaultColWidth="0" defaultRowHeight="15.75" zeroHeight="1" x14ac:dyDescent="0.25"/>
  <cols>
    <col min="1" max="1" width="3.140625" style="476" customWidth="1"/>
    <col min="2" max="2" width="3.28515625" style="482" customWidth="1"/>
    <col min="3" max="3" width="12" style="482" customWidth="1"/>
    <col min="4" max="4" width="14.140625" style="479" customWidth="1"/>
    <col min="5" max="5" width="12.42578125" style="479" customWidth="1"/>
    <col min="6" max="6" width="13.5703125" style="479" customWidth="1"/>
    <col min="7" max="11" width="12.42578125" style="479" customWidth="1"/>
    <col min="12" max="12" width="9.28515625" style="479" customWidth="1"/>
    <col min="13" max="13" width="6.28515625" style="479" customWidth="1"/>
    <col min="14" max="14" width="3.140625" style="476" customWidth="1"/>
    <col min="15" max="16384" width="4.28515625" style="479" hidden="1"/>
  </cols>
  <sheetData>
    <row r="1" spans="1:14" x14ac:dyDescent="0.25">
      <c r="B1" s="477" t="s">
        <v>1030</v>
      </c>
      <c r="C1" s="477"/>
      <c r="D1" s="478"/>
      <c r="E1" s="478"/>
    </row>
    <row r="2" spans="1:14" x14ac:dyDescent="0.25">
      <c r="B2" s="2182" t="s">
        <v>1031</v>
      </c>
      <c r="C2" s="2182"/>
      <c r="D2" s="2182"/>
      <c r="E2" s="2182"/>
    </row>
    <row r="3" spans="1:14" x14ac:dyDescent="0.25">
      <c r="A3" s="480"/>
      <c r="B3" s="2183" t="s">
        <v>140</v>
      </c>
      <c r="C3" s="2183"/>
      <c r="D3" s="2183"/>
      <c r="E3" s="2183"/>
      <c r="F3" s="2183"/>
      <c r="G3" s="2183"/>
      <c r="H3" s="2183"/>
      <c r="I3" s="2183"/>
      <c r="J3" s="2183"/>
      <c r="K3" s="2183"/>
      <c r="L3" s="2183"/>
      <c r="M3" s="2183"/>
      <c r="N3" s="480"/>
    </row>
    <row r="4" spans="1:14" x14ac:dyDescent="0.25"/>
    <row r="5" spans="1:14" ht="153" customHeight="1" x14ac:dyDescent="0.25">
      <c r="A5" s="481"/>
      <c r="C5" s="2184" t="s">
        <v>1058</v>
      </c>
      <c r="D5" s="2184"/>
      <c r="E5" s="2184"/>
      <c r="F5" s="2184"/>
      <c r="G5" s="2184"/>
      <c r="H5" s="2184"/>
      <c r="I5" s="2184"/>
      <c r="J5" s="2184"/>
      <c r="K5" s="2184"/>
      <c r="L5" s="2184"/>
      <c r="M5" s="2184"/>
      <c r="N5" s="481"/>
    </row>
    <row r="6" spans="1:14" x14ac:dyDescent="0.25">
      <c r="A6" s="481"/>
      <c r="C6" s="2156" t="s">
        <v>1062</v>
      </c>
      <c r="D6" s="2156"/>
      <c r="E6" s="2156"/>
      <c r="F6" s="2156"/>
      <c r="G6" s="2157"/>
      <c r="H6" s="2141"/>
      <c r="I6" s="2141"/>
      <c r="J6" s="2141"/>
      <c r="K6" s="2141"/>
      <c r="L6" s="2141"/>
      <c r="M6" s="2141"/>
      <c r="N6" s="481"/>
    </row>
    <row r="7" spans="1:14" x14ac:dyDescent="0.25">
      <c r="A7" s="481"/>
      <c r="C7" s="2141"/>
      <c r="D7" s="2141"/>
      <c r="E7" s="2141"/>
      <c r="F7" s="2141"/>
      <c r="G7" s="2141"/>
      <c r="H7" s="2141"/>
      <c r="I7" s="2141"/>
      <c r="J7" s="2141"/>
      <c r="K7" s="2141"/>
      <c r="L7" s="2141"/>
      <c r="M7" s="2141"/>
      <c r="N7" s="481"/>
    </row>
    <row r="8" spans="1:14" s="484" customFormat="1" x14ac:dyDescent="0.25">
      <c r="A8" s="476"/>
      <c r="B8" s="483" t="s">
        <v>142</v>
      </c>
      <c r="C8" s="483"/>
      <c r="N8" s="476"/>
    </row>
    <row r="9" spans="1:14" s="476" customFormat="1" x14ac:dyDescent="0.25">
      <c r="B9" s="532"/>
      <c r="C9" s="532"/>
    </row>
    <row r="10" spans="1:14" s="485" customFormat="1" x14ac:dyDescent="0.25">
      <c r="C10" s="486" t="s">
        <v>885</v>
      </c>
      <c r="E10" s="487"/>
      <c r="F10" s="487"/>
      <c r="G10" s="487"/>
      <c r="H10" s="487"/>
    </row>
    <row r="11" spans="1:14" s="485" customFormat="1" x14ac:dyDescent="0.25">
      <c r="C11" s="486"/>
      <c r="E11" s="487"/>
      <c r="F11" s="487"/>
      <c r="G11" s="487"/>
      <c r="H11" s="487"/>
    </row>
    <row r="12" spans="1:14" ht="29.25" customHeight="1" x14ac:dyDescent="0.25">
      <c r="C12" s="2181" t="s">
        <v>1059</v>
      </c>
      <c r="D12" s="2181"/>
      <c r="E12" s="2181"/>
      <c r="F12" s="2181"/>
      <c r="G12" s="2181"/>
      <c r="H12" s="2181"/>
      <c r="I12" s="2181"/>
      <c r="J12" s="2181"/>
      <c r="K12" s="2181"/>
      <c r="L12" s="2181"/>
      <c r="M12" s="2181"/>
    </row>
    <row r="13" spans="1:14" ht="9.75" customHeight="1" x14ac:dyDescent="0.25"/>
    <row r="14" spans="1:14" s="478" customFormat="1" x14ac:dyDescent="0.25">
      <c r="A14" s="488"/>
      <c r="B14" s="477"/>
      <c r="D14" s="477"/>
      <c r="E14" s="489" t="s">
        <v>55</v>
      </c>
      <c r="F14" s="489" t="str">
        <f t="shared" ref="F14:K14" si="0">LEFT(E14,4)+1&amp;"-"&amp;RIGHT(E14,4)+1</f>
        <v>2017-2018</v>
      </c>
      <c r="G14" s="489" t="str">
        <f t="shared" si="0"/>
        <v>2018-2019</v>
      </c>
      <c r="H14" s="489" t="str">
        <f t="shared" si="0"/>
        <v>2019-2020</v>
      </c>
      <c r="I14" s="2032" t="str">
        <f t="shared" si="0"/>
        <v>2020-2021</v>
      </c>
      <c r="J14" s="490" t="str">
        <f t="shared" si="0"/>
        <v>2021-2022</v>
      </c>
      <c r="K14" s="490" t="str">
        <f t="shared" si="0"/>
        <v>2022-2023</v>
      </c>
      <c r="N14" s="488"/>
    </row>
    <row r="15" spans="1:14" s="512" customFormat="1" ht="21" customHeight="1" x14ac:dyDescent="0.25">
      <c r="A15" s="525"/>
      <c r="C15" s="508"/>
      <c r="D15" s="497" t="s">
        <v>143</v>
      </c>
      <c r="E15" s="2142">
        <v>0</v>
      </c>
      <c r="F15" s="2143">
        <v>1.5599999999999999E-2</v>
      </c>
      <c r="G15" s="2143">
        <v>2.1499999999999998E-2</v>
      </c>
      <c r="H15" s="2143">
        <v>2.35E-2</v>
      </c>
      <c r="I15" s="2144">
        <v>2.5700000000000001E-2</v>
      </c>
      <c r="J15" s="2145">
        <f>+I15</f>
        <v>2.5700000000000001E-2</v>
      </c>
      <c r="K15" s="2145">
        <f>+J15</f>
        <v>2.5700000000000001E-2</v>
      </c>
      <c r="N15" s="525"/>
    </row>
    <row r="16" spans="1:14" s="494" customFormat="1" x14ac:dyDescent="0.25">
      <c r="A16" s="493"/>
      <c r="D16" s="491" t="s">
        <v>144</v>
      </c>
      <c r="E16" s="2146">
        <v>0.56076799799999999</v>
      </c>
      <c r="F16" s="2147">
        <v>0.43190000000000001</v>
      </c>
      <c r="G16" s="2147">
        <v>0.66120000000000001</v>
      </c>
      <c r="H16" s="2147">
        <v>0.6492</v>
      </c>
      <c r="I16" s="2148">
        <v>1</v>
      </c>
      <c r="J16" s="495">
        <f>+I16</f>
        <v>1</v>
      </c>
      <c r="K16" s="495">
        <f>+J16</f>
        <v>1</v>
      </c>
      <c r="N16" s="493"/>
    </row>
    <row r="17" spans="1:14" s="512" customFormat="1" ht="22.5" customHeight="1" x14ac:dyDescent="0.25">
      <c r="A17" s="525"/>
      <c r="D17" s="2152" t="s">
        <v>1061</v>
      </c>
      <c r="E17" s="2149">
        <v>0.55030000000000001</v>
      </c>
      <c r="F17" s="2150">
        <v>0.43969999999999998</v>
      </c>
      <c r="G17" s="2150">
        <v>0.71530000000000005</v>
      </c>
      <c r="H17" s="2150">
        <v>0.73509999999999998</v>
      </c>
      <c r="I17" s="2151">
        <v>1</v>
      </c>
      <c r="J17" s="2145"/>
      <c r="K17" s="2145"/>
      <c r="N17" s="525"/>
    </row>
    <row r="18" spans="1:14" x14ac:dyDescent="0.25">
      <c r="D18" s="491" t="s">
        <v>145</v>
      </c>
      <c r="E18" s="2031">
        <v>0.5494</v>
      </c>
      <c r="F18" s="2031">
        <v>0.54920000000000002</v>
      </c>
      <c r="G18" s="2031">
        <v>0.54579999999999995</v>
      </c>
      <c r="H18" s="2031">
        <v>0.54700000000000004</v>
      </c>
      <c r="I18" s="2033">
        <v>0.54779999999999995</v>
      </c>
      <c r="J18" s="492">
        <v>0.54910000000000003</v>
      </c>
      <c r="K18" s="492">
        <v>0.55020000000000002</v>
      </c>
    </row>
    <row r="19" spans="1:14" x14ac:dyDescent="0.25">
      <c r="B19" s="496"/>
      <c r="D19" s="120" t="s">
        <v>146</v>
      </c>
      <c r="E19" s="498"/>
      <c r="F19" s="498"/>
      <c r="G19" s="498"/>
      <c r="H19" s="498"/>
      <c r="I19" s="498"/>
    </row>
    <row r="20" spans="1:14" x14ac:dyDescent="0.25">
      <c r="B20" s="499"/>
      <c r="C20" s="499"/>
      <c r="E20" s="498"/>
      <c r="F20" s="498"/>
      <c r="G20" s="498"/>
      <c r="H20" s="498"/>
      <c r="I20" s="498"/>
    </row>
    <row r="21" spans="1:14" ht="14.25" customHeight="1" x14ac:dyDescent="0.25">
      <c r="B21" s="477"/>
      <c r="C21" s="477"/>
      <c r="E21" s="498"/>
      <c r="F21" s="498"/>
      <c r="G21" s="500"/>
      <c r="H21" s="500"/>
      <c r="I21" s="500"/>
    </row>
    <row r="22" spans="1:14" s="484" customFormat="1" ht="14.25" customHeight="1" x14ac:dyDescent="0.25">
      <c r="A22" s="476"/>
      <c r="B22" s="483" t="s">
        <v>147</v>
      </c>
      <c r="C22" s="483"/>
      <c r="E22" s="501"/>
      <c r="F22" s="501"/>
      <c r="G22" s="502"/>
      <c r="H22" s="502"/>
      <c r="I22" s="502"/>
      <c r="N22" s="476"/>
    </row>
    <row r="23" spans="1:14" s="476" customFormat="1" ht="14.25" customHeight="1" x14ac:dyDescent="0.25">
      <c r="B23" s="532"/>
      <c r="C23" s="532"/>
      <c r="E23" s="534"/>
      <c r="F23" s="534"/>
      <c r="G23" s="500"/>
      <c r="H23" s="500"/>
      <c r="I23" s="500"/>
    </row>
    <row r="24" spans="1:14" x14ac:dyDescent="0.25">
      <c r="A24" s="503"/>
      <c r="B24" s="479"/>
      <c r="C24" s="479"/>
      <c r="D24" s="489" t="s">
        <v>148</v>
      </c>
      <c r="E24" s="489" t="str">
        <f t="shared" ref="E24:M24" si="1">LEFT(D24,4)+1&amp;"-"&amp;RIGHT(D24,4)+1</f>
        <v>2014-2015</v>
      </c>
      <c r="F24" s="489" t="str">
        <f t="shared" si="1"/>
        <v>2015-2016</v>
      </c>
      <c r="G24" s="489" t="str">
        <f t="shared" si="1"/>
        <v>2016-2017</v>
      </c>
      <c r="H24" s="489" t="str">
        <f t="shared" si="1"/>
        <v>2017-2018</v>
      </c>
      <c r="I24" s="489" t="str">
        <f t="shared" si="1"/>
        <v>2018-2019</v>
      </c>
      <c r="J24" s="489" t="str">
        <f t="shared" si="1"/>
        <v>2019-2020</v>
      </c>
      <c r="K24" s="490" t="str">
        <f t="shared" si="1"/>
        <v>2020-2021</v>
      </c>
      <c r="L24" s="490" t="str">
        <f t="shared" si="1"/>
        <v>2021-2022</v>
      </c>
      <c r="M24" s="490" t="str">
        <f t="shared" si="1"/>
        <v>2022-2023</v>
      </c>
      <c r="N24" s="503"/>
    </row>
    <row r="25" spans="1:14" ht="14.25" customHeight="1" x14ac:dyDescent="0.25">
      <c r="A25" s="504"/>
      <c r="C25" s="491" t="s">
        <v>149</v>
      </c>
      <c r="D25" s="505">
        <v>8178</v>
      </c>
      <c r="E25" s="505">
        <v>8283</v>
      </c>
      <c r="F25" s="505">
        <v>8190</v>
      </c>
      <c r="G25" s="504">
        <v>8102</v>
      </c>
      <c r="H25" s="504">
        <v>8014</v>
      </c>
      <c r="I25" s="504">
        <v>8000</v>
      </c>
      <c r="J25" s="504">
        <v>7965</v>
      </c>
      <c r="K25" s="2029">
        <v>7990</v>
      </c>
      <c r="L25" s="506">
        <v>8077</v>
      </c>
      <c r="M25" s="506">
        <v>8185</v>
      </c>
      <c r="N25" s="504"/>
    </row>
    <row r="26" spans="1:14" s="512" customFormat="1" ht="28.5" customHeight="1" x14ac:dyDescent="0.25">
      <c r="A26" s="507"/>
      <c r="B26" s="508"/>
      <c r="C26" s="509" t="s">
        <v>150</v>
      </c>
      <c r="D26" s="510">
        <v>-14</v>
      </c>
      <c r="E26" s="510">
        <f t="shared" ref="E26:J26" si="2">+E25-D25</f>
        <v>105</v>
      </c>
      <c r="F26" s="510">
        <f t="shared" si="2"/>
        <v>-93</v>
      </c>
      <c r="G26" s="507">
        <f t="shared" si="2"/>
        <v>-88</v>
      </c>
      <c r="H26" s="507">
        <f t="shared" si="2"/>
        <v>-88</v>
      </c>
      <c r="I26" s="507">
        <f t="shared" si="2"/>
        <v>-14</v>
      </c>
      <c r="J26" s="507">
        <f t="shared" si="2"/>
        <v>-35</v>
      </c>
      <c r="K26" s="2030">
        <f t="shared" ref="K26:M26" si="3">+K25-J25</f>
        <v>25</v>
      </c>
      <c r="L26" s="511">
        <f t="shared" si="3"/>
        <v>87</v>
      </c>
      <c r="M26" s="511">
        <f t="shared" si="3"/>
        <v>108</v>
      </c>
      <c r="N26" s="507"/>
    </row>
    <row r="27" spans="1:14" ht="31.5" customHeight="1" x14ac:dyDescent="0.25">
      <c r="A27" s="504"/>
      <c r="C27" s="491" t="s">
        <v>151</v>
      </c>
      <c r="D27" s="505">
        <v>7854.67</v>
      </c>
      <c r="E27" s="505">
        <v>7958.33</v>
      </c>
      <c r="F27" s="505">
        <v>7865.44</v>
      </c>
      <c r="G27" s="504">
        <v>7760.61</v>
      </c>
      <c r="H27" s="504">
        <v>7690.87</v>
      </c>
      <c r="I27" s="504">
        <v>7677.44</v>
      </c>
      <c r="J27" s="504">
        <v>7643.85</v>
      </c>
      <c r="K27" s="2029">
        <v>7674.72</v>
      </c>
      <c r="L27" s="506">
        <v>7758.04</v>
      </c>
      <c r="M27" s="506">
        <v>7862.53</v>
      </c>
      <c r="N27" s="504"/>
    </row>
    <row r="28" spans="1:14" s="512" customFormat="1" ht="28.5" customHeight="1" x14ac:dyDescent="0.25">
      <c r="A28" s="507"/>
      <c r="B28" s="508"/>
      <c r="C28" s="509" t="s">
        <v>150</v>
      </c>
      <c r="D28" s="510">
        <v>-22.54</v>
      </c>
      <c r="E28" s="510">
        <f t="shared" ref="E28:M28" si="4">+E27-D27</f>
        <v>103.65999999999985</v>
      </c>
      <c r="F28" s="510">
        <f t="shared" si="4"/>
        <v>-92.890000000000327</v>
      </c>
      <c r="G28" s="507">
        <f t="shared" si="4"/>
        <v>-104.82999999999993</v>
      </c>
      <c r="H28" s="507">
        <f t="shared" si="4"/>
        <v>-69.739999999999782</v>
      </c>
      <c r="I28" s="507">
        <f t="shared" si="4"/>
        <v>-13.430000000000291</v>
      </c>
      <c r="J28" s="507">
        <f t="shared" si="4"/>
        <v>-33.589999999999236</v>
      </c>
      <c r="K28" s="2030">
        <f t="shared" si="4"/>
        <v>30.869999999999891</v>
      </c>
      <c r="L28" s="511">
        <f t="shared" si="4"/>
        <v>83.319999999999709</v>
      </c>
      <c r="M28" s="511">
        <f t="shared" si="4"/>
        <v>104.48999999999978</v>
      </c>
      <c r="N28" s="507"/>
    </row>
    <row r="29" spans="1:14" ht="7.5" customHeight="1" x14ac:dyDescent="0.25">
      <c r="C29" s="491"/>
      <c r="E29" s="498"/>
      <c r="F29" s="498"/>
      <c r="G29" s="498"/>
      <c r="H29" s="498"/>
    </row>
    <row r="30" spans="1:14" ht="15.75" customHeight="1" x14ac:dyDescent="0.25">
      <c r="B30" s="2185" t="s">
        <v>152</v>
      </c>
      <c r="C30" s="2185"/>
      <c r="D30" s="2185"/>
      <c r="E30" s="1080">
        <v>0.95967917469219388</v>
      </c>
      <c r="F30" s="498"/>
      <c r="G30" s="498"/>
      <c r="H30" s="498"/>
    </row>
    <row r="31" spans="1:14" x14ac:dyDescent="0.25">
      <c r="B31" s="2185"/>
      <c r="C31" s="2185"/>
      <c r="D31" s="2185"/>
      <c r="E31" s="498"/>
      <c r="F31" s="498"/>
      <c r="G31" s="498"/>
      <c r="H31" s="498"/>
    </row>
    <row r="32" spans="1:14" s="484" customFormat="1" x14ac:dyDescent="0.25">
      <c r="A32" s="476"/>
      <c r="B32" s="483" t="s">
        <v>153</v>
      </c>
      <c r="C32" s="513"/>
      <c r="E32" s="501"/>
      <c r="F32" s="501"/>
      <c r="G32" s="501"/>
      <c r="H32" s="501"/>
      <c r="N32" s="476"/>
    </row>
    <row r="33" spans="1:14" s="476" customFormat="1" x14ac:dyDescent="0.25">
      <c r="B33" s="532"/>
      <c r="C33" s="533"/>
      <c r="E33" s="534"/>
      <c r="F33" s="534"/>
      <c r="G33" s="534"/>
      <c r="H33" s="534"/>
    </row>
    <row r="34" spans="1:14" ht="15" customHeight="1" x14ac:dyDescent="0.25">
      <c r="B34" s="479"/>
      <c r="C34" s="512" t="s">
        <v>154</v>
      </c>
      <c r="D34" s="512"/>
      <c r="E34" s="512"/>
      <c r="F34" s="512"/>
      <c r="G34" s="512"/>
      <c r="H34" s="512"/>
      <c r="I34" s="512"/>
      <c r="J34" s="512"/>
    </row>
    <row r="35" spans="1:14" ht="22.5" customHeight="1" x14ac:dyDescent="0.25">
      <c r="B35" s="508"/>
      <c r="C35" s="508"/>
      <c r="D35" s="489" t="str">
        <f>+G24</f>
        <v>2016-2017</v>
      </c>
      <c r="E35" s="489" t="str">
        <f>+H24</f>
        <v>2017-2018</v>
      </c>
      <c r="F35" s="489" t="str">
        <f>+I24</f>
        <v>2018-2019</v>
      </c>
      <c r="G35" s="508"/>
      <c r="H35" s="508"/>
      <c r="I35" s="508"/>
      <c r="J35" s="508"/>
    </row>
    <row r="36" spans="1:14" x14ac:dyDescent="0.25">
      <c r="B36" s="508"/>
      <c r="C36" s="497" t="s">
        <v>155</v>
      </c>
      <c r="D36" s="2019">
        <f>+'RS 3010'!D11+'RS 4035'!D10+'RS 4201'!D10+'RS 4203'!D10</f>
        <v>1102146.6500000001</v>
      </c>
      <c r="E36" s="2153">
        <f>+'RS 3010'!H11+'RS 4035'!H10+'RS 4201'!H10+'RS 4203'!H10</f>
        <v>750726.19</v>
      </c>
      <c r="F36" s="2153">
        <f>+RESTRICTED!H8</f>
        <v>300618.42000000004</v>
      </c>
      <c r="G36" s="2024" t="s">
        <v>388</v>
      </c>
      <c r="H36" s="2024"/>
      <c r="I36" s="508"/>
      <c r="J36" s="508"/>
    </row>
    <row r="37" spans="1:14" s="496" customFormat="1" ht="24.75" customHeight="1" x14ac:dyDescent="0.25">
      <c r="A37" s="485"/>
      <c r="B37" s="482"/>
      <c r="C37" s="491" t="s">
        <v>156</v>
      </c>
      <c r="D37" s="2025">
        <f>+UNRESTRICTED!F10</f>
        <v>1687542</v>
      </c>
      <c r="E37" s="2154">
        <f>+UNRESTRICTED!G10</f>
        <v>1143299</v>
      </c>
      <c r="F37" s="2025">
        <f>+UNRESTRICTED!H10</f>
        <v>0</v>
      </c>
      <c r="G37" s="485" t="s">
        <v>877</v>
      </c>
      <c r="H37" s="486"/>
      <c r="I37" s="482"/>
      <c r="J37" s="482"/>
      <c r="N37" s="485"/>
    </row>
    <row r="38" spans="1:14" x14ac:dyDescent="0.25">
      <c r="B38" s="508"/>
      <c r="C38" s="497"/>
      <c r="D38" s="2019">
        <f>+'RS 6230'!D9</f>
        <v>466860</v>
      </c>
      <c r="E38" s="2153">
        <f>+'RS 6230'!H9</f>
        <v>441384</v>
      </c>
      <c r="F38" s="2019">
        <v>0</v>
      </c>
      <c r="G38" s="2024" t="s">
        <v>389</v>
      </c>
      <c r="H38" s="2024"/>
      <c r="I38" s="508"/>
      <c r="J38" s="508"/>
    </row>
    <row r="39" spans="1:14" s="496" customFormat="1" ht="24.75" customHeight="1" x14ac:dyDescent="0.25">
      <c r="A39" s="485"/>
      <c r="B39" s="482"/>
      <c r="C39" s="491" t="s">
        <v>157</v>
      </c>
      <c r="D39" s="2026">
        <v>807000</v>
      </c>
      <c r="E39" s="2026">
        <v>0</v>
      </c>
      <c r="F39" s="2026">
        <v>0</v>
      </c>
      <c r="G39" s="486" t="s">
        <v>876</v>
      </c>
      <c r="H39" s="486"/>
      <c r="I39" s="482"/>
      <c r="J39" s="482"/>
      <c r="N39" s="485"/>
    </row>
    <row r="40" spans="1:14" s="496" customFormat="1" x14ac:dyDescent="0.25">
      <c r="A40" s="485"/>
      <c r="B40" s="482"/>
      <c r="C40" s="491"/>
      <c r="D40" s="2027">
        <v>69320</v>
      </c>
      <c r="E40" s="2026">
        <v>0</v>
      </c>
      <c r="F40" s="2026">
        <v>0</v>
      </c>
      <c r="G40" s="486" t="s">
        <v>883</v>
      </c>
      <c r="H40" s="486"/>
      <c r="I40" s="482"/>
      <c r="J40" s="482"/>
      <c r="N40" s="485"/>
    </row>
    <row r="41" spans="1:14" x14ac:dyDescent="0.25">
      <c r="B41" s="508"/>
      <c r="C41" s="508"/>
      <c r="D41" s="2028">
        <f>SUM(D36:D40)</f>
        <v>4132868.6500000004</v>
      </c>
      <c r="E41" s="2028">
        <f>SUM(E36:E40)</f>
        <v>2335409.19</v>
      </c>
      <c r="F41" s="2028">
        <f>SUM(F36:F40)</f>
        <v>300618.42000000004</v>
      </c>
      <c r="G41" s="2024"/>
      <c r="H41" s="2024"/>
      <c r="I41" s="508"/>
      <c r="J41" s="508"/>
    </row>
    <row r="42" spans="1:14" ht="7.5" customHeight="1" x14ac:dyDescent="0.25">
      <c r="B42" s="508"/>
      <c r="C42" s="508"/>
      <c r="D42" s="2019"/>
      <c r="E42" s="2019"/>
      <c r="F42" s="2024"/>
      <c r="G42" s="2024"/>
      <c r="H42" s="2024"/>
      <c r="I42" s="508"/>
      <c r="J42" s="508"/>
    </row>
    <row r="43" spans="1:14" x14ac:dyDescent="0.25">
      <c r="B43" s="508"/>
      <c r="C43" s="508"/>
      <c r="D43" s="2186">
        <f>+E41-D41</f>
        <v>-1797459.4600000004</v>
      </c>
      <c r="E43" s="2186"/>
      <c r="F43" s="2025">
        <f>+F41-E41</f>
        <v>-2034790.77</v>
      </c>
      <c r="G43" s="2025"/>
      <c r="H43" s="2024" t="s">
        <v>882</v>
      </c>
      <c r="I43" s="508"/>
      <c r="J43" s="508"/>
    </row>
    <row r="44" spans="1:14" ht="8.25" customHeight="1" x14ac:dyDescent="0.25">
      <c r="B44" s="508"/>
      <c r="C44" s="508"/>
      <c r="D44" s="514"/>
      <c r="E44" s="514"/>
      <c r="F44" s="508"/>
      <c r="G44" s="508"/>
      <c r="H44" s="508"/>
      <c r="I44" s="508"/>
      <c r="J44" s="508"/>
    </row>
    <row r="45" spans="1:14" ht="15" customHeight="1" x14ac:dyDescent="0.25">
      <c r="A45" s="515"/>
      <c r="B45" s="479"/>
      <c r="C45" s="2181" t="s">
        <v>695</v>
      </c>
      <c r="D45" s="2181"/>
      <c r="E45" s="2181"/>
      <c r="F45" s="2181"/>
      <c r="G45" s="2181"/>
      <c r="H45" s="2181"/>
      <c r="I45" s="2181"/>
      <c r="J45" s="2181"/>
      <c r="K45" s="2181"/>
      <c r="L45" s="2181"/>
      <c r="M45" s="2181"/>
      <c r="N45" s="515"/>
    </row>
    <row r="46" spans="1:14" ht="22.5" customHeight="1" x14ac:dyDescent="0.25">
      <c r="D46" s="489" t="str">
        <f t="shared" ref="D46:J46" si="5">+G24</f>
        <v>2016-2017</v>
      </c>
      <c r="E46" s="489" t="str">
        <f t="shared" si="5"/>
        <v>2017-2018</v>
      </c>
      <c r="F46" s="489" t="str">
        <f t="shared" si="5"/>
        <v>2018-2019</v>
      </c>
      <c r="G46" s="489" t="str">
        <f t="shared" si="5"/>
        <v>2019-2020</v>
      </c>
      <c r="H46" s="489" t="str">
        <f t="shared" si="5"/>
        <v>2020-2021</v>
      </c>
      <c r="I46" s="490" t="str">
        <f t="shared" si="5"/>
        <v>2021-2022</v>
      </c>
      <c r="J46" s="490" t="str">
        <f t="shared" si="5"/>
        <v>2022-2023</v>
      </c>
    </row>
    <row r="47" spans="1:14" x14ac:dyDescent="0.25">
      <c r="C47" s="491" t="s">
        <v>143</v>
      </c>
      <c r="D47" s="2022">
        <v>0</v>
      </c>
      <c r="E47" s="2023">
        <f>+F15</f>
        <v>1.5599999999999999E-2</v>
      </c>
      <c r="F47" s="2023">
        <f>+G15</f>
        <v>2.1499999999999998E-2</v>
      </c>
      <c r="G47" s="2023">
        <f>+H15</f>
        <v>2.35E-2</v>
      </c>
      <c r="H47" s="2023">
        <v>2.5700000000000001E-2</v>
      </c>
      <c r="I47" s="492">
        <f>+J15</f>
        <v>2.5700000000000001E-2</v>
      </c>
      <c r="J47" s="492">
        <f>+K15</f>
        <v>2.5700000000000001E-2</v>
      </c>
    </row>
    <row r="48" spans="1:14" x14ac:dyDescent="0.25">
      <c r="I48" s="516"/>
      <c r="J48" s="516"/>
    </row>
    <row r="49" spans="1:14" s="484" customFormat="1" x14ac:dyDescent="0.25">
      <c r="A49" s="476"/>
      <c r="B49" s="483" t="s">
        <v>158</v>
      </c>
      <c r="C49" s="483"/>
      <c r="N49" s="476"/>
    </row>
    <row r="50" spans="1:14" s="476" customFormat="1" hidden="1" x14ac:dyDescent="0.25">
      <c r="B50" s="532"/>
      <c r="C50" s="532"/>
    </row>
    <row r="51" spans="1:14" hidden="1" x14ac:dyDescent="0.25">
      <c r="B51" s="479"/>
      <c r="C51" s="482" t="s">
        <v>165</v>
      </c>
    </row>
    <row r="52" spans="1:14" hidden="1" x14ac:dyDescent="0.25">
      <c r="B52" s="479"/>
    </row>
    <row r="53" spans="1:14" hidden="1" x14ac:dyDescent="0.25">
      <c r="B53" s="479"/>
      <c r="C53" s="482" t="s">
        <v>159</v>
      </c>
    </row>
    <row r="54" spans="1:14" ht="21.75" customHeight="1" x14ac:dyDescent="0.25">
      <c r="C54" s="479"/>
      <c r="D54" s="489" t="str">
        <f t="shared" ref="D54:J54" si="6">+D46</f>
        <v>2016-2017</v>
      </c>
      <c r="E54" s="489" t="str">
        <f t="shared" si="6"/>
        <v>2017-2018</v>
      </c>
      <c r="F54" s="489" t="str">
        <f t="shared" si="6"/>
        <v>2018-2019</v>
      </c>
      <c r="G54" s="489" t="str">
        <f t="shared" si="6"/>
        <v>2019-2020</v>
      </c>
      <c r="H54" s="489" t="str">
        <f t="shared" si="6"/>
        <v>2020-2021</v>
      </c>
      <c r="I54" s="489" t="str">
        <f t="shared" si="6"/>
        <v>2021-2022</v>
      </c>
      <c r="J54" s="489" t="str">
        <f t="shared" si="6"/>
        <v>2022-2023</v>
      </c>
      <c r="K54" s="489" t="s">
        <v>415</v>
      </c>
    </row>
    <row r="55" spans="1:14" x14ac:dyDescent="0.25">
      <c r="A55" s="517"/>
      <c r="C55" s="518" t="s">
        <v>76</v>
      </c>
      <c r="D55" s="2012">
        <v>0.1258</v>
      </c>
      <c r="E55" s="2013">
        <v>0.14430000000000001</v>
      </c>
      <c r="F55" s="2012">
        <v>0.1628</v>
      </c>
      <c r="G55" s="2012">
        <v>0.18129999999999999</v>
      </c>
      <c r="H55" s="2012">
        <v>0.191</v>
      </c>
      <c r="I55" s="2012">
        <f>+H55</f>
        <v>0.191</v>
      </c>
      <c r="J55" s="2012">
        <f>+I55</f>
        <v>0.191</v>
      </c>
      <c r="K55" s="2012">
        <f>+J55</f>
        <v>0.191</v>
      </c>
      <c r="L55" s="519"/>
      <c r="M55" s="520"/>
      <c r="N55" s="517"/>
    </row>
    <row r="56" spans="1:14" x14ac:dyDescent="0.25">
      <c r="A56" s="517"/>
      <c r="C56" s="518" t="s">
        <v>77</v>
      </c>
      <c r="D56" s="2014">
        <v>0.13888</v>
      </c>
      <c r="E56" s="2015">
        <v>0.15531</v>
      </c>
      <c r="F56" s="2016">
        <v>0.18099999999999999</v>
      </c>
      <c r="G56" s="2016">
        <v>0.20799999999999999</v>
      </c>
      <c r="H56" s="2016">
        <v>0.23799999999999999</v>
      </c>
      <c r="I56" s="2016">
        <v>0.252</v>
      </c>
      <c r="J56" s="2016">
        <v>0.26100000000000001</v>
      </c>
      <c r="K56" s="2016">
        <v>0.26800000000000002</v>
      </c>
      <c r="L56" s="519"/>
      <c r="M56" s="520"/>
      <c r="N56" s="517"/>
    </row>
    <row r="57" spans="1:14" x14ac:dyDescent="0.25">
      <c r="C57" s="491" t="s">
        <v>78</v>
      </c>
      <c r="D57" s="2017">
        <v>6.2E-2</v>
      </c>
      <c r="E57" s="2017">
        <v>6.2E-2</v>
      </c>
      <c r="F57" s="2017">
        <v>6.2E-2</v>
      </c>
      <c r="G57" s="2017">
        <v>6.2E-2</v>
      </c>
      <c r="H57" s="2017">
        <v>6.2E-2</v>
      </c>
      <c r="I57" s="2017">
        <v>6.2E-2</v>
      </c>
      <c r="J57" s="2017">
        <v>6.2E-2</v>
      </c>
      <c r="K57" s="2017">
        <v>6.2E-2</v>
      </c>
      <c r="L57" s="521"/>
    </row>
    <row r="58" spans="1:14" x14ac:dyDescent="0.25">
      <c r="C58" s="491" t="s">
        <v>79</v>
      </c>
      <c r="D58" s="2018">
        <v>1.4500000000000001E-2</v>
      </c>
      <c r="E58" s="2018">
        <v>1.4500000000000001E-2</v>
      </c>
      <c r="F58" s="2018">
        <v>1.4500000000000001E-2</v>
      </c>
      <c r="G58" s="2018">
        <v>1.4500000000000001E-2</v>
      </c>
      <c r="H58" s="2018">
        <v>1.4500000000000001E-2</v>
      </c>
      <c r="I58" s="2018">
        <v>1.4500000000000001E-2</v>
      </c>
      <c r="J58" s="2018">
        <v>1.4500000000000001E-2</v>
      </c>
      <c r="K58" s="2018">
        <v>1.4500000000000001E-2</v>
      </c>
      <c r="L58" s="521"/>
    </row>
    <row r="59" spans="1:14" x14ac:dyDescent="0.25">
      <c r="C59" s="491" t="s">
        <v>81</v>
      </c>
      <c r="D59" s="2018">
        <v>5.0000000000000001E-4</v>
      </c>
      <c r="E59" s="2018">
        <v>5.0000000000000001E-4</v>
      </c>
      <c r="F59" s="2018">
        <v>5.0000000000000001E-4</v>
      </c>
      <c r="G59" s="2018">
        <v>5.0000000000000001E-4</v>
      </c>
      <c r="H59" s="2018">
        <v>5.0000000000000001E-4</v>
      </c>
      <c r="I59" s="2018">
        <v>5.0000000000000001E-4</v>
      </c>
      <c r="J59" s="2018">
        <v>5.0000000000000001E-4</v>
      </c>
      <c r="K59" s="2018">
        <v>5.0000000000000001E-4</v>
      </c>
      <c r="L59" s="521"/>
    </row>
    <row r="60" spans="1:14" x14ac:dyDescent="0.25">
      <c r="C60" s="491" t="s">
        <v>82</v>
      </c>
      <c r="D60" s="2017">
        <v>1.0999999999999999E-2</v>
      </c>
      <c r="E60" s="2017">
        <v>8.0000000000000002E-3</v>
      </c>
      <c r="F60" s="2017">
        <f t="shared" ref="F60:K60" si="7">+E60</f>
        <v>8.0000000000000002E-3</v>
      </c>
      <c r="G60" s="2017">
        <f t="shared" si="7"/>
        <v>8.0000000000000002E-3</v>
      </c>
      <c r="H60" s="2017">
        <f t="shared" si="7"/>
        <v>8.0000000000000002E-3</v>
      </c>
      <c r="I60" s="2017">
        <f t="shared" si="7"/>
        <v>8.0000000000000002E-3</v>
      </c>
      <c r="J60" s="2017">
        <f t="shared" si="7"/>
        <v>8.0000000000000002E-3</v>
      </c>
      <c r="K60" s="2017">
        <f t="shared" si="7"/>
        <v>8.0000000000000002E-3</v>
      </c>
      <c r="L60" s="521"/>
    </row>
    <row r="61" spans="1:14" x14ac:dyDescent="0.25"/>
    <row r="62" spans="1:14" x14ac:dyDescent="0.25">
      <c r="C62" s="522" t="s">
        <v>46</v>
      </c>
      <c r="D62" s="523">
        <f>SUM(D55,D58:D60)</f>
        <v>0.15180000000000002</v>
      </c>
      <c r="E62" s="523">
        <f t="shared" ref="E62:K62" si="8">SUM(E55,E58:E60)</f>
        <v>0.16730000000000003</v>
      </c>
      <c r="F62" s="523">
        <f t="shared" si="8"/>
        <v>0.18580000000000002</v>
      </c>
      <c r="G62" s="523">
        <f t="shared" si="8"/>
        <v>0.20430000000000001</v>
      </c>
      <c r="H62" s="523">
        <f t="shared" si="8"/>
        <v>0.21400000000000002</v>
      </c>
      <c r="I62" s="523">
        <f t="shared" si="8"/>
        <v>0.21400000000000002</v>
      </c>
      <c r="J62" s="523">
        <f t="shared" si="8"/>
        <v>0.21400000000000002</v>
      </c>
      <c r="K62" s="523">
        <f t="shared" si="8"/>
        <v>0.21400000000000002</v>
      </c>
    </row>
    <row r="63" spans="1:14" x14ac:dyDescent="0.25">
      <c r="C63" s="522" t="s">
        <v>210</v>
      </c>
      <c r="D63" s="849">
        <f t="shared" ref="D63:K63" si="9">+SUM(D56:D60)</f>
        <v>0.22688000000000003</v>
      </c>
      <c r="E63" s="849">
        <f t="shared" si="9"/>
        <v>0.24031000000000002</v>
      </c>
      <c r="F63" s="523">
        <f t="shared" si="9"/>
        <v>0.26600000000000001</v>
      </c>
      <c r="G63" s="850">
        <f t="shared" si="9"/>
        <v>0.29300000000000004</v>
      </c>
      <c r="H63" s="850">
        <f t="shared" si="9"/>
        <v>0.32300000000000001</v>
      </c>
      <c r="I63" s="850">
        <f t="shared" si="9"/>
        <v>0.33700000000000002</v>
      </c>
      <c r="J63" s="850">
        <f t="shared" si="9"/>
        <v>0.34600000000000003</v>
      </c>
      <c r="K63" s="850">
        <f t="shared" si="9"/>
        <v>0.35300000000000004</v>
      </c>
    </row>
    <row r="64" spans="1:14" x14ac:dyDescent="0.25"/>
    <row r="65" spans="1:14" x14ac:dyDescent="0.25">
      <c r="C65" s="479"/>
      <c r="L65" s="491" t="s">
        <v>1032</v>
      </c>
      <c r="M65" s="1897">
        <v>7.0000000000000007E-2</v>
      </c>
    </row>
    <row r="66" spans="1:14" x14ac:dyDescent="0.25"/>
    <row r="67" spans="1:14" s="484" customFormat="1" x14ac:dyDescent="0.25">
      <c r="A67" s="476"/>
      <c r="B67" s="483" t="s">
        <v>160</v>
      </c>
      <c r="C67" s="483"/>
      <c r="N67" s="476"/>
    </row>
    <row r="68" spans="1:14" s="476" customFormat="1" x14ac:dyDescent="0.25">
      <c r="B68" s="532"/>
      <c r="C68" s="532"/>
    </row>
    <row r="69" spans="1:14" ht="32.25" hidden="1" customHeight="1" x14ac:dyDescent="0.25">
      <c r="B69" s="479"/>
      <c r="C69" s="2180" t="s">
        <v>884</v>
      </c>
      <c r="D69" s="2180"/>
      <c r="E69" s="2180"/>
      <c r="F69" s="2180"/>
      <c r="G69" s="2180"/>
      <c r="H69" s="2180"/>
      <c r="I69" s="2180"/>
      <c r="J69" s="2180"/>
      <c r="K69" s="2180"/>
      <c r="L69" s="2180"/>
      <c r="M69" s="2180"/>
    </row>
    <row r="70" spans="1:14" ht="21.75" hidden="1" customHeight="1" x14ac:dyDescent="0.25">
      <c r="B70" s="479"/>
      <c r="C70" s="477"/>
      <c r="D70" s="489" t="str">
        <f>+D54</f>
        <v>2016-2017</v>
      </c>
      <c r="E70" s="489" t="str">
        <f t="shared" ref="E70:J70" si="10">+E54</f>
        <v>2017-2018</v>
      </c>
      <c r="F70" s="489" t="str">
        <f t="shared" si="10"/>
        <v>2018-2019</v>
      </c>
      <c r="G70" s="489" t="str">
        <f t="shared" si="10"/>
        <v>2019-2020</v>
      </c>
      <c r="H70" s="524" t="str">
        <f t="shared" si="10"/>
        <v>2020-2021</v>
      </c>
      <c r="I70" s="524" t="str">
        <f t="shared" si="10"/>
        <v>2021-2022</v>
      </c>
      <c r="J70" s="524" t="str">
        <f t="shared" si="10"/>
        <v>2022-2023</v>
      </c>
    </row>
    <row r="71" spans="1:14" s="512" customFormat="1" hidden="1" x14ac:dyDescent="0.25">
      <c r="A71" s="525"/>
      <c r="C71" s="526"/>
      <c r="D71" s="527">
        <v>2631028.77</v>
      </c>
      <c r="E71" s="528">
        <v>3350000</v>
      </c>
      <c r="F71" s="528">
        <v>1850000</v>
      </c>
      <c r="G71" s="528">
        <v>350000</v>
      </c>
      <c r="H71" s="529">
        <v>750000</v>
      </c>
      <c r="I71" s="529">
        <v>350000</v>
      </c>
      <c r="J71" s="529">
        <v>2550000</v>
      </c>
      <c r="N71" s="525"/>
    </row>
    <row r="72" spans="1:14" hidden="1" x14ac:dyDescent="0.25">
      <c r="B72" s="479"/>
      <c r="C72" s="477"/>
    </row>
    <row r="73" spans="1:14" x14ac:dyDescent="0.25">
      <c r="B73" s="479"/>
      <c r="C73" s="482" t="s">
        <v>161</v>
      </c>
    </row>
    <row r="74" spans="1:14" ht="21" customHeight="1" x14ac:dyDescent="0.25">
      <c r="B74" s="479"/>
      <c r="C74" s="477"/>
      <c r="D74" s="489" t="str">
        <f t="shared" ref="D74:K74" si="11">D54</f>
        <v>2016-2017</v>
      </c>
      <c r="E74" s="489" t="str">
        <f t="shared" si="11"/>
        <v>2017-2018</v>
      </c>
      <c r="F74" s="489" t="str">
        <f t="shared" si="11"/>
        <v>2018-2019</v>
      </c>
      <c r="G74" s="489" t="str">
        <f t="shared" si="11"/>
        <v>2019-2020</v>
      </c>
      <c r="H74" s="490" t="str">
        <f t="shared" si="11"/>
        <v>2020-2021</v>
      </c>
      <c r="I74" s="490" t="str">
        <f t="shared" si="11"/>
        <v>2021-2022</v>
      </c>
      <c r="J74" s="490" t="str">
        <f t="shared" si="11"/>
        <v>2022-2023</v>
      </c>
      <c r="K74" s="490" t="str">
        <f t="shared" si="11"/>
        <v>2023-2024</v>
      </c>
    </row>
    <row r="75" spans="1:14" x14ac:dyDescent="0.25">
      <c r="B75" s="479"/>
      <c r="C75" s="530" t="s">
        <v>167</v>
      </c>
      <c r="D75" s="2155">
        <v>2.63E-2</v>
      </c>
      <c r="E75" s="2155">
        <v>3.4200000000000001E-2</v>
      </c>
      <c r="F75" s="2155">
        <v>3.3500000000000002E-2</v>
      </c>
      <c r="G75" s="2155">
        <v>3.0200000000000001E-2</v>
      </c>
      <c r="H75" s="531">
        <v>2.7300000000000001E-2</v>
      </c>
      <c r="I75" s="531">
        <v>2.7300000000000001E-2</v>
      </c>
      <c r="J75" s="531">
        <v>2.7300000000000001E-2</v>
      </c>
      <c r="K75" s="531">
        <v>2.7300000000000001E-2</v>
      </c>
    </row>
    <row r="76" spans="1:14" x14ac:dyDescent="0.25">
      <c r="B76" s="479"/>
      <c r="C76" s="2152" t="s">
        <v>1061</v>
      </c>
      <c r="D76" s="2149">
        <v>2.5000000000000001E-2</v>
      </c>
      <c r="E76" s="2150">
        <v>3.1099999999999999E-2</v>
      </c>
      <c r="F76" s="2150">
        <v>3.1899999999999998E-2</v>
      </c>
      <c r="G76" s="2150">
        <v>2.86E-2</v>
      </c>
      <c r="H76" s="531"/>
      <c r="I76" s="531"/>
      <c r="J76" s="531"/>
      <c r="K76" s="531"/>
    </row>
    <row r="77" spans="1:14" x14ac:dyDescent="0.25">
      <c r="B77" s="479"/>
      <c r="C77" s="477"/>
      <c r="D77" s="489"/>
      <c r="E77" s="489"/>
      <c r="F77" s="489"/>
      <c r="G77" s="489"/>
      <c r="H77" s="489"/>
    </row>
    <row r="78" spans="1:14" x14ac:dyDescent="0.25">
      <c r="B78" s="479"/>
      <c r="C78" s="482" t="s">
        <v>162</v>
      </c>
    </row>
    <row r="79" spans="1:14" x14ac:dyDescent="0.25">
      <c r="D79" s="2019">
        <v>337000</v>
      </c>
      <c r="E79" s="486" t="s">
        <v>163</v>
      </c>
    </row>
    <row r="80" spans="1:14" x14ac:dyDescent="0.25">
      <c r="B80" s="479"/>
      <c r="C80" s="479"/>
      <c r="D80" s="2019">
        <v>200000</v>
      </c>
      <c r="E80" s="486" t="s">
        <v>1029</v>
      </c>
    </row>
    <row r="81" spans="2:8" x14ac:dyDescent="0.25">
      <c r="B81" s="479"/>
      <c r="C81" s="479"/>
      <c r="D81" s="2020">
        <v>25000</v>
      </c>
      <c r="E81" s="486" t="s">
        <v>164</v>
      </c>
    </row>
    <row r="82" spans="2:8" x14ac:dyDescent="0.25">
      <c r="D82" s="2019">
        <f>SUM(D79:D81)</f>
        <v>562000</v>
      </c>
      <c r="E82" s="2021"/>
    </row>
    <row r="83" spans="2:8" x14ac:dyDescent="0.25"/>
    <row r="84" spans="2:8" x14ac:dyDescent="0.25">
      <c r="C84" s="486" t="s">
        <v>887</v>
      </c>
      <c r="D84" s="476"/>
      <c r="E84" s="476"/>
      <c r="F84" s="476"/>
      <c r="G84" s="476"/>
      <c r="H84" s="476"/>
    </row>
    <row r="85" spans="2:8" x14ac:dyDescent="0.25"/>
    <row r="86" spans="2:8" x14ac:dyDescent="0.25"/>
    <row r="87" spans="2:8" hidden="1" x14ac:dyDescent="0.25"/>
    <row r="88" spans="2:8" hidden="1" x14ac:dyDescent="0.25"/>
  </sheetData>
  <sheetProtection password="B79F" sheet="1" objects="1" scenarios="1"/>
  <mergeCells count="8">
    <mergeCell ref="C69:M69"/>
    <mergeCell ref="C12:M12"/>
    <mergeCell ref="B2:E2"/>
    <mergeCell ref="B3:M3"/>
    <mergeCell ref="C5:M5"/>
    <mergeCell ref="C45:M45"/>
    <mergeCell ref="B30:D31"/>
    <mergeCell ref="D43:E43"/>
  </mergeCells>
  <printOptions horizontalCentered="1"/>
  <pageMargins left="0.25" right="0.25" top="0.45" bottom="0.46" header="0.3" footer="0.28999999999999998"/>
  <pageSetup scale="75" fitToHeight="0" orientation="portrait" r:id="rId1"/>
  <headerFooter>
    <oddFooter>&amp;R&amp;"Cambria,Regular"&amp;10Page &amp;P of &amp;N</oddFooter>
  </headerFooter>
  <rowBreaks count="1" manualBreakCount="1">
    <brk id="48" min="1" max="12" man="1"/>
  </rowBreaks>
  <ignoredErrors>
    <ignoredError sqref="D63:H64 I62:K6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
  <sheetViews>
    <sheetView zoomScaleNormal="100" workbookViewId="0">
      <pane ySplit="1" topLeftCell="A2" activePane="bottomLeft" state="frozen"/>
      <selection pane="bottomLeft" activeCell="I1" sqref="I1"/>
    </sheetView>
  </sheetViews>
  <sheetFormatPr defaultRowHeight="12.75" x14ac:dyDescent="0.2"/>
  <cols>
    <col min="1" max="1" width="29.42578125" style="397" customWidth="1"/>
    <col min="2" max="3" width="10.140625" style="469" customWidth="1"/>
    <col min="4" max="6" width="12.140625" style="398" customWidth="1"/>
    <col min="7" max="8" width="12.140625" style="397" customWidth="1"/>
    <col min="9" max="9" width="44.5703125" style="397" bestFit="1" customWidth="1"/>
    <col min="10" max="10" width="9.140625" style="397"/>
    <col min="11" max="11" width="14" style="397" bestFit="1" customWidth="1"/>
    <col min="12" max="16384" width="9.140625" style="397"/>
  </cols>
  <sheetData>
    <row r="1" spans="1:11" s="422" customFormat="1" ht="17.25" thickTop="1" x14ac:dyDescent="0.3">
      <c r="A1" s="446" t="s">
        <v>658</v>
      </c>
      <c r="B1" s="461" t="s">
        <v>657</v>
      </c>
      <c r="C1" s="461" t="s">
        <v>656</v>
      </c>
      <c r="D1" s="1554" t="s">
        <v>655</v>
      </c>
      <c r="E1" s="1557" t="s">
        <v>294</v>
      </c>
      <c r="F1" s="445" t="s">
        <v>295</v>
      </c>
      <c r="G1" s="444" t="s">
        <v>296</v>
      </c>
      <c r="H1" s="444" t="s">
        <v>297</v>
      </c>
      <c r="I1" s="444" t="s">
        <v>654</v>
      </c>
    </row>
    <row r="2" spans="1:11" ht="16.5" x14ac:dyDescent="0.3">
      <c r="A2" s="443" t="s">
        <v>653</v>
      </c>
      <c r="B2" s="462"/>
      <c r="C2" s="462"/>
      <c r="D2" s="431"/>
      <c r="E2" s="1558"/>
      <c r="F2" s="441"/>
      <c r="G2" s="440"/>
      <c r="H2" s="440"/>
      <c r="I2" s="440"/>
    </row>
    <row r="3" spans="1:11" ht="16.5" x14ac:dyDescent="0.3">
      <c r="A3" s="408" t="s">
        <v>652</v>
      </c>
      <c r="B3" s="463" t="s">
        <v>651</v>
      </c>
      <c r="C3" s="463"/>
      <c r="D3" s="411">
        <v>149454.15</v>
      </c>
      <c r="E3" s="1559">
        <v>79154</v>
      </c>
      <c r="F3" s="427">
        <v>0</v>
      </c>
      <c r="G3" s="434">
        <v>0</v>
      </c>
      <c r="H3" s="434">
        <v>0</v>
      </c>
      <c r="I3" s="397" t="s">
        <v>650</v>
      </c>
    </row>
    <row r="4" spans="1:11" ht="16.5" x14ac:dyDescent="0.3">
      <c r="A4" s="408" t="s">
        <v>649</v>
      </c>
      <c r="B4" s="463">
        <v>3010</v>
      </c>
      <c r="C4" s="463">
        <v>8290</v>
      </c>
      <c r="D4" s="411">
        <v>885470.63</v>
      </c>
      <c r="E4" s="1559">
        <f>+'RS 3010'!D10</f>
        <v>1196921.81</v>
      </c>
      <c r="F4" s="427">
        <f>+'RS 3010'!H10</f>
        <v>1530158</v>
      </c>
      <c r="G4" s="434">
        <f>+'RS 3010'!L10</f>
        <v>1740186</v>
      </c>
      <c r="H4" s="434">
        <f>+'RS 3010'!P10</f>
        <v>1842490</v>
      </c>
      <c r="I4" s="397" t="s">
        <v>630</v>
      </c>
      <c r="K4" s="434"/>
    </row>
    <row r="5" spans="1:11" ht="16.5" x14ac:dyDescent="0.3">
      <c r="A5" s="408" t="s">
        <v>648</v>
      </c>
      <c r="B5" s="463">
        <v>3010</v>
      </c>
      <c r="C5" s="463">
        <v>8290</v>
      </c>
      <c r="D5" s="411">
        <v>1099576.58</v>
      </c>
      <c r="E5" s="1559">
        <f>+'RS 3010'!D11</f>
        <v>1062358.3700000001</v>
      </c>
      <c r="F5" s="427">
        <f>+'RS 3010'!H11</f>
        <v>750726.19</v>
      </c>
      <c r="G5" s="434">
        <f>+'RS 3010'!L11</f>
        <v>270027.90000000002</v>
      </c>
      <c r="H5" s="434">
        <f>+'RS 3010'!P11</f>
        <v>60000</v>
      </c>
      <c r="I5" s="397" t="s">
        <v>635</v>
      </c>
    </row>
    <row r="6" spans="1:11" ht="16.5" x14ac:dyDescent="0.3">
      <c r="A6" s="408" t="s">
        <v>647</v>
      </c>
      <c r="B6" s="463">
        <v>3011</v>
      </c>
      <c r="C6" s="463">
        <v>8287</v>
      </c>
      <c r="D6" s="411">
        <v>7471.26</v>
      </c>
      <c r="E6" s="1559">
        <v>0</v>
      </c>
      <c r="F6" s="427">
        <v>0</v>
      </c>
      <c r="G6" s="434">
        <v>0</v>
      </c>
      <c r="H6" s="434">
        <v>0</v>
      </c>
      <c r="I6" s="397" t="s">
        <v>630</v>
      </c>
    </row>
    <row r="7" spans="1:11" ht="16.5" x14ac:dyDescent="0.3">
      <c r="A7" s="408" t="s">
        <v>645</v>
      </c>
      <c r="B7" s="463" t="s">
        <v>646</v>
      </c>
      <c r="C7" s="463">
        <v>8181</v>
      </c>
      <c r="D7" s="411">
        <v>1668877</v>
      </c>
      <c r="E7" s="1559">
        <f>+'RS 3310'!D9+'RS 3311'!D9</f>
        <v>1693406</v>
      </c>
      <c r="F7" s="427">
        <f>+'RS 3310'!H9+'RS 3311'!H9</f>
        <v>1722922</v>
      </c>
      <c r="G7" s="434">
        <f>+'RS 3310'!L9+'RS 3311'!L9</f>
        <v>1722922</v>
      </c>
      <c r="H7" s="434">
        <f>+'RS 3310'!P9+'RS 3311'!P9</f>
        <v>1722922</v>
      </c>
      <c r="I7" s="397" t="s">
        <v>599</v>
      </c>
    </row>
    <row r="8" spans="1:11" ht="16.5" x14ac:dyDescent="0.3">
      <c r="A8" s="408" t="s">
        <v>645</v>
      </c>
      <c r="B8" s="463">
        <v>3310</v>
      </c>
      <c r="C8" s="463">
        <v>8287</v>
      </c>
      <c r="D8" s="411">
        <v>12203</v>
      </c>
      <c r="E8" s="1559">
        <f>+'RS 3310'!D10</f>
        <v>7775</v>
      </c>
      <c r="F8" s="427">
        <f>+'RS 3310'!H10</f>
        <v>10325</v>
      </c>
      <c r="G8" s="434">
        <f>+'RS 3310'!L10</f>
        <v>10325</v>
      </c>
      <c r="H8" s="434">
        <f>+'RS 3310'!P10</f>
        <v>10325</v>
      </c>
    </row>
    <row r="9" spans="1:11" ht="16.5" x14ac:dyDescent="0.3">
      <c r="A9" s="408" t="s">
        <v>644</v>
      </c>
      <c r="B9" s="463">
        <v>4035</v>
      </c>
      <c r="C9" s="463">
        <v>8290</v>
      </c>
      <c r="D9" s="411">
        <v>225859.22</v>
      </c>
      <c r="E9" s="1559">
        <f>+'RS 4035'!D9</f>
        <v>211006</v>
      </c>
      <c r="F9" s="427">
        <f>+'RS 4035'!H9</f>
        <v>255121</v>
      </c>
      <c r="G9" s="434">
        <f>+'RS 4035'!L9</f>
        <v>254392</v>
      </c>
      <c r="H9" s="434">
        <f>+'RS 4035'!P9</f>
        <v>263160</v>
      </c>
      <c r="I9" s="397" t="s">
        <v>630</v>
      </c>
    </row>
    <row r="10" spans="1:11" ht="16.5" x14ac:dyDescent="0.3">
      <c r="A10" s="408" t="s">
        <v>643</v>
      </c>
      <c r="B10" s="463">
        <v>4035</v>
      </c>
      <c r="C10" s="463">
        <v>8290</v>
      </c>
      <c r="D10" s="411">
        <v>73591.13</v>
      </c>
      <c r="E10" s="1559">
        <f>+'RS 4035'!D10</f>
        <v>-1081.22</v>
      </c>
      <c r="F10" s="427">
        <f>+'RS 4035'!H10</f>
        <v>0</v>
      </c>
      <c r="G10" s="434">
        <f>+'RS 4035'!L10</f>
        <v>9482</v>
      </c>
      <c r="H10" s="434">
        <f>+'RS 4035'!P10</f>
        <v>10211</v>
      </c>
      <c r="I10" s="397" t="s">
        <v>642</v>
      </c>
    </row>
    <row r="11" spans="1:11" ht="16.5" x14ac:dyDescent="0.3">
      <c r="A11" s="408" t="s">
        <v>641</v>
      </c>
      <c r="B11" s="463">
        <v>4036</v>
      </c>
      <c r="C11" s="463"/>
      <c r="D11" s="411">
        <v>0</v>
      </c>
      <c r="E11" s="1559">
        <v>0</v>
      </c>
      <c r="F11" s="427">
        <v>0</v>
      </c>
      <c r="G11" s="434">
        <v>0</v>
      </c>
      <c r="H11" s="434">
        <v>0</v>
      </c>
      <c r="I11" s="397" t="s">
        <v>630</v>
      </c>
    </row>
    <row r="12" spans="1:11" ht="16.5" x14ac:dyDescent="0.3">
      <c r="A12" s="408" t="s">
        <v>640</v>
      </c>
      <c r="B12" s="463">
        <v>4201</v>
      </c>
      <c r="C12" s="463"/>
      <c r="D12" s="411">
        <f>14250-815.3</f>
        <v>13434.7</v>
      </c>
      <c r="E12" s="1559">
        <f>+'RS 4201'!D9</f>
        <v>10339.290000000001</v>
      </c>
      <c r="F12" s="427">
        <f>+'RS 4201'!H9</f>
        <v>22535</v>
      </c>
      <c r="G12" s="434">
        <f>+'RS 4201'!L9</f>
        <v>22535</v>
      </c>
      <c r="H12" s="434">
        <f>+'RS 4201'!P9</f>
        <v>22535</v>
      </c>
      <c r="I12" s="397" t="s">
        <v>639</v>
      </c>
    </row>
    <row r="13" spans="1:11" ht="16.5" x14ac:dyDescent="0.3">
      <c r="A13" s="408" t="s">
        <v>638</v>
      </c>
      <c r="B13" s="463">
        <v>4201</v>
      </c>
      <c r="C13" s="463"/>
      <c r="D13" s="411"/>
      <c r="E13" s="1559">
        <f>+'RS 4201'!D10</f>
        <v>3416.3</v>
      </c>
      <c r="F13" s="427">
        <f>+'RS 4201'!H10</f>
        <v>0</v>
      </c>
      <c r="G13" s="434">
        <f>+'RS 4201'!L10</f>
        <v>0</v>
      </c>
      <c r="H13" s="434">
        <f>+'RS 4201'!P10</f>
        <v>0</v>
      </c>
      <c r="I13" s="397" t="s">
        <v>635</v>
      </c>
    </row>
    <row r="14" spans="1:11" ht="16.5" x14ac:dyDescent="0.3">
      <c r="A14" s="408" t="s">
        <v>637</v>
      </c>
      <c r="B14" s="463">
        <v>4203</v>
      </c>
      <c r="C14" s="463"/>
      <c r="D14" s="411">
        <v>90721</v>
      </c>
      <c r="E14" s="1559">
        <f>+'RS 4203'!D9</f>
        <v>105397.47999999998</v>
      </c>
      <c r="F14" s="427">
        <f>+'RS 4203'!H9</f>
        <v>110051.00000000001</v>
      </c>
      <c r="G14" s="434">
        <f>+'RS 4203'!L9</f>
        <v>93109.48</v>
      </c>
      <c r="H14" s="434">
        <f>+'RS 4203'!P9</f>
        <v>96762.48</v>
      </c>
      <c r="I14" s="397" t="s">
        <v>630</v>
      </c>
    </row>
    <row r="15" spans="1:11" ht="16.5" x14ac:dyDescent="0.3">
      <c r="A15" s="408" t="s">
        <v>636</v>
      </c>
      <c r="B15" s="463">
        <v>4203</v>
      </c>
      <c r="C15" s="463"/>
      <c r="D15" s="411">
        <f>13413-888.11</f>
        <v>12524.89</v>
      </c>
      <c r="E15" s="1559">
        <f>+'RS 4203'!D10</f>
        <v>37453.199999999997</v>
      </c>
      <c r="F15" s="427">
        <f>+'RS 4203'!H10</f>
        <v>0</v>
      </c>
      <c r="G15" s="434">
        <f>+'RS 4203'!L10</f>
        <v>21108.52</v>
      </c>
      <c r="H15" s="434">
        <f>+'RS 4203'!P10</f>
        <v>21922.52</v>
      </c>
      <c r="I15" s="397" t="s">
        <v>635</v>
      </c>
    </row>
    <row r="16" spans="1:11" ht="16.5" x14ac:dyDescent="0.3">
      <c r="A16" s="408" t="s">
        <v>634</v>
      </c>
      <c r="B16" s="463">
        <v>5640</v>
      </c>
      <c r="C16" s="463"/>
      <c r="D16" s="411">
        <v>102458.82</v>
      </c>
      <c r="E16" s="1559">
        <f>+'RS 5640'!D9</f>
        <v>175676.28</v>
      </c>
      <c r="F16" s="427">
        <f>+'RS 5640'!H9</f>
        <v>230711</v>
      </c>
      <c r="G16" s="434">
        <f>+'RS 5640'!L9</f>
        <v>215582</v>
      </c>
      <c r="H16" s="434">
        <f>+'RS 5640'!P9</f>
        <v>216922</v>
      </c>
      <c r="I16" s="397" t="s">
        <v>633</v>
      </c>
    </row>
    <row r="17" spans="1:11" s="425" customFormat="1" ht="16.5" x14ac:dyDescent="0.3">
      <c r="A17" s="439" t="s">
        <v>632</v>
      </c>
      <c r="B17" s="464"/>
      <c r="C17" s="464"/>
      <c r="D17" s="431"/>
      <c r="E17" s="442"/>
      <c r="F17" s="430"/>
      <c r="G17" s="431"/>
      <c r="H17" s="431"/>
      <c r="I17" s="429"/>
    </row>
    <row r="18" spans="1:11" ht="16.5" x14ac:dyDescent="0.3">
      <c r="A18" s="408" t="s">
        <v>631</v>
      </c>
      <c r="B18" s="463" t="s">
        <v>561</v>
      </c>
      <c r="C18" s="463" t="s">
        <v>628</v>
      </c>
      <c r="D18" s="411">
        <v>226176</v>
      </c>
      <c r="E18" s="1559">
        <f>+'RS 00XX &amp; 1400'!D12</f>
        <v>223536</v>
      </c>
      <c r="F18" s="427">
        <f>+'RS 00XX &amp; 1400'!H12</f>
        <v>235457</v>
      </c>
      <c r="G18" s="434">
        <f>+'RS 00XX &amp; 1400'!L12</f>
        <v>233341</v>
      </c>
      <c r="H18" s="434">
        <f>+'RS 00XX &amp; 1400'!P12</f>
        <v>232934</v>
      </c>
      <c r="I18" s="397" t="s">
        <v>630</v>
      </c>
    </row>
    <row r="19" spans="1:11" ht="16.5" x14ac:dyDescent="0.3">
      <c r="A19" s="408" t="s">
        <v>629</v>
      </c>
      <c r="B19" s="463" t="s">
        <v>561</v>
      </c>
      <c r="C19" s="463" t="s">
        <v>628</v>
      </c>
      <c r="D19" s="411">
        <v>4212110</v>
      </c>
      <c r="E19" s="1559">
        <f>+'RS 00XX &amp; 1400'!D13</f>
        <v>1687542</v>
      </c>
      <c r="F19" s="427">
        <f>+'RS 00XX &amp; 1400'!H13</f>
        <v>1143299</v>
      </c>
      <c r="G19" s="434">
        <f>+'RS 00XX &amp; 1400'!L13</f>
        <v>0</v>
      </c>
      <c r="H19" s="434">
        <f>+'RS 00XX &amp; 1400'!P13</f>
        <v>0</v>
      </c>
      <c r="I19" s="397" t="s">
        <v>627</v>
      </c>
    </row>
    <row r="20" spans="1:11" ht="16.5" x14ac:dyDescent="0.3">
      <c r="A20" s="408" t="s">
        <v>626</v>
      </c>
      <c r="B20" s="463" t="s">
        <v>561</v>
      </c>
      <c r="C20" s="463" t="s">
        <v>596</v>
      </c>
      <c r="D20" s="411">
        <v>1939.94</v>
      </c>
      <c r="E20" s="1559">
        <v>1940</v>
      </c>
      <c r="F20" s="427">
        <f>E20</f>
        <v>1940</v>
      </c>
      <c r="G20" s="434">
        <f t="shared" ref="G20:H22" si="0">E20</f>
        <v>1940</v>
      </c>
      <c r="H20" s="434">
        <f t="shared" si="0"/>
        <v>1940</v>
      </c>
      <c r="K20" s="438"/>
    </row>
    <row r="21" spans="1:11" ht="16.5" x14ac:dyDescent="0.3">
      <c r="A21" s="408" t="s">
        <v>625</v>
      </c>
      <c r="B21" s="463" t="s">
        <v>623</v>
      </c>
      <c r="C21" s="463" t="s">
        <v>596</v>
      </c>
      <c r="D21" s="411">
        <v>17360.54</v>
      </c>
      <c r="E21" s="1559">
        <v>22478.78</v>
      </c>
      <c r="F21" s="427">
        <f>E21</f>
        <v>22478.78</v>
      </c>
      <c r="G21" s="434">
        <f t="shared" si="0"/>
        <v>22478.78</v>
      </c>
      <c r="H21" s="434">
        <f t="shared" si="0"/>
        <v>22478.78</v>
      </c>
    </row>
    <row r="22" spans="1:11" ht="16.5" x14ac:dyDescent="0.3">
      <c r="A22" s="408" t="s">
        <v>624</v>
      </c>
      <c r="B22" s="463" t="s">
        <v>623</v>
      </c>
      <c r="C22" s="463" t="s">
        <v>596</v>
      </c>
      <c r="D22" s="411">
        <v>6525</v>
      </c>
      <c r="E22" s="1559">
        <f>28688.78-E21</f>
        <v>6210</v>
      </c>
      <c r="F22" s="427">
        <f>E22</f>
        <v>6210</v>
      </c>
      <c r="G22" s="434">
        <f t="shared" si="0"/>
        <v>6210</v>
      </c>
      <c r="H22" s="434">
        <f t="shared" si="0"/>
        <v>6210</v>
      </c>
    </row>
    <row r="23" spans="1:11" ht="16.5" x14ac:dyDescent="0.3">
      <c r="A23" s="408" t="s">
        <v>622</v>
      </c>
      <c r="B23" s="463" t="s">
        <v>620</v>
      </c>
      <c r="C23" s="463" t="s">
        <v>615</v>
      </c>
      <c r="D23" s="411">
        <v>1230587.26</v>
      </c>
      <c r="E23" s="1559">
        <f>+'RS 1100'!D9</f>
        <v>1183769.48</v>
      </c>
      <c r="F23" s="427">
        <f>+'RS 1100'!H9</f>
        <v>1122740.08</v>
      </c>
      <c r="G23" s="434">
        <f>+'RS 1100'!L9</f>
        <v>1146879</v>
      </c>
      <c r="H23" s="434">
        <f>+'RS 1100'!P9</f>
        <v>1173831</v>
      </c>
      <c r="I23" s="397" t="s">
        <v>618</v>
      </c>
    </row>
    <row r="24" spans="1:11" ht="16.5" x14ac:dyDescent="0.3">
      <c r="A24" s="408" t="s">
        <v>621</v>
      </c>
      <c r="B24" s="463" t="s">
        <v>620</v>
      </c>
      <c r="C24" s="463" t="s">
        <v>615</v>
      </c>
      <c r="D24" s="411">
        <v>13997.02</v>
      </c>
      <c r="E24" s="1559">
        <v>0</v>
      </c>
      <c r="F24" s="427"/>
      <c r="G24" s="434"/>
      <c r="H24" s="434"/>
    </row>
    <row r="25" spans="1:11" ht="16.5" x14ac:dyDescent="0.3">
      <c r="A25" s="408" t="s">
        <v>619</v>
      </c>
      <c r="B25" s="465" t="s">
        <v>616</v>
      </c>
      <c r="C25" s="465" t="s">
        <v>615</v>
      </c>
      <c r="D25" s="411">
        <v>409115.19</v>
      </c>
      <c r="E25" s="1559">
        <f>+'RS 6300'!D9</f>
        <v>393579.91</v>
      </c>
      <c r="F25" s="427">
        <f>+'RS 6300'!H9</f>
        <v>408994</v>
      </c>
      <c r="G25" s="434">
        <f>+'RS 6300'!L9</f>
        <v>417787</v>
      </c>
      <c r="H25" s="434">
        <f>+'RS 6300'!P9</f>
        <v>427605</v>
      </c>
      <c r="I25" s="397" t="s">
        <v>618</v>
      </c>
    </row>
    <row r="26" spans="1:11" ht="16.5" x14ac:dyDescent="0.3">
      <c r="A26" s="408" t="s">
        <v>617</v>
      </c>
      <c r="B26" s="465" t="s">
        <v>616</v>
      </c>
      <c r="C26" s="465" t="s">
        <v>615</v>
      </c>
      <c r="D26" s="411">
        <v>20338.64</v>
      </c>
      <c r="E26" s="1559">
        <v>0</v>
      </c>
      <c r="F26" s="427">
        <v>0</v>
      </c>
      <c r="G26" s="434">
        <v>0</v>
      </c>
      <c r="H26" s="434">
        <v>0</v>
      </c>
    </row>
    <row r="27" spans="1:11" ht="16.5" x14ac:dyDescent="0.3">
      <c r="A27" s="408" t="s">
        <v>614</v>
      </c>
      <c r="B27" s="465" t="s">
        <v>613</v>
      </c>
      <c r="C27" s="465"/>
      <c r="D27" s="411">
        <v>217800</v>
      </c>
      <c r="E27" s="1559">
        <v>217800</v>
      </c>
      <c r="F27" s="427">
        <v>217800</v>
      </c>
      <c r="G27" s="434">
        <v>217800</v>
      </c>
      <c r="H27" s="434">
        <v>217800</v>
      </c>
      <c r="I27" s="397" t="s">
        <v>612</v>
      </c>
    </row>
    <row r="28" spans="1:11" ht="16.5" x14ac:dyDescent="0.3">
      <c r="A28" s="408" t="s">
        <v>279</v>
      </c>
      <c r="B28" s="465" t="s">
        <v>611</v>
      </c>
      <c r="C28" s="465" t="s">
        <v>596</v>
      </c>
      <c r="D28" s="411">
        <v>662597</v>
      </c>
      <c r="E28" s="1559">
        <v>0</v>
      </c>
      <c r="F28" s="427">
        <v>0</v>
      </c>
      <c r="G28" s="434">
        <v>0</v>
      </c>
      <c r="H28" s="434">
        <v>0</v>
      </c>
      <c r="I28" s="397" t="s">
        <v>610</v>
      </c>
      <c r="K28" s="433"/>
    </row>
    <row r="29" spans="1:11" ht="16.5" x14ac:dyDescent="0.3">
      <c r="A29" s="408" t="s">
        <v>609</v>
      </c>
      <c r="B29" s="465" t="s">
        <v>608</v>
      </c>
      <c r="C29" s="465" t="s">
        <v>596</v>
      </c>
      <c r="D29" s="411">
        <v>305572</v>
      </c>
      <c r="E29" s="1559">
        <f>+'RS 6230'!D9</f>
        <v>466860</v>
      </c>
      <c r="F29" s="427">
        <f>+'RS 6300'!L9</f>
        <v>417787</v>
      </c>
      <c r="G29" s="433">
        <v>0</v>
      </c>
      <c r="H29" s="433">
        <v>0</v>
      </c>
      <c r="I29" s="397" t="s">
        <v>607</v>
      </c>
    </row>
    <row r="30" spans="1:11" ht="16.5" x14ac:dyDescent="0.3">
      <c r="A30" s="408" t="s">
        <v>277</v>
      </c>
      <c r="B30" s="465" t="s">
        <v>606</v>
      </c>
      <c r="C30" s="465" t="s">
        <v>605</v>
      </c>
      <c r="D30" s="411">
        <v>617840.06000000006</v>
      </c>
      <c r="E30" s="1559">
        <f>+'RS 7810'!D7</f>
        <v>-190310.3</v>
      </c>
      <c r="F30" s="427">
        <v>0</v>
      </c>
      <c r="G30" s="433">
        <v>0</v>
      </c>
      <c r="H30" s="433">
        <v>0</v>
      </c>
    </row>
    <row r="31" spans="1:11" ht="16.5" x14ac:dyDescent="0.3">
      <c r="A31" s="408" t="s">
        <v>604</v>
      </c>
      <c r="B31" s="465" t="s">
        <v>603</v>
      </c>
      <c r="C31" s="465" t="s">
        <v>581</v>
      </c>
      <c r="D31" s="411">
        <v>0</v>
      </c>
      <c r="E31" s="1559">
        <v>8100</v>
      </c>
      <c r="F31" s="427">
        <v>8100</v>
      </c>
      <c r="G31" s="434">
        <v>8100</v>
      </c>
      <c r="H31" s="434">
        <v>8100</v>
      </c>
      <c r="I31" s="397" t="s">
        <v>602</v>
      </c>
    </row>
    <row r="32" spans="1:11" s="435" customFormat="1" ht="16.5" x14ac:dyDescent="0.3">
      <c r="A32" s="437"/>
      <c r="B32" s="465"/>
      <c r="C32" s="465"/>
      <c r="D32" s="433"/>
      <c r="E32" s="1560"/>
      <c r="F32" s="436"/>
      <c r="G32" s="434"/>
      <c r="H32" s="434"/>
    </row>
    <row r="33" spans="1:9" ht="16.5" x14ac:dyDescent="0.3">
      <c r="A33" s="408" t="s">
        <v>601</v>
      </c>
      <c r="B33" s="465" t="s">
        <v>592</v>
      </c>
      <c r="C33" s="465" t="s">
        <v>600</v>
      </c>
      <c r="D33" s="411">
        <v>1004376</v>
      </c>
      <c r="E33" s="1559">
        <v>1041447</v>
      </c>
      <c r="F33" s="427">
        <f>E33</f>
        <v>1041447</v>
      </c>
      <c r="G33" s="434">
        <f>E33</f>
        <v>1041447</v>
      </c>
      <c r="H33" s="434">
        <f>F33</f>
        <v>1041447</v>
      </c>
      <c r="I33" s="397" t="s">
        <v>599</v>
      </c>
    </row>
    <row r="34" spans="1:9" ht="16.5" x14ac:dyDescent="0.3">
      <c r="A34" s="408" t="s">
        <v>598</v>
      </c>
      <c r="B34" s="465" t="s">
        <v>597</v>
      </c>
      <c r="C34" s="465" t="s">
        <v>596</v>
      </c>
      <c r="D34" s="1555">
        <v>9000</v>
      </c>
      <c r="E34" s="1559">
        <v>18000</v>
      </c>
      <c r="F34" s="427">
        <v>0</v>
      </c>
      <c r="G34" s="434">
        <v>0</v>
      </c>
      <c r="H34" s="434">
        <v>0</v>
      </c>
    </row>
    <row r="35" spans="1:9" ht="16.5" x14ac:dyDescent="0.3">
      <c r="A35" s="408" t="s">
        <v>595</v>
      </c>
      <c r="B35" s="465" t="s">
        <v>592</v>
      </c>
      <c r="C35" s="465" t="s">
        <v>581</v>
      </c>
      <c r="D35" s="1555">
        <f>81200+203850.19</f>
        <v>285050.19</v>
      </c>
      <c r="E35" s="1559">
        <f>+'RS 6500'!D10</f>
        <v>325434.21999999997</v>
      </c>
      <c r="F35" s="427">
        <f>+'RS 6500'!H10</f>
        <v>332039</v>
      </c>
      <c r="G35" s="434">
        <f>+'RS 6500'!L10</f>
        <v>339178</v>
      </c>
      <c r="H35" s="434">
        <f>+'RS 6500'!P10</f>
        <v>347149</v>
      </c>
      <c r="I35" s="397" t="s">
        <v>594</v>
      </c>
    </row>
    <row r="36" spans="1:9" ht="16.5" x14ac:dyDescent="0.3">
      <c r="A36" s="408" t="s">
        <v>593</v>
      </c>
      <c r="B36" s="465" t="s">
        <v>592</v>
      </c>
      <c r="C36" s="465" t="s">
        <v>591</v>
      </c>
      <c r="D36" s="411">
        <f>3209913</f>
        <v>3209913</v>
      </c>
      <c r="E36" s="1559">
        <f>+'RS 6500'!D11</f>
        <v>3107918</v>
      </c>
      <c r="F36" s="427">
        <f>+'RS 6500'!H11</f>
        <v>3035285</v>
      </c>
      <c r="G36" s="434">
        <f>+'RS 6500'!L11</f>
        <v>3100544</v>
      </c>
      <c r="H36" s="434">
        <f>+'RS 6500'!P11</f>
        <v>3173407</v>
      </c>
      <c r="I36" s="397" t="s">
        <v>590</v>
      </c>
    </row>
    <row r="37" spans="1:9" ht="16.5" x14ac:dyDescent="0.3">
      <c r="A37" s="432" t="s">
        <v>589</v>
      </c>
      <c r="B37" s="466"/>
      <c r="C37" s="466"/>
      <c r="D37" s="431"/>
      <c r="E37" s="442"/>
      <c r="F37" s="430"/>
      <c r="G37" s="429"/>
      <c r="H37" s="429"/>
      <c r="I37" s="429"/>
    </row>
    <row r="38" spans="1:9" ht="16.5" x14ac:dyDescent="0.3">
      <c r="A38" s="428" t="s">
        <v>588</v>
      </c>
      <c r="B38" s="467" t="s">
        <v>561</v>
      </c>
      <c r="C38" s="467" t="s">
        <v>587</v>
      </c>
      <c r="D38" s="411">
        <v>158432.89000000001</v>
      </c>
      <c r="E38" s="1559">
        <f>+'RS 00XX &amp; 1400'!D21</f>
        <v>201693.45</v>
      </c>
      <c r="F38" s="427">
        <f>E38</f>
        <v>201693.45</v>
      </c>
      <c r="G38" s="433">
        <f>E38*1.0242</f>
        <v>206574.43149000002</v>
      </c>
      <c r="H38" s="433">
        <f>F38*1.0242</f>
        <v>206574.43149000002</v>
      </c>
      <c r="I38" s="425"/>
    </row>
    <row r="39" spans="1:9" ht="16.5" x14ac:dyDescent="0.3">
      <c r="A39" s="428" t="s">
        <v>586</v>
      </c>
      <c r="B39" s="467" t="s">
        <v>561</v>
      </c>
      <c r="C39" s="467" t="s">
        <v>585</v>
      </c>
      <c r="D39" s="411">
        <v>4746.1099999999997</v>
      </c>
      <c r="E39" s="1559">
        <v>1000</v>
      </c>
      <c r="F39" s="427">
        <v>1000</v>
      </c>
      <c r="G39" s="433">
        <v>1000</v>
      </c>
      <c r="H39" s="433">
        <v>1000</v>
      </c>
      <c r="I39" s="425"/>
    </row>
    <row r="40" spans="1:9" ht="16.5" x14ac:dyDescent="0.3">
      <c r="A40" s="428" t="s">
        <v>584</v>
      </c>
      <c r="B40" s="467" t="s">
        <v>561</v>
      </c>
      <c r="C40" s="467" t="s">
        <v>583</v>
      </c>
      <c r="D40" s="411">
        <v>24506</v>
      </c>
      <c r="E40" s="1559">
        <v>15000</v>
      </c>
      <c r="F40" s="427">
        <v>5000</v>
      </c>
      <c r="G40" s="409">
        <v>5000</v>
      </c>
      <c r="H40" s="409">
        <v>5000</v>
      </c>
      <c r="I40" s="425"/>
    </row>
    <row r="41" spans="1:9" ht="16.5" x14ac:dyDescent="0.3">
      <c r="A41" s="428" t="s">
        <v>582</v>
      </c>
      <c r="B41" s="467" t="s">
        <v>561</v>
      </c>
      <c r="C41" s="467" t="s">
        <v>581</v>
      </c>
      <c r="D41" s="411">
        <v>19553</v>
      </c>
      <c r="E41" s="1559">
        <v>18000</v>
      </c>
      <c r="F41" s="427">
        <v>18500</v>
      </c>
      <c r="G41" s="409">
        <v>18500</v>
      </c>
      <c r="H41" s="409">
        <v>18500</v>
      </c>
      <c r="I41" s="425"/>
    </row>
    <row r="42" spans="1:9" ht="16.5" x14ac:dyDescent="0.3">
      <c r="A42" s="428" t="s">
        <v>580</v>
      </c>
      <c r="B42" s="467" t="s">
        <v>561</v>
      </c>
      <c r="C42" s="467" t="s">
        <v>578</v>
      </c>
      <c r="D42" s="411">
        <v>5873</v>
      </c>
      <c r="E42" s="1559">
        <v>6632</v>
      </c>
      <c r="F42" s="427">
        <f>E42</f>
        <v>6632</v>
      </c>
      <c r="G42" s="409">
        <f>E42</f>
        <v>6632</v>
      </c>
      <c r="H42" s="409">
        <f>F42</f>
        <v>6632</v>
      </c>
      <c r="I42" s="425"/>
    </row>
    <row r="43" spans="1:9" ht="16.5" x14ac:dyDescent="0.3">
      <c r="A43" s="428" t="s">
        <v>579</v>
      </c>
      <c r="B43" s="467" t="s">
        <v>561</v>
      </c>
      <c r="C43" s="467" t="s">
        <v>578</v>
      </c>
      <c r="D43" s="411">
        <f>9610.05-D42</f>
        <v>3737.0499999999993</v>
      </c>
      <c r="E43" s="1559">
        <v>0</v>
      </c>
      <c r="F43" s="427">
        <v>0</v>
      </c>
      <c r="G43" s="409">
        <v>0</v>
      </c>
      <c r="H43" s="409">
        <v>0</v>
      </c>
      <c r="I43" s="425"/>
    </row>
    <row r="44" spans="1:9" ht="16.5" x14ac:dyDescent="0.3">
      <c r="A44" s="428" t="s">
        <v>577</v>
      </c>
      <c r="B44" s="467" t="s">
        <v>576</v>
      </c>
      <c r="C44" s="467" t="s">
        <v>458</v>
      </c>
      <c r="D44" s="411">
        <v>15063.14</v>
      </c>
      <c r="E44" s="1559">
        <v>6500</v>
      </c>
      <c r="F44" s="427">
        <v>6500</v>
      </c>
      <c r="G44" s="409">
        <v>6500</v>
      </c>
      <c r="H44" s="409">
        <v>6500</v>
      </c>
      <c r="I44" s="425"/>
    </row>
    <row r="45" spans="1:9" ht="16.5" x14ac:dyDescent="0.3">
      <c r="A45" s="428" t="s">
        <v>575</v>
      </c>
      <c r="B45" s="467" t="s">
        <v>561</v>
      </c>
      <c r="C45" s="467" t="s">
        <v>458</v>
      </c>
      <c r="D45" s="411">
        <v>36698.120000000003</v>
      </c>
      <c r="E45" s="1559"/>
      <c r="F45" s="427">
        <f>E45</f>
        <v>0</v>
      </c>
      <c r="G45" s="409">
        <f>E45</f>
        <v>0</v>
      </c>
      <c r="H45" s="409">
        <f>F45</f>
        <v>0</v>
      </c>
      <c r="I45" s="425"/>
    </row>
    <row r="46" spans="1:9" ht="16.5" x14ac:dyDescent="0.3">
      <c r="A46" s="428" t="s">
        <v>574</v>
      </c>
      <c r="B46" s="467" t="s">
        <v>561</v>
      </c>
      <c r="C46" s="467" t="s">
        <v>458</v>
      </c>
      <c r="D46" s="411">
        <v>1150.45</v>
      </c>
      <c r="E46" s="1559">
        <v>0</v>
      </c>
      <c r="F46" s="427">
        <v>0</v>
      </c>
      <c r="G46" s="409">
        <v>0</v>
      </c>
      <c r="H46" s="409">
        <v>0</v>
      </c>
      <c r="I46" s="425"/>
    </row>
    <row r="47" spans="1:9" ht="16.5" x14ac:dyDescent="0.3">
      <c r="A47" s="428" t="s">
        <v>573</v>
      </c>
      <c r="B47" s="467" t="s">
        <v>561</v>
      </c>
      <c r="C47" s="467" t="s">
        <v>458</v>
      </c>
      <c r="D47" s="411">
        <v>9696.02</v>
      </c>
      <c r="E47" s="1559">
        <v>0</v>
      </c>
      <c r="F47" s="427">
        <v>0</v>
      </c>
      <c r="G47" s="409">
        <v>0</v>
      </c>
      <c r="H47" s="409">
        <v>0</v>
      </c>
      <c r="I47" s="425"/>
    </row>
    <row r="48" spans="1:9" ht="16.5" x14ac:dyDescent="0.3">
      <c r="A48" s="428" t="s">
        <v>572</v>
      </c>
      <c r="B48" s="467" t="s">
        <v>561</v>
      </c>
      <c r="C48" s="467" t="s">
        <v>458</v>
      </c>
      <c r="D48" s="411">
        <v>29109.93</v>
      </c>
      <c r="E48" s="1559">
        <f>882996-807000-E53</f>
        <v>42319.77</v>
      </c>
      <c r="F48" s="427">
        <v>0</v>
      </c>
      <c r="G48" s="409">
        <v>0</v>
      </c>
      <c r="H48" s="409">
        <v>0</v>
      </c>
      <c r="I48" s="425"/>
    </row>
    <row r="49" spans="1:9" ht="16.5" x14ac:dyDescent="0.3">
      <c r="A49" s="428" t="s">
        <v>571</v>
      </c>
      <c r="B49" s="467" t="s">
        <v>561</v>
      </c>
      <c r="C49" s="467" t="s">
        <v>458</v>
      </c>
      <c r="D49" s="411">
        <v>0</v>
      </c>
      <c r="E49" s="1559">
        <f>+'RS 00XX &amp; 1400'!D15</f>
        <v>807000</v>
      </c>
      <c r="F49" s="427">
        <v>0</v>
      </c>
      <c r="G49" s="409">
        <v>0</v>
      </c>
      <c r="H49" s="409">
        <v>0</v>
      </c>
      <c r="I49" s="425"/>
    </row>
    <row r="50" spans="1:9" ht="16.5" x14ac:dyDescent="0.3">
      <c r="A50" s="428" t="s">
        <v>570</v>
      </c>
      <c r="B50" s="467" t="s">
        <v>561</v>
      </c>
      <c r="C50" s="467" t="s">
        <v>458</v>
      </c>
      <c r="D50" s="411">
        <v>0</v>
      </c>
      <c r="E50" s="1559">
        <v>20204</v>
      </c>
      <c r="F50" s="427">
        <v>0</v>
      </c>
      <c r="G50" s="409">
        <v>0</v>
      </c>
      <c r="H50" s="409">
        <v>0</v>
      </c>
      <c r="I50" s="425"/>
    </row>
    <row r="51" spans="1:9" ht="16.5" x14ac:dyDescent="0.3">
      <c r="A51" s="428" t="s">
        <v>569</v>
      </c>
      <c r="B51" s="467" t="s">
        <v>561</v>
      </c>
      <c r="C51" s="467" t="s">
        <v>458</v>
      </c>
      <c r="D51" s="411">
        <v>13452.82</v>
      </c>
      <c r="E51" s="1559">
        <v>0</v>
      </c>
      <c r="F51" s="427">
        <v>0</v>
      </c>
      <c r="G51" s="409">
        <v>0</v>
      </c>
      <c r="H51" s="409">
        <v>0</v>
      </c>
      <c r="I51" s="425"/>
    </row>
    <row r="52" spans="1:9" ht="16.5" x14ac:dyDescent="0.3">
      <c r="A52" s="428" t="s">
        <v>568</v>
      </c>
      <c r="B52" s="467" t="s">
        <v>561</v>
      </c>
      <c r="C52" s="467" t="s">
        <v>458</v>
      </c>
      <c r="D52" s="411">
        <v>10000</v>
      </c>
      <c r="E52" s="1559">
        <v>10000</v>
      </c>
      <c r="F52" s="427">
        <v>10000</v>
      </c>
      <c r="G52" s="409">
        <v>10000</v>
      </c>
      <c r="H52" s="409">
        <v>10000</v>
      </c>
      <c r="I52" s="425"/>
    </row>
    <row r="53" spans="1:9" ht="16.5" x14ac:dyDescent="0.3">
      <c r="A53" s="428" t="s">
        <v>567</v>
      </c>
      <c r="B53" s="467" t="s">
        <v>561</v>
      </c>
      <c r="C53" s="467" t="s">
        <v>458</v>
      </c>
      <c r="D53" s="411">
        <v>78018.67</v>
      </c>
      <c r="E53" s="1559">
        <v>33676.230000000003</v>
      </c>
      <c r="F53" s="427">
        <f>+E53</f>
        <v>33676.230000000003</v>
      </c>
      <c r="G53" s="409">
        <f>+E53</f>
        <v>33676.230000000003</v>
      </c>
      <c r="H53" s="409">
        <f>+F53</f>
        <v>33676.230000000003</v>
      </c>
      <c r="I53" s="425"/>
    </row>
    <row r="54" spans="1:9" ht="16.5" x14ac:dyDescent="0.3">
      <c r="A54" s="447" t="str">
        <f>+'RS 00XX &amp; 1400'!C16</f>
        <v>MID Energy Audit and Projects Refund</v>
      </c>
      <c r="B54" s="467" t="s">
        <v>561</v>
      </c>
      <c r="C54" s="467" t="s">
        <v>458</v>
      </c>
      <c r="D54" s="411">
        <v>0</v>
      </c>
      <c r="E54" s="1559">
        <f>+'RS 00XX &amp; 1400'!D16</f>
        <v>0</v>
      </c>
      <c r="F54" s="427"/>
      <c r="G54" s="409"/>
      <c r="H54" s="409"/>
      <c r="I54" s="425"/>
    </row>
    <row r="55" spans="1:9" ht="16.5" x14ac:dyDescent="0.3">
      <c r="A55" s="447" t="str">
        <f>+'RS 00XX &amp; 1400'!C18</f>
        <v>E-Rate Refunds and Reimbursements</v>
      </c>
      <c r="B55" s="467" t="s">
        <v>561</v>
      </c>
      <c r="C55" s="467" t="s">
        <v>458</v>
      </c>
      <c r="D55" s="411">
        <v>0</v>
      </c>
      <c r="E55" s="1559">
        <f>+'RS 00XX &amp; 1400'!D18</f>
        <v>1110.8900000000001</v>
      </c>
      <c r="F55" s="427"/>
      <c r="G55" s="409"/>
      <c r="H55" s="409"/>
      <c r="I55" s="425"/>
    </row>
    <row r="56" spans="1:9" ht="16.5" x14ac:dyDescent="0.3">
      <c r="A56" s="428" t="s">
        <v>566</v>
      </c>
      <c r="B56" s="468" t="s">
        <v>565</v>
      </c>
      <c r="C56" s="468" t="s">
        <v>458</v>
      </c>
      <c r="D56" s="411">
        <v>117952.39</v>
      </c>
      <c r="E56" s="1559">
        <v>0</v>
      </c>
      <c r="F56" s="427">
        <v>0</v>
      </c>
      <c r="G56" s="426">
        <v>0</v>
      </c>
      <c r="H56" s="426">
        <v>0</v>
      </c>
      <c r="I56" s="425"/>
    </row>
    <row r="57" spans="1:9" ht="16.5" x14ac:dyDescent="0.3">
      <c r="A57" s="432" t="s">
        <v>564</v>
      </c>
      <c r="B57" s="466"/>
      <c r="C57" s="466"/>
      <c r="D57" s="431"/>
      <c r="E57" s="442"/>
      <c r="F57" s="430"/>
      <c r="G57" s="429"/>
      <c r="H57" s="429"/>
      <c r="I57" s="429"/>
    </row>
    <row r="58" spans="1:9" ht="16.5" x14ac:dyDescent="0.3">
      <c r="A58" s="428" t="s">
        <v>563</v>
      </c>
      <c r="B58" s="467" t="s">
        <v>561</v>
      </c>
      <c r="C58" s="467" t="s">
        <v>560</v>
      </c>
      <c r="D58" s="411">
        <v>0</v>
      </c>
      <c r="E58" s="1559">
        <v>-31107</v>
      </c>
      <c r="F58" s="427">
        <v>0</v>
      </c>
      <c r="G58" s="409">
        <v>0</v>
      </c>
      <c r="H58" s="409">
        <v>0</v>
      </c>
      <c r="I58" s="425"/>
    </row>
    <row r="59" spans="1:9" ht="16.5" x14ac:dyDescent="0.3">
      <c r="A59" s="428" t="s">
        <v>562</v>
      </c>
      <c r="B59" s="468" t="s">
        <v>561</v>
      </c>
      <c r="C59" s="468" t="s">
        <v>560</v>
      </c>
      <c r="D59" s="411">
        <v>0</v>
      </c>
      <c r="E59" s="1559">
        <v>0</v>
      </c>
      <c r="F59" s="427">
        <v>0</v>
      </c>
      <c r="G59" s="426">
        <v>0</v>
      </c>
      <c r="H59" s="426">
        <v>0</v>
      </c>
      <c r="I59" s="425"/>
    </row>
    <row r="60" spans="1:9" x14ac:dyDescent="0.2">
      <c r="E60" s="1561"/>
      <c r="F60" s="424"/>
    </row>
    <row r="61" spans="1:9" ht="16.5" x14ac:dyDescent="0.3">
      <c r="A61" s="415" t="s">
        <v>559</v>
      </c>
      <c r="B61" s="470" t="s">
        <v>558</v>
      </c>
      <c r="C61" s="471"/>
      <c r="D61" s="414"/>
      <c r="E61" s="1562"/>
      <c r="F61" s="413"/>
      <c r="G61" s="412"/>
      <c r="H61" s="412"/>
      <c r="I61" s="412"/>
    </row>
    <row r="62" spans="1:9" ht="16.5" x14ac:dyDescent="0.3">
      <c r="A62" s="408" t="s">
        <v>408</v>
      </c>
      <c r="B62" s="472" t="s">
        <v>556</v>
      </c>
      <c r="D62" s="411">
        <v>61325045.425441563</v>
      </c>
      <c r="E62" s="1563">
        <f>64105744+E58</f>
        <v>64074637</v>
      </c>
      <c r="F62" s="410">
        <v>64408450</v>
      </c>
      <c r="G62" s="419">
        <v>66039942</v>
      </c>
      <c r="H62" s="419">
        <v>68436628</v>
      </c>
    </row>
    <row r="63" spans="1:9" ht="16.5" x14ac:dyDescent="0.3">
      <c r="A63" s="408" t="s">
        <v>356</v>
      </c>
      <c r="B63" s="472" t="s">
        <v>555</v>
      </c>
      <c r="D63" s="411">
        <f>+SUM(D3)</f>
        <v>149454.15</v>
      </c>
      <c r="E63" s="1563">
        <f>+SUM(E3)</f>
        <v>79154</v>
      </c>
      <c r="F63" s="410">
        <f>+SUM(F3)</f>
        <v>0</v>
      </c>
      <c r="G63" s="419">
        <f>+SUM(G3)</f>
        <v>0</v>
      </c>
      <c r="H63" s="419">
        <f>+SUM(H3)</f>
        <v>0</v>
      </c>
    </row>
    <row r="64" spans="1:9" ht="16.5" x14ac:dyDescent="0.3">
      <c r="A64" s="408" t="s">
        <v>554</v>
      </c>
      <c r="B64" s="472" t="s">
        <v>553</v>
      </c>
      <c r="D64" s="411">
        <f>+SUM(D18:D24)</f>
        <v>5708695.7599999998</v>
      </c>
      <c r="E64" s="1563">
        <f>+SUM(E18:E24)</f>
        <v>3125476.26</v>
      </c>
      <c r="F64" s="410">
        <f>+SUM(F18:F24)</f>
        <v>2532124.8600000003</v>
      </c>
      <c r="G64" s="419">
        <f>+SUM(G18:G24)</f>
        <v>1410848.78</v>
      </c>
      <c r="H64" s="419">
        <f>+SUM(H18:H24)</f>
        <v>1437393.78</v>
      </c>
    </row>
    <row r="65" spans="1:9" ht="16.5" x14ac:dyDescent="0.3">
      <c r="A65" s="408" t="s">
        <v>157</v>
      </c>
      <c r="B65" s="472" t="s">
        <v>552</v>
      </c>
      <c r="D65" s="407">
        <f>+SUM(D38:D53)</f>
        <v>410037.2</v>
      </c>
      <c r="E65" s="1564">
        <f>+SUM(E38:E56)</f>
        <v>1163136.3399999999</v>
      </c>
      <c r="F65" s="406">
        <f>+SUM(F38:F56)</f>
        <v>283001.68</v>
      </c>
      <c r="G65" s="405">
        <f>+SUM(G38:G53)</f>
        <v>287882.66149000003</v>
      </c>
      <c r="H65" s="405">
        <f>+SUM(H38:H53)</f>
        <v>287882.66149000003</v>
      </c>
    </row>
    <row r="66" spans="1:9" s="422" customFormat="1" ht="16.5" x14ac:dyDescent="0.3">
      <c r="A66" s="423"/>
      <c r="B66" s="473"/>
      <c r="C66" s="473"/>
      <c r="D66" s="404">
        <f>SUM(D62:D65)</f>
        <v>67593232.535441563</v>
      </c>
      <c r="E66" s="1565">
        <f>SUM(E62:E65)</f>
        <v>68442403.600000009</v>
      </c>
      <c r="F66" s="418">
        <f>SUM(F62:F65)</f>
        <v>67223576.540000007</v>
      </c>
      <c r="G66" s="404">
        <f>SUM(G62:G65)</f>
        <v>67738673.441489995</v>
      </c>
      <c r="H66" s="404">
        <f>SUM(H62:H65)</f>
        <v>70161904.441489995</v>
      </c>
    </row>
    <row r="67" spans="1:9" ht="16.5" x14ac:dyDescent="0.3">
      <c r="A67" s="408"/>
      <c r="D67" s="420">
        <v>0</v>
      </c>
      <c r="E67" s="1566">
        <v>502655.44044727087</v>
      </c>
      <c r="F67" s="421">
        <v>-1605513.444186233</v>
      </c>
      <c r="G67" s="420">
        <v>55410.343213766813</v>
      </c>
      <c r="H67" s="420">
        <v>2200315.1115206927</v>
      </c>
    </row>
    <row r="68" spans="1:9" ht="16.5" x14ac:dyDescent="0.3">
      <c r="A68" s="415" t="s">
        <v>378</v>
      </c>
      <c r="B68" s="471"/>
      <c r="C68" s="471"/>
      <c r="D68" s="414"/>
      <c r="E68" s="1562"/>
      <c r="F68" s="413"/>
      <c r="G68" s="412"/>
      <c r="H68" s="412"/>
      <c r="I68" s="412"/>
    </row>
    <row r="69" spans="1:9" ht="16.5" x14ac:dyDescent="0.3">
      <c r="A69" s="408" t="s">
        <v>408</v>
      </c>
      <c r="B69" s="472" t="s">
        <v>556</v>
      </c>
      <c r="D69" s="411">
        <f>+D33</f>
        <v>1004376</v>
      </c>
      <c r="E69" s="1563">
        <f>+E33</f>
        <v>1041447</v>
      </c>
      <c r="F69" s="410">
        <f>+F33</f>
        <v>1041447</v>
      </c>
      <c r="G69" s="419">
        <f>+G33</f>
        <v>1041447</v>
      </c>
      <c r="H69" s="419">
        <f>+H33</f>
        <v>1041447</v>
      </c>
    </row>
    <row r="70" spans="1:9" ht="16.5" x14ac:dyDescent="0.3">
      <c r="A70" s="408" t="s">
        <v>356</v>
      </c>
      <c r="B70" s="472" t="s">
        <v>555</v>
      </c>
      <c r="D70" s="411">
        <f>+SUM(D4:D16)</f>
        <v>4192188.23</v>
      </c>
      <c r="E70" s="1563">
        <f>+SUM(E4:E16)</f>
        <v>4502668.51</v>
      </c>
      <c r="F70" s="410">
        <f>+SUM(F4:F16)</f>
        <v>4632549.1899999995</v>
      </c>
      <c r="G70" s="419">
        <f>+SUM(G4:G16)</f>
        <v>4359669.9000000004</v>
      </c>
      <c r="H70" s="419">
        <f>+SUM(H4:H16)</f>
        <v>4267250</v>
      </c>
    </row>
    <row r="71" spans="1:9" ht="16.5" x14ac:dyDescent="0.3">
      <c r="A71" s="408" t="s">
        <v>554</v>
      </c>
      <c r="B71" s="472" t="s">
        <v>553</v>
      </c>
      <c r="D71" s="411">
        <f>+SUM(D25:D29,D34)</f>
        <v>1624422.83</v>
      </c>
      <c r="E71" s="1563">
        <f>+SUM(E25:E29,E34)</f>
        <v>1096239.9099999999</v>
      </c>
      <c r="F71" s="410">
        <f>+SUM(F25:F29,F34)</f>
        <v>1044581</v>
      </c>
      <c r="G71" s="419">
        <f>+SUM(G25:G29,G34)</f>
        <v>635587</v>
      </c>
      <c r="H71" s="419">
        <f>+SUM(H25:H29,H34)</f>
        <v>645405</v>
      </c>
    </row>
    <row r="72" spans="1:9" ht="16.5" x14ac:dyDescent="0.3">
      <c r="A72" s="408" t="s">
        <v>157</v>
      </c>
      <c r="B72" s="472" t="s">
        <v>552</v>
      </c>
      <c r="D72" s="407">
        <f>+SUM(D35:D36,D56,D31)</f>
        <v>3612915.58</v>
      </c>
      <c r="E72" s="1564">
        <f>+SUM(E35:E36,E56,E31)</f>
        <v>3441452.2199999997</v>
      </c>
      <c r="F72" s="406">
        <f>+SUM(F35:F36,F56,F31)</f>
        <v>3375424</v>
      </c>
      <c r="G72" s="405">
        <f>+SUM(G35:G36,G56,G31)</f>
        <v>3447822</v>
      </c>
      <c r="H72" s="405">
        <f>+SUM(H35:H36,H56,H31)</f>
        <v>3528656</v>
      </c>
    </row>
    <row r="73" spans="1:9" ht="16.5" x14ac:dyDescent="0.3">
      <c r="A73" s="408"/>
      <c r="D73" s="404">
        <f>SUM(D69:D72)</f>
        <v>10433902.640000001</v>
      </c>
      <c r="E73" s="1565">
        <f>SUM(E69:E72)</f>
        <v>10081807.640000001</v>
      </c>
      <c r="F73" s="418">
        <f>SUM(F69:F72)</f>
        <v>10094001.189999999</v>
      </c>
      <c r="G73" s="404">
        <f>SUM(G69:G72)</f>
        <v>9484525.9000000004</v>
      </c>
      <c r="H73" s="404">
        <f>SUM(H69:H72)</f>
        <v>9482758</v>
      </c>
    </row>
    <row r="74" spans="1:9" ht="16.5" x14ac:dyDescent="0.3">
      <c r="A74" s="408"/>
      <c r="D74" s="416">
        <v>0</v>
      </c>
      <c r="E74" s="1567">
        <v>-114120.74000000022</v>
      </c>
      <c r="F74" s="417">
        <v>811108.50700000115</v>
      </c>
      <c r="G74" s="416">
        <v>-43040.492999998853</v>
      </c>
      <c r="H74" s="416">
        <v>415145.17047329992</v>
      </c>
    </row>
    <row r="75" spans="1:9" ht="16.5" x14ac:dyDescent="0.3">
      <c r="A75" s="415" t="s">
        <v>557</v>
      </c>
      <c r="B75" s="471"/>
      <c r="C75" s="471"/>
      <c r="D75" s="414"/>
      <c r="E75" s="1562"/>
      <c r="F75" s="413"/>
      <c r="G75" s="412"/>
      <c r="H75" s="412"/>
      <c r="I75" s="412"/>
    </row>
    <row r="76" spans="1:9" ht="16.5" x14ac:dyDescent="0.3">
      <c r="A76" s="408" t="s">
        <v>408</v>
      </c>
      <c r="B76" s="472" t="s">
        <v>556</v>
      </c>
      <c r="D76" s="411">
        <f t="shared" ref="D76:H79" si="1">+D62+D69</f>
        <v>62329421.425441563</v>
      </c>
      <c r="E76" s="1563">
        <f t="shared" si="1"/>
        <v>65116084</v>
      </c>
      <c r="F76" s="410">
        <f t="shared" si="1"/>
        <v>65449897</v>
      </c>
      <c r="G76" s="409">
        <f t="shared" si="1"/>
        <v>67081389</v>
      </c>
      <c r="H76" s="409">
        <f t="shared" si="1"/>
        <v>69478075</v>
      </c>
    </row>
    <row r="77" spans="1:9" ht="16.5" x14ac:dyDescent="0.3">
      <c r="A77" s="408" t="s">
        <v>356</v>
      </c>
      <c r="B77" s="472" t="s">
        <v>555</v>
      </c>
      <c r="D77" s="411">
        <f t="shared" si="1"/>
        <v>4341642.38</v>
      </c>
      <c r="E77" s="1563">
        <f t="shared" si="1"/>
        <v>4581822.51</v>
      </c>
      <c r="F77" s="410">
        <f t="shared" si="1"/>
        <v>4632549.1899999995</v>
      </c>
      <c r="G77" s="409">
        <f t="shared" si="1"/>
        <v>4359669.9000000004</v>
      </c>
      <c r="H77" s="409">
        <f t="shared" si="1"/>
        <v>4267250</v>
      </c>
    </row>
    <row r="78" spans="1:9" ht="16.5" x14ac:dyDescent="0.3">
      <c r="A78" s="408" t="s">
        <v>554</v>
      </c>
      <c r="B78" s="472" t="s">
        <v>553</v>
      </c>
      <c r="D78" s="411">
        <f t="shared" si="1"/>
        <v>7333118.5899999999</v>
      </c>
      <c r="E78" s="1563">
        <f t="shared" si="1"/>
        <v>4221716.17</v>
      </c>
      <c r="F78" s="410">
        <f t="shared" si="1"/>
        <v>3576705.8600000003</v>
      </c>
      <c r="G78" s="409">
        <f t="shared" si="1"/>
        <v>2046435.78</v>
      </c>
      <c r="H78" s="409">
        <f t="shared" si="1"/>
        <v>2082798.78</v>
      </c>
    </row>
    <row r="79" spans="1:9" ht="16.5" x14ac:dyDescent="0.3">
      <c r="A79" s="408" t="s">
        <v>157</v>
      </c>
      <c r="B79" s="472" t="s">
        <v>552</v>
      </c>
      <c r="D79" s="407">
        <f t="shared" si="1"/>
        <v>4022952.7800000003</v>
      </c>
      <c r="E79" s="1564">
        <f t="shared" si="1"/>
        <v>4604588.5599999996</v>
      </c>
      <c r="F79" s="406">
        <f t="shared" si="1"/>
        <v>3658425.68</v>
      </c>
      <c r="G79" s="405">
        <f t="shared" si="1"/>
        <v>3735704.6614899999</v>
      </c>
      <c r="H79" s="405">
        <f t="shared" si="1"/>
        <v>3816538.6614899999</v>
      </c>
    </row>
    <row r="80" spans="1:9" ht="13.5" thickBot="1" x14ac:dyDescent="0.25">
      <c r="D80" s="404">
        <f>SUM(D76:D79)</f>
        <v>78027135.175441563</v>
      </c>
      <c r="E80" s="1568">
        <f>SUM(E76:E79)</f>
        <v>78524211.24000001</v>
      </c>
      <c r="F80" s="403">
        <f>SUM(F76:F79)</f>
        <v>77317577.730000004</v>
      </c>
      <c r="G80" s="402">
        <f>SUM(G76:G79)</f>
        <v>77223199.34149</v>
      </c>
      <c r="H80" s="402">
        <f>SUM(H76:H79)</f>
        <v>79644662.441489995</v>
      </c>
    </row>
    <row r="81" spans="3:8" ht="13.5" thickTop="1" x14ac:dyDescent="0.2">
      <c r="E81" s="1556"/>
      <c r="F81" s="401"/>
    </row>
    <row r="82" spans="3:8" x14ac:dyDescent="0.2">
      <c r="C82" s="474" t="s">
        <v>278</v>
      </c>
      <c r="D82" s="398">
        <v>617840.06000000006</v>
      </c>
      <c r="E82" s="398">
        <v>940972.3</v>
      </c>
      <c r="F82" s="398">
        <v>0</v>
      </c>
      <c r="G82" s="398">
        <v>0</v>
      </c>
      <c r="H82" s="398">
        <v>0</v>
      </c>
    </row>
    <row r="83" spans="3:8" ht="6" customHeight="1" x14ac:dyDescent="0.2"/>
    <row r="84" spans="3:8" ht="13.5" thickBot="1" x14ac:dyDescent="0.25">
      <c r="C84" s="474" t="s">
        <v>551</v>
      </c>
      <c r="D84" s="400">
        <f>+D80+D82</f>
        <v>78644975.235441566</v>
      </c>
      <c r="E84" s="400">
        <f>+E80+E82</f>
        <v>79465183.540000007</v>
      </c>
      <c r="F84" s="400">
        <f>+F80+F82</f>
        <v>77317577.730000004</v>
      </c>
      <c r="G84" s="400">
        <f>+G80+G82</f>
        <v>77223199.34149</v>
      </c>
      <c r="H84" s="400">
        <f>+H80+H82</f>
        <v>79644662.441489995</v>
      </c>
    </row>
    <row r="85" spans="3:8" ht="13.5" thickTop="1" x14ac:dyDescent="0.2"/>
    <row r="86" spans="3:8" x14ac:dyDescent="0.2">
      <c r="C86" s="475" t="s">
        <v>550</v>
      </c>
      <c r="D86" s="398">
        <v>78644975.935441539</v>
      </c>
      <c r="E86" s="398">
        <v>79328415.039552733</v>
      </c>
      <c r="F86" s="398">
        <v>76874916.227186233</v>
      </c>
      <c r="G86" s="398">
        <v>76874916.227186233</v>
      </c>
      <c r="H86" s="398">
        <v>76826448.390106007</v>
      </c>
    </row>
    <row r="87" spans="3:8" x14ac:dyDescent="0.2">
      <c r="C87" s="475" t="s">
        <v>549</v>
      </c>
      <c r="D87" s="399">
        <f>+D84-D86</f>
        <v>-0.69999997317790985</v>
      </c>
      <c r="E87" s="399">
        <f>+E84-E86</f>
        <v>136768.50044727325</v>
      </c>
      <c r="F87" s="399">
        <f>+F84-F86</f>
        <v>442661.50281377137</v>
      </c>
      <c r="G87" s="399">
        <f>+G84-G86</f>
        <v>348283.11430376768</v>
      </c>
      <c r="H87" s="399">
        <f>+H84-H86</f>
        <v>2818214.0513839871</v>
      </c>
    </row>
  </sheetData>
  <hyperlinks>
    <hyperlink ref="I4" r:id="rId1"/>
    <hyperlink ref="I9" r:id="rId2"/>
    <hyperlink ref="I12" r:id="rId3"/>
    <hyperlink ref="I14" r:id="rId4"/>
    <hyperlink ref="I18" r:id="rId5"/>
  </hyperlinks>
  <pageMargins left="0.25" right="0.25" top="0.5" bottom="0.2" header="0.5" footer="0.17"/>
  <pageSetup orientation="portrait" r:id="rId6"/>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P75"/>
  <sheetViews>
    <sheetView showGridLines="0" zoomScaleNormal="100" workbookViewId="0"/>
  </sheetViews>
  <sheetFormatPr defaultColWidth="0" defaultRowHeight="14.25" zeroHeight="1" x14ac:dyDescent="0.2"/>
  <cols>
    <col min="1" max="1" width="3.5703125" style="2050" customWidth="1"/>
    <col min="2" max="2" width="30.85546875" style="2056" bestFit="1" customWidth="1"/>
    <col min="3" max="3" width="1.42578125" style="2052" bestFit="1" customWidth="1"/>
    <col min="4" max="7" width="20.7109375" style="2053" customWidth="1"/>
    <col min="8" max="8" width="3.5703125" style="2054" customWidth="1"/>
    <col min="9" max="9" width="9.140625" style="2054" hidden="1" customWidth="1"/>
    <col min="10" max="10" width="9.140625" style="2055" hidden="1" customWidth="1"/>
    <col min="11" max="40" width="9.140625" style="2051" hidden="1" customWidth="1"/>
    <col min="41" max="42" width="0" style="2051" hidden="1" customWidth="1"/>
    <col min="43" max="16384" width="9.140625" style="2051" hidden="1"/>
  </cols>
  <sheetData>
    <row r="1" spans="2:7" x14ac:dyDescent="0.2">
      <c r="B1" s="2051"/>
    </row>
    <row r="2" spans="2:7" x14ac:dyDescent="0.2">
      <c r="B2" s="2204" t="s">
        <v>690</v>
      </c>
      <c r="C2" s="2204"/>
      <c r="D2" s="2204"/>
      <c r="E2" s="2204"/>
      <c r="F2" s="2204"/>
      <c r="G2" s="2204"/>
    </row>
    <row r="3" spans="2:7" x14ac:dyDescent="0.2"/>
    <row r="4" spans="2:7" x14ac:dyDescent="0.2">
      <c r="B4" s="2057" t="s">
        <v>543</v>
      </c>
      <c r="C4" s="2058"/>
      <c r="D4" s="2059"/>
      <c r="E4" s="2059"/>
      <c r="F4" s="2059"/>
      <c r="G4" s="2060"/>
    </row>
    <row r="5" spans="2:7" x14ac:dyDescent="0.2">
      <c r="B5" s="2061"/>
      <c r="C5" s="2062"/>
      <c r="D5" s="2063"/>
      <c r="E5" s="2064"/>
      <c r="F5" s="2062"/>
      <c r="G5" s="2065"/>
    </row>
    <row r="6" spans="2:7" x14ac:dyDescent="0.2">
      <c r="B6" s="2066"/>
      <c r="C6" s="2067"/>
      <c r="D6" s="2067" t="s">
        <v>294</v>
      </c>
      <c r="E6" s="2067" t="s">
        <v>295</v>
      </c>
      <c r="F6" s="2067" t="s">
        <v>296</v>
      </c>
      <c r="G6" s="2068" t="s">
        <v>297</v>
      </c>
    </row>
    <row r="7" spans="2:7" x14ac:dyDescent="0.2">
      <c r="B7" s="2069" t="s">
        <v>1045</v>
      </c>
      <c r="C7" s="2070"/>
      <c r="D7" s="2071">
        <f>+COMBINED!F27</f>
        <v>38407868.150000006</v>
      </c>
      <c r="E7" s="2072">
        <f>+COMBINED!G27</f>
        <v>39030720.079999998</v>
      </c>
      <c r="F7" s="2072">
        <f>+COMBINED!H27</f>
        <v>39025178.626025468</v>
      </c>
      <c r="G7" s="2073">
        <f>+COMBINED!I27</f>
        <v>39171763.269451134</v>
      </c>
    </row>
    <row r="8" spans="2:7" x14ac:dyDescent="0.2">
      <c r="B8" s="2069" t="s">
        <v>1023</v>
      </c>
      <c r="C8" s="2070"/>
      <c r="D8" s="2072"/>
      <c r="E8" s="2072">
        <f>E7-D7</f>
        <v>622851.92999999225</v>
      </c>
      <c r="F8" s="2072">
        <f>F7-E7</f>
        <v>-5541.4539745301008</v>
      </c>
      <c r="G8" s="2073">
        <f>G7-F7</f>
        <v>146584.6434256658</v>
      </c>
    </row>
    <row r="9" spans="2:7" x14ac:dyDescent="0.2">
      <c r="B9" s="2069" t="s">
        <v>1024</v>
      </c>
      <c r="C9" s="2070"/>
      <c r="D9" s="2072"/>
      <c r="E9" s="2074">
        <f>+E8/D7</f>
        <v>1.621677952984725E-2</v>
      </c>
      <c r="F9" s="2074">
        <f t="shared" ref="F9:G9" si="0">+F8/E7</f>
        <v>-1.4197672918080841E-4</v>
      </c>
      <c r="G9" s="2075">
        <f t="shared" si="0"/>
        <v>3.7561556048307256E-3</v>
      </c>
    </row>
    <row r="10" spans="2:7" x14ac:dyDescent="0.2">
      <c r="B10" s="2069"/>
      <c r="C10" s="2070"/>
      <c r="D10" s="2072"/>
      <c r="E10" s="2072"/>
      <c r="F10" s="2074"/>
      <c r="G10" s="2073"/>
    </row>
    <row r="11" spans="2:7" x14ac:dyDescent="0.2">
      <c r="B11" s="2069" t="s">
        <v>544</v>
      </c>
      <c r="C11" s="2070"/>
      <c r="D11" s="2076">
        <f>+'MYP Assumptions'!$D$55</f>
        <v>0.1258</v>
      </c>
      <c r="E11" s="2076">
        <f>+'MYP Assumptions'!E55</f>
        <v>0.14430000000000001</v>
      </c>
      <c r="F11" s="2076">
        <f>+'MYP Assumptions'!F55</f>
        <v>0.1628</v>
      </c>
      <c r="G11" s="2077">
        <f>+'MYP Assumptions'!G55</f>
        <v>0.18129999999999999</v>
      </c>
    </row>
    <row r="12" spans="2:7" ht="15" customHeight="1" x14ac:dyDescent="0.2">
      <c r="B12" s="2078" t="s">
        <v>669</v>
      </c>
      <c r="C12" s="2079"/>
      <c r="D12" s="2080" t="s">
        <v>546</v>
      </c>
      <c r="E12" s="2081">
        <f t="shared" ref="E12:G12" si="1">E11-D11</f>
        <v>1.8500000000000016E-2</v>
      </c>
      <c r="F12" s="2081">
        <f t="shared" si="1"/>
        <v>1.8499999999999989E-2</v>
      </c>
      <c r="G12" s="2082">
        <f t="shared" si="1"/>
        <v>1.8499999999999989E-2</v>
      </c>
    </row>
    <row r="13" spans="2:7" ht="15" customHeight="1" x14ac:dyDescent="0.2">
      <c r="B13" s="2078"/>
      <c r="C13" s="2079"/>
      <c r="D13" s="2080"/>
      <c r="E13" s="2081"/>
      <c r="F13" s="2081"/>
      <c r="G13" s="2082"/>
    </row>
    <row r="14" spans="2:7" x14ac:dyDescent="0.2">
      <c r="B14" s="2069" t="s">
        <v>545</v>
      </c>
      <c r="C14" s="2070" t="s">
        <v>141</v>
      </c>
      <c r="D14" s="2072">
        <f>+COMBINED!F34</f>
        <v>4866944.53</v>
      </c>
      <c r="E14" s="2072">
        <f>+COMBINED!G34</f>
        <v>5760501</v>
      </c>
      <c r="F14" s="2072">
        <f>+COMBINED!H34</f>
        <v>6363900</v>
      </c>
      <c r="G14" s="2073">
        <f>+COMBINED!I34</f>
        <v>7112574</v>
      </c>
    </row>
    <row r="15" spans="2:7" x14ac:dyDescent="0.2">
      <c r="B15" s="2078" t="s">
        <v>670</v>
      </c>
      <c r="C15" s="2079"/>
      <c r="D15" s="2083" t="s">
        <v>547</v>
      </c>
      <c r="E15" s="2084">
        <f>E14-D14</f>
        <v>893556.46999999974</v>
      </c>
      <c r="F15" s="2084">
        <f>F14-E14</f>
        <v>603399</v>
      </c>
      <c r="G15" s="2085">
        <f>G14-F14</f>
        <v>748674</v>
      </c>
    </row>
    <row r="16" spans="2:7" x14ac:dyDescent="0.2">
      <c r="B16" s="2069" t="s">
        <v>1025</v>
      </c>
      <c r="C16" s="2070"/>
      <c r="D16" s="2083"/>
      <c r="E16" s="2086">
        <f>+E15/D14</f>
        <v>0.18359701132652928</v>
      </c>
      <c r="F16" s="2086">
        <f>+F15/E14</f>
        <v>0.10474765996915893</v>
      </c>
      <c r="G16" s="2087">
        <f>+G15/F14</f>
        <v>0.11764389760995615</v>
      </c>
    </row>
    <row r="17" spans="1:10" x14ac:dyDescent="0.2">
      <c r="B17" s="2069"/>
      <c r="C17" s="2070"/>
      <c r="D17" s="2083"/>
      <c r="E17" s="2086"/>
      <c r="F17" s="2086"/>
      <c r="G17" s="2087"/>
    </row>
    <row r="18" spans="1:10" x14ac:dyDescent="0.2">
      <c r="B18" s="2069"/>
      <c r="C18" s="2070"/>
      <c r="D18" s="2088"/>
      <c r="E18" s="2088"/>
      <c r="F18" s="2070" t="s">
        <v>691</v>
      </c>
      <c r="G18" s="2089">
        <f>SUM(E15:G15)</f>
        <v>2245629.4699999997</v>
      </c>
    </row>
    <row r="19" spans="1:10" x14ac:dyDescent="0.2">
      <c r="B19" s="2069"/>
      <c r="C19" s="2090"/>
      <c r="D19" s="2088"/>
      <c r="E19" s="2088"/>
      <c r="F19" s="2088"/>
      <c r="G19" s="2091"/>
    </row>
    <row r="20" spans="1:10" x14ac:dyDescent="0.2">
      <c r="B20" s="2205" t="s">
        <v>1042</v>
      </c>
      <c r="C20" s="2206"/>
      <c r="D20" s="2206"/>
      <c r="E20" s="2206"/>
      <c r="F20" s="2206"/>
      <c r="G20" s="2207"/>
    </row>
    <row r="21" spans="1:10" x14ac:dyDescent="0.2">
      <c r="B21" s="2069" t="s">
        <v>1039</v>
      </c>
      <c r="C21" s="2070"/>
      <c r="D21" s="2092">
        <f>+'MYP Assumptions'!$D$55</f>
        <v>0.1258</v>
      </c>
      <c r="E21" s="2092">
        <f>+'MYP Assumptions'!$D$55</f>
        <v>0.1258</v>
      </c>
      <c r="F21" s="2092">
        <f>+'MYP Assumptions'!$D$55</f>
        <v>0.1258</v>
      </c>
      <c r="G21" s="2093">
        <f>+'MYP Assumptions'!$D$55</f>
        <v>0.1258</v>
      </c>
    </row>
    <row r="22" spans="1:10" x14ac:dyDescent="0.2">
      <c r="B22" s="2069" t="s">
        <v>545</v>
      </c>
      <c r="C22" s="2070"/>
      <c r="D22" s="2094">
        <f>+D14</f>
        <v>4866944.53</v>
      </c>
      <c r="E22" s="2095">
        <f>+E7*E21</f>
        <v>4910064.5860639997</v>
      </c>
      <c r="F22" s="2095">
        <f t="shared" ref="F22:G22" si="2">+F7*F21</f>
        <v>4909367.4711540034</v>
      </c>
      <c r="G22" s="2096">
        <f t="shared" si="2"/>
        <v>4927807.8192969523</v>
      </c>
    </row>
    <row r="23" spans="1:10" x14ac:dyDescent="0.2">
      <c r="B23" s="2078" t="s">
        <v>670</v>
      </c>
      <c r="C23" s="2070"/>
      <c r="D23" s="2083"/>
      <c r="E23" s="2097">
        <f>+E22-D22</f>
        <v>43120.056063999422</v>
      </c>
      <c r="F23" s="2097">
        <f>+F22-E22</f>
        <v>-697.11490999627858</v>
      </c>
      <c r="G23" s="2098">
        <f>+G22-F22</f>
        <v>18440.348142948933</v>
      </c>
    </row>
    <row r="24" spans="1:10" x14ac:dyDescent="0.2">
      <c r="B24" s="2069" t="s">
        <v>1025</v>
      </c>
      <c r="C24" s="2070"/>
      <c r="D24" s="2099"/>
      <c r="E24" s="2074">
        <f>+E23/D22</f>
        <v>8.8597796416634775E-3</v>
      </c>
      <c r="F24" s="2100">
        <f t="shared" ref="F24:G24" si="3">+F23/E22</f>
        <v>-1.4197672918088823E-4</v>
      </c>
      <c r="G24" s="2101">
        <f t="shared" si="3"/>
        <v>3.7561556048307616E-3</v>
      </c>
    </row>
    <row r="25" spans="1:10" x14ac:dyDescent="0.2">
      <c r="B25" s="2069"/>
      <c r="C25" s="2070"/>
      <c r="D25" s="2102"/>
      <c r="E25" s="2100"/>
      <c r="F25" s="2100"/>
      <c r="G25" s="2103" t="s">
        <v>1043</v>
      </c>
    </row>
    <row r="26" spans="1:10" x14ac:dyDescent="0.2">
      <c r="B26" s="2069"/>
      <c r="C26" s="2070"/>
      <c r="D26" s="2083"/>
      <c r="E26" s="2086"/>
      <c r="F26" s="2086"/>
      <c r="G26" s="2087"/>
    </row>
    <row r="27" spans="1:10" x14ac:dyDescent="0.2">
      <c r="B27" s="2069" t="s">
        <v>1040</v>
      </c>
      <c r="C27" s="2070"/>
      <c r="D27" s="2083"/>
      <c r="E27" s="2097">
        <f>+E14-E22</f>
        <v>850436.41393600032</v>
      </c>
      <c r="F27" s="2097">
        <f>+F14-F22</f>
        <v>1454532.5288459966</v>
      </c>
      <c r="G27" s="2098">
        <f>+G14-G22</f>
        <v>2184766.1807030477</v>
      </c>
    </row>
    <row r="28" spans="1:10" x14ac:dyDescent="0.2">
      <c r="B28" s="2069" t="s">
        <v>1041</v>
      </c>
      <c r="C28" s="2070"/>
      <c r="D28" s="2083"/>
      <c r="E28" s="2086"/>
      <c r="F28" s="2086"/>
      <c r="G28" s="2087"/>
    </row>
    <row r="29" spans="1:10" x14ac:dyDescent="0.2">
      <c r="B29" s="2069"/>
      <c r="C29" s="2090"/>
      <c r="D29" s="2088"/>
      <c r="E29" s="2088"/>
      <c r="F29" s="2088"/>
      <c r="G29" s="2104"/>
    </row>
    <row r="30" spans="1:10" x14ac:dyDescent="0.2">
      <c r="B30" s="2105" t="s">
        <v>210</v>
      </c>
      <c r="C30" s="2106"/>
      <c r="D30" s="2107"/>
      <c r="E30" s="2107"/>
      <c r="F30" s="2107"/>
      <c r="G30" s="2108"/>
    </row>
    <row r="31" spans="1:10" s="2116" customFormat="1" x14ac:dyDescent="0.2">
      <c r="A31" s="2109"/>
      <c r="B31" s="2069"/>
      <c r="C31" s="2090"/>
      <c r="D31" s="2110"/>
      <c r="E31" s="2111"/>
      <c r="F31" s="2112"/>
      <c r="G31" s="2113"/>
      <c r="H31" s="2114"/>
      <c r="I31" s="2114"/>
      <c r="J31" s="2115"/>
    </row>
    <row r="32" spans="1:10" s="2120" customFormat="1" x14ac:dyDescent="0.2">
      <c r="A32" s="2117"/>
      <c r="B32" s="2066"/>
      <c r="C32" s="2067"/>
      <c r="D32" s="2067" t="s">
        <v>294</v>
      </c>
      <c r="E32" s="2067" t="s">
        <v>295</v>
      </c>
      <c r="F32" s="2067" t="s">
        <v>296</v>
      </c>
      <c r="G32" s="2068" t="s">
        <v>297</v>
      </c>
      <c r="H32" s="2118"/>
      <c r="I32" s="2118"/>
      <c r="J32" s="2119"/>
    </row>
    <row r="33" spans="2:7" x14ac:dyDescent="0.2">
      <c r="B33" s="2069" t="s">
        <v>1044</v>
      </c>
      <c r="C33" s="2070"/>
      <c r="D33" s="2121">
        <f>+COMBINED!F28</f>
        <v>11561704.179999998</v>
      </c>
      <c r="E33" s="2072">
        <f>+COMBINED!G28</f>
        <v>12694213</v>
      </c>
      <c r="F33" s="2072">
        <f>+COMBINED!H28</f>
        <v>12867612</v>
      </c>
      <c r="G33" s="2073">
        <f>+COMBINED!I28</f>
        <v>13062604</v>
      </c>
    </row>
    <row r="34" spans="2:7" x14ac:dyDescent="0.2">
      <c r="B34" s="2069" t="s">
        <v>1046</v>
      </c>
      <c r="C34" s="2070"/>
      <c r="D34" s="2072"/>
      <c r="E34" s="2072">
        <f>E33-D33</f>
        <v>1132508.8200000022</v>
      </c>
      <c r="F34" s="2072">
        <f>F33-E33</f>
        <v>173399</v>
      </c>
      <c r="G34" s="2073">
        <f>G33-F33</f>
        <v>194992</v>
      </c>
    </row>
    <row r="35" spans="2:7" x14ac:dyDescent="0.2">
      <c r="B35" s="2069"/>
      <c r="C35" s="2070"/>
      <c r="D35" s="2072"/>
      <c r="E35" s="2074">
        <f>+E34/D33</f>
        <v>9.7953450665090647E-2</v>
      </c>
      <c r="F35" s="2074">
        <f t="shared" ref="F35:G35" si="4">+F34/E33</f>
        <v>1.3659688867675372E-2</v>
      </c>
      <c r="G35" s="2075">
        <f t="shared" si="4"/>
        <v>1.5153705287352463E-2</v>
      </c>
    </row>
    <row r="36" spans="2:7" x14ac:dyDescent="0.2">
      <c r="B36" s="2069"/>
      <c r="C36" s="2070"/>
      <c r="D36" s="2072"/>
      <c r="E36" s="2122"/>
      <c r="F36" s="2072"/>
      <c r="G36" s="2073"/>
    </row>
    <row r="37" spans="2:7" x14ac:dyDescent="0.2">
      <c r="B37" s="2069" t="s">
        <v>1047</v>
      </c>
      <c r="C37" s="2070"/>
      <c r="D37" s="2123">
        <f>+'MYP Assumptions'!$D$56</f>
        <v>0.13888</v>
      </c>
      <c r="E37" s="2123">
        <f>+'MYP Assumptions'!E56</f>
        <v>0.15531</v>
      </c>
      <c r="F37" s="2124">
        <f>+'MYP Assumptions'!F56</f>
        <v>0.18099999999999999</v>
      </c>
      <c r="G37" s="2125">
        <f>+'MYP Assumptions'!G56</f>
        <v>0.20799999999999999</v>
      </c>
    </row>
    <row r="38" spans="2:7" x14ac:dyDescent="0.2">
      <c r="B38" s="2078" t="s">
        <v>669</v>
      </c>
      <c r="C38" s="2079"/>
      <c r="D38" s="2080" t="s">
        <v>546</v>
      </c>
      <c r="E38" s="2126">
        <f>+E37-D37</f>
        <v>1.643E-2</v>
      </c>
      <c r="F38" s="2127">
        <f>+F37-E37</f>
        <v>2.5689999999999991E-2</v>
      </c>
      <c r="G38" s="2128">
        <f>+G37-F37</f>
        <v>2.6999999999999996E-2</v>
      </c>
    </row>
    <row r="39" spans="2:7" x14ac:dyDescent="0.2">
      <c r="B39" s="2129"/>
      <c r="C39" s="2110"/>
      <c r="D39" s="2126"/>
      <c r="E39" s="2126"/>
      <c r="F39" s="2130"/>
      <c r="G39" s="2131"/>
    </row>
    <row r="40" spans="2:7" x14ac:dyDescent="0.2">
      <c r="B40" s="2069" t="s">
        <v>548</v>
      </c>
      <c r="C40" s="2070"/>
      <c r="D40" s="2072">
        <f>+COMBINED!F35</f>
        <v>1428052.88</v>
      </c>
      <c r="E40" s="2072">
        <f>+COMBINED!G35</f>
        <v>1805544</v>
      </c>
      <c r="F40" s="2072">
        <f>+COMBINED!H35</f>
        <v>2310537</v>
      </c>
      <c r="G40" s="2073">
        <f>+COMBINED!I35</f>
        <v>2695398</v>
      </c>
    </row>
    <row r="41" spans="2:7" x14ac:dyDescent="0.2">
      <c r="B41" s="2078" t="s">
        <v>670</v>
      </c>
      <c r="C41" s="2079"/>
      <c r="D41" s="2083" t="s">
        <v>547</v>
      </c>
      <c r="E41" s="2084">
        <f>E40-D40</f>
        <v>377491.12000000011</v>
      </c>
      <c r="F41" s="2084">
        <f>F40-E40</f>
        <v>504993</v>
      </c>
      <c r="G41" s="2085">
        <f>G40-F40</f>
        <v>384861</v>
      </c>
    </row>
    <row r="42" spans="2:7" x14ac:dyDescent="0.2">
      <c r="B42" s="2069" t="s">
        <v>1025</v>
      </c>
      <c r="C42" s="2070"/>
      <c r="D42" s="2083"/>
      <c r="E42" s="2086">
        <f>+E41/D40</f>
        <v>0.26433973509440362</v>
      </c>
      <c r="F42" s="2086">
        <f>+F41/E40</f>
        <v>0.2796902207866438</v>
      </c>
      <c r="G42" s="2087">
        <f>+G41/F40</f>
        <v>0.16656777190756955</v>
      </c>
    </row>
    <row r="43" spans="2:7" ht="15" customHeight="1" x14ac:dyDescent="0.2">
      <c r="B43" s="2069"/>
      <c r="C43" s="2070"/>
      <c r="D43" s="2083"/>
      <c r="E43" s="2088"/>
      <c r="F43" s="2088"/>
      <c r="G43" s="2104"/>
    </row>
    <row r="44" spans="2:7" x14ac:dyDescent="0.2">
      <c r="B44" s="2069"/>
      <c r="C44" s="2070"/>
      <c r="D44" s="2088"/>
      <c r="E44" s="2088"/>
      <c r="F44" s="2070" t="s">
        <v>691</v>
      </c>
      <c r="G44" s="2132">
        <f>SUM(E41:G41)</f>
        <v>1267345.1200000001</v>
      </c>
    </row>
    <row r="45" spans="2:7" x14ac:dyDescent="0.2">
      <c r="B45" s="2069"/>
      <c r="C45" s="2090"/>
      <c r="D45" s="2088"/>
      <c r="E45" s="2088"/>
      <c r="F45" s="2088"/>
      <c r="G45" s="2091"/>
    </row>
    <row r="46" spans="2:7" x14ac:dyDescent="0.2">
      <c r="B46" s="2205" t="s">
        <v>1042</v>
      </c>
      <c r="C46" s="2206"/>
      <c r="D46" s="2206"/>
      <c r="E46" s="2206"/>
      <c r="F46" s="2206"/>
      <c r="G46" s="2207"/>
    </row>
    <row r="47" spans="2:7" x14ac:dyDescent="0.2">
      <c r="B47" s="2069" t="s">
        <v>1039</v>
      </c>
      <c r="C47" s="2070"/>
      <c r="D47" s="2133">
        <f>+'MYP Assumptions'!$D$56</f>
        <v>0.13888</v>
      </c>
      <c r="E47" s="2133">
        <f>+'MYP Assumptions'!$D$56</f>
        <v>0.13888</v>
      </c>
      <c r="F47" s="2133">
        <f>+'MYP Assumptions'!$D$56</f>
        <v>0.13888</v>
      </c>
      <c r="G47" s="2134">
        <f>+'MYP Assumptions'!$D$56</f>
        <v>0.13888</v>
      </c>
    </row>
    <row r="48" spans="2:7" x14ac:dyDescent="0.2">
      <c r="B48" s="2069" t="s">
        <v>548</v>
      </c>
      <c r="C48" s="2070"/>
      <c r="D48" s="2094">
        <f>+D40</f>
        <v>1428052.88</v>
      </c>
      <c r="E48" s="2095">
        <f>+E33*E47</f>
        <v>1762972.3014400001</v>
      </c>
      <c r="F48" s="2095">
        <f t="shared" ref="F48" si="5">+F33*F47</f>
        <v>1787053.95456</v>
      </c>
      <c r="G48" s="2096">
        <f>+G33*G47</f>
        <v>1814134.44352</v>
      </c>
    </row>
    <row r="49" spans="2:7" x14ac:dyDescent="0.2">
      <c r="B49" s="2078" t="s">
        <v>670</v>
      </c>
      <c r="C49" s="2070"/>
      <c r="D49" s="2083"/>
      <c r="E49" s="2097">
        <f>+E48-D48</f>
        <v>334919.42144000018</v>
      </c>
      <c r="F49" s="2097">
        <f>+F48-E48</f>
        <v>24081.653119999915</v>
      </c>
      <c r="G49" s="2098">
        <f>+G48-F48</f>
        <v>27080.488959999988</v>
      </c>
    </row>
    <row r="50" spans="2:7" x14ac:dyDescent="0.2">
      <c r="B50" s="2069" t="s">
        <v>1025</v>
      </c>
      <c r="C50" s="2070"/>
      <c r="D50" s="2135"/>
      <c r="E50" s="2074">
        <f>+E49/D48</f>
        <v>0.23452872518278189</v>
      </c>
      <c r="F50" s="2100">
        <f>+F49/E48</f>
        <v>1.3659688867675324E-2</v>
      </c>
      <c r="G50" s="2101">
        <f>+G49/F48</f>
        <v>1.5153705287352456E-2</v>
      </c>
    </row>
    <row r="51" spans="2:7" x14ac:dyDescent="0.2">
      <c r="B51" s="2069"/>
      <c r="C51" s="2070"/>
      <c r="D51" s="2102"/>
      <c r="E51" s="2100"/>
      <c r="F51" s="2100"/>
      <c r="G51" s="2103" t="s">
        <v>1048</v>
      </c>
    </row>
    <row r="52" spans="2:7" x14ac:dyDescent="0.2">
      <c r="B52" s="2069"/>
      <c r="C52" s="2070"/>
      <c r="D52" s="2083"/>
      <c r="E52" s="2086"/>
      <c r="F52" s="2086"/>
      <c r="G52" s="2087"/>
    </row>
    <row r="53" spans="2:7" x14ac:dyDescent="0.2">
      <c r="B53" s="2069" t="s">
        <v>1040</v>
      </c>
      <c r="C53" s="2070"/>
      <c r="D53" s="2083"/>
      <c r="E53" s="2097">
        <f>+E40-E48</f>
        <v>42571.698559999932</v>
      </c>
      <c r="F53" s="2097">
        <f>+F40-F48</f>
        <v>523483.04544000002</v>
      </c>
      <c r="G53" s="2098">
        <f>+G40-G48</f>
        <v>881263.55648000003</v>
      </c>
    </row>
    <row r="54" spans="2:7" x14ac:dyDescent="0.2">
      <c r="B54" s="2069" t="s">
        <v>1049</v>
      </c>
      <c r="C54" s="2070"/>
      <c r="D54" s="2083"/>
      <c r="E54" s="2086"/>
      <c r="F54" s="2086"/>
      <c r="G54" s="2087"/>
    </row>
    <row r="55" spans="2:7" x14ac:dyDescent="0.2">
      <c r="B55" s="2136"/>
      <c r="C55" s="2137"/>
      <c r="D55" s="2138"/>
      <c r="E55" s="2138"/>
      <c r="F55" s="2138"/>
      <c r="G55" s="2139"/>
    </row>
    <row r="56" spans="2:7" ht="15.75" customHeight="1" x14ac:dyDescent="0.2">
      <c r="B56" s="2063"/>
      <c r="C56" s="2062"/>
      <c r="D56" s="2140"/>
      <c r="E56" s="2140"/>
      <c r="F56" s="2140"/>
      <c r="G56" s="2140"/>
    </row>
    <row r="57" spans="2:7" hidden="1" x14ac:dyDescent="0.2">
      <c r="B57" s="2053"/>
      <c r="C57" s="2053"/>
    </row>
    <row r="58" spans="2:7" hidden="1" x14ac:dyDescent="0.2"/>
    <row r="59" spans="2:7" hidden="1" x14ac:dyDescent="0.2"/>
    <row r="60" spans="2:7" hidden="1" x14ac:dyDescent="0.2"/>
    <row r="61" spans="2:7" hidden="1" x14ac:dyDescent="0.2"/>
    <row r="62" spans="2:7" hidden="1" x14ac:dyDescent="0.2"/>
    <row r="63" spans="2:7" hidden="1" x14ac:dyDescent="0.2"/>
    <row r="64" spans="2:7"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sheetData>
  <sheetProtection password="B79F" sheet="1" objects="1" scenarios="1"/>
  <mergeCells count="3">
    <mergeCell ref="B2:G2"/>
    <mergeCell ref="B20:G20"/>
    <mergeCell ref="B46:G46"/>
  </mergeCells>
  <pageMargins left="0.24" right="0.24" top="0.24" bottom="0.24" header="0.24" footer="0.24"/>
  <pageSetup scale="86" orientation="portrait" r:id="rId1"/>
  <headerFooter>
    <oddHeader>&amp;L&amp;F</oddHead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3:J45"/>
  <sheetViews>
    <sheetView showGridLines="0" zoomScaleNormal="100" workbookViewId="0">
      <selection activeCell="D13" sqref="D13"/>
    </sheetView>
  </sheetViews>
  <sheetFormatPr defaultRowHeight="15" x14ac:dyDescent="0.25"/>
  <cols>
    <col min="1" max="1" width="6" style="164" customWidth="1"/>
    <col min="2" max="2" width="5.140625" style="165" customWidth="1"/>
    <col min="3" max="3" width="17.140625" style="166" customWidth="1"/>
    <col min="4" max="7" width="15.42578125" style="168" customWidth="1"/>
    <col min="8" max="10" width="15.42578125" style="168" hidden="1" customWidth="1"/>
    <col min="11" max="16384" width="9.140625" style="165"/>
  </cols>
  <sheetData>
    <row r="3" spans="1:10" x14ac:dyDescent="0.25">
      <c r="A3" s="164" t="s">
        <v>282</v>
      </c>
      <c r="D3" s="167" t="s">
        <v>55</v>
      </c>
      <c r="E3" s="167" t="str">
        <f>LEFT(D3,4)+1&amp;"-"&amp;RIGHT(D3,4)+1</f>
        <v>2017-2018</v>
      </c>
      <c r="F3" s="167" t="str">
        <f t="shared" ref="F3:J3" si="0">LEFT(E3,4)+1&amp;"-"&amp;RIGHT(E3,4)+1</f>
        <v>2018-2019</v>
      </c>
      <c r="G3" s="167" t="str">
        <f t="shared" si="0"/>
        <v>2019-2020</v>
      </c>
      <c r="H3" s="167" t="str">
        <f t="shared" si="0"/>
        <v>2020-2021</v>
      </c>
      <c r="I3" s="167" t="str">
        <f t="shared" si="0"/>
        <v>2021-2022</v>
      </c>
      <c r="J3" s="167" t="str">
        <f t="shared" si="0"/>
        <v>2022-2023</v>
      </c>
    </row>
    <row r="4" spans="1:10" x14ac:dyDescent="0.25">
      <c r="A4" s="164" t="s">
        <v>286</v>
      </c>
      <c r="F4" s="169"/>
      <c r="G4" s="169"/>
      <c r="H4" s="169"/>
      <c r="I4" s="169"/>
      <c r="J4" s="169"/>
    </row>
    <row r="5" spans="1:10" x14ac:dyDescent="0.25">
      <c r="B5" s="165" t="s">
        <v>287</v>
      </c>
      <c r="D5" s="169">
        <f>+'RS 0617'!D7</f>
        <v>1526770.77</v>
      </c>
      <c r="E5" s="169">
        <f>D9</f>
        <v>816257.51</v>
      </c>
      <c r="F5" s="169">
        <f t="shared" ref="F5:J5" si="1">E9</f>
        <v>1792137.51</v>
      </c>
      <c r="G5" s="169">
        <f t="shared" si="1"/>
        <v>1977036.2799999998</v>
      </c>
      <c r="H5" s="169">
        <f t="shared" si="1"/>
        <v>2427036.2799999998</v>
      </c>
      <c r="I5" s="169">
        <f t="shared" si="1"/>
        <v>0</v>
      </c>
      <c r="J5" s="169">
        <f t="shared" si="1"/>
        <v>100000</v>
      </c>
    </row>
    <row r="6" spans="1:10" x14ac:dyDescent="0.25">
      <c r="C6" s="166" t="s">
        <v>288</v>
      </c>
      <c r="D6" s="169">
        <v>450000</v>
      </c>
      <c r="E6" s="169">
        <f>D6</f>
        <v>450000</v>
      </c>
      <c r="F6" s="169">
        <f t="shared" ref="F6:J6" si="2">E6</f>
        <v>450000</v>
      </c>
      <c r="G6" s="169">
        <f t="shared" si="2"/>
        <v>450000</v>
      </c>
      <c r="H6" s="169">
        <f t="shared" si="2"/>
        <v>450000</v>
      </c>
      <c r="I6" s="169">
        <f t="shared" si="2"/>
        <v>450000</v>
      </c>
      <c r="J6" s="169">
        <f t="shared" si="2"/>
        <v>450000</v>
      </c>
    </row>
    <row r="7" spans="1:10" x14ac:dyDescent="0.25">
      <c r="C7" s="170" t="s">
        <v>289</v>
      </c>
      <c r="D7" s="171">
        <f>+'RS 0617'!D10</f>
        <v>807000</v>
      </c>
      <c r="E7" s="171">
        <f>+'RS 0617'!H10</f>
        <v>574380</v>
      </c>
      <c r="F7" s="171">
        <v>991315.92</v>
      </c>
      <c r="G7" s="171">
        <v>0</v>
      </c>
      <c r="H7" s="171">
        <v>0</v>
      </c>
      <c r="I7" s="171">
        <v>0</v>
      </c>
      <c r="J7" s="171">
        <v>819212</v>
      </c>
    </row>
    <row r="8" spans="1:10" s="172" customFormat="1" x14ac:dyDescent="0.25">
      <c r="C8" s="173" t="s">
        <v>290</v>
      </c>
      <c r="D8" s="174">
        <f>-'RS 0617'!D85</f>
        <v>-1967513.26</v>
      </c>
      <c r="E8" s="174">
        <f>-'RS 0617'!H85</f>
        <v>-48500</v>
      </c>
      <c r="F8" s="174">
        <f>-F32-F14</f>
        <v>-1256417.1499999999</v>
      </c>
      <c r="G8" s="174">
        <v>0</v>
      </c>
      <c r="H8" s="174">
        <f t="shared" ref="H8:J8" si="3">IF(H32&gt;H6,-H6-H7-H5,-H32)</f>
        <v>-2877036.28</v>
      </c>
      <c r="I8" s="174">
        <f t="shared" si="3"/>
        <v>-350000</v>
      </c>
      <c r="J8" s="174">
        <f t="shared" si="3"/>
        <v>-1369212</v>
      </c>
    </row>
    <row r="9" spans="1:10" x14ac:dyDescent="0.25">
      <c r="B9" s="165" t="s">
        <v>291</v>
      </c>
      <c r="D9" s="169">
        <f>SUM(D5:D8)</f>
        <v>816257.51</v>
      </c>
      <c r="E9" s="169">
        <f>SUM(E5:E8)</f>
        <v>1792137.51</v>
      </c>
      <c r="F9" s="169">
        <f t="shared" ref="F9:J9" si="4">SUM(F5:F8)</f>
        <v>1977036.2799999998</v>
      </c>
      <c r="G9" s="169">
        <f t="shared" si="4"/>
        <v>2427036.2799999998</v>
      </c>
      <c r="H9" s="169">
        <f t="shared" si="4"/>
        <v>0</v>
      </c>
      <c r="I9" s="169">
        <f t="shared" si="4"/>
        <v>100000</v>
      </c>
      <c r="J9" s="169">
        <f t="shared" si="4"/>
        <v>0</v>
      </c>
    </row>
    <row r="10" spans="1:10" x14ac:dyDescent="0.25">
      <c r="D10" s="169"/>
      <c r="E10" s="169"/>
      <c r="F10" s="169"/>
      <c r="G10" s="169"/>
      <c r="H10" s="169"/>
      <c r="I10" s="169"/>
      <c r="J10" s="169"/>
    </row>
    <row r="11" spans="1:10" x14ac:dyDescent="0.25">
      <c r="A11" s="164" t="s">
        <v>292</v>
      </c>
      <c r="F11" s="169"/>
      <c r="G11" s="169"/>
      <c r="H11" s="169"/>
      <c r="I11" s="169"/>
      <c r="J11" s="169"/>
    </row>
    <row r="12" spans="1:10" x14ac:dyDescent="0.25">
      <c r="B12" s="165" t="s">
        <v>287</v>
      </c>
      <c r="D12" s="169">
        <f>+'RS 6300'!D7</f>
        <v>1626106.08</v>
      </c>
      <c r="E12" s="169">
        <f>D15</f>
        <v>1379641.85</v>
      </c>
      <c r="F12" s="169">
        <f t="shared" ref="F12:J12" si="5">E15</f>
        <v>175795.85000000009</v>
      </c>
      <c r="G12" s="169">
        <f t="shared" si="5"/>
        <v>0</v>
      </c>
      <c r="H12" s="169">
        <f t="shared" si="5"/>
        <v>77605</v>
      </c>
      <c r="I12" s="169">
        <f t="shared" si="5"/>
        <v>2643620.2799999998</v>
      </c>
      <c r="J12" s="169">
        <f t="shared" si="5"/>
        <v>3082599.28</v>
      </c>
    </row>
    <row r="13" spans="1:10" x14ac:dyDescent="0.25">
      <c r="C13" s="166" t="s">
        <v>52</v>
      </c>
      <c r="D13" s="169">
        <f>+'RS 6300'!D9</f>
        <v>393579.91</v>
      </c>
      <c r="E13" s="169">
        <f>+'RS 6300'!H9</f>
        <v>408994</v>
      </c>
      <c r="F13" s="169">
        <f>+'RS 6300'!L9</f>
        <v>417787</v>
      </c>
      <c r="G13" s="169">
        <f>+'RS 6300'!P9</f>
        <v>427605</v>
      </c>
      <c r="H13" s="169">
        <f>+'RS 6300'!T9</f>
        <v>438979</v>
      </c>
      <c r="I13" s="169">
        <f t="shared" ref="I13:J13" si="6">H13</f>
        <v>438979</v>
      </c>
      <c r="J13" s="169">
        <f t="shared" si="6"/>
        <v>438979</v>
      </c>
    </row>
    <row r="14" spans="1:10" s="172" customFormat="1" x14ac:dyDescent="0.25">
      <c r="C14" s="173" t="s">
        <v>290</v>
      </c>
      <c r="D14" s="174">
        <f>-'RS 6300'!D62</f>
        <v>-640044.14</v>
      </c>
      <c r="E14" s="174">
        <f>-'RS 6300'!H62</f>
        <v>-1612840</v>
      </c>
      <c r="F14" s="174">
        <f>-F12-F13</f>
        <v>-593582.85000000009</v>
      </c>
      <c r="G14" s="174">
        <f t="shared" ref="G14:J14" si="7">-G32-G8</f>
        <v>-350000</v>
      </c>
      <c r="H14" s="174">
        <f t="shared" si="7"/>
        <v>2127036.2799999998</v>
      </c>
      <c r="I14" s="174">
        <f t="shared" si="7"/>
        <v>0</v>
      </c>
      <c r="J14" s="174">
        <f t="shared" si="7"/>
        <v>-1180788</v>
      </c>
    </row>
    <row r="15" spans="1:10" x14ac:dyDescent="0.25">
      <c r="B15" s="165" t="s">
        <v>291</v>
      </c>
      <c r="D15" s="175">
        <f>SUM(D12:D14)</f>
        <v>1379641.85</v>
      </c>
      <c r="E15" s="175">
        <f>SUM(E12:E14)</f>
        <v>175795.85000000009</v>
      </c>
      <c r="F15" s="175">
        <f t="shared" ref="F15" si="8">SUM(F12:F14)</f>
        <v>0</v>
      </c>
      <c r="G15" s="175">
        <f>SUM(G12:G14)</f>
        <v>77605</v>
      </c>
      <c r="H15" s="175">
        <f t="shared" ref="H15:J15" si="9">SUM(H12:H14)</f>
        <v>2643620.2799999998</v>
      </c>
      <c r="I15" s="175">
        <f t="shared" si="9"/>
        <v>3082599.28</v>
      </c>
      <c r="J15" s="175">
        <f t="shared" si="9"/>
        <v>2340790.2799999998</v>
      </c>
    </row>
    <row r="16" spans="1:10" x14ac:dyDescent="0.25">
      <c r="D16" s="165"/>
      <c r="E16" s="169"/>
      <c r="F16" s="169"/>
      <c r="G16" s="169"/>
      <c r="H16" s="169"/>
      <c r="I16" s="169"/>
      <c r="J16" s="169"/>
    </row>
    <row r="17" spans="1:10" s="177" customFormat="1" ht="11.25" x14ac:dyDescent="0.2">
      <c r="A17" s="176"/>
      <c r="C17" s="178" t="s">
        <v>293</v>
      </c>
      <c r="D17" s="179">
        <f>+D9+D15</f>
        <v>2195899.3600000003</v>
      </c>
      <c r="E17" s="179">
        <f>+E9+E15</f>
        <v>1967933.36</v>
      </c>
      <c r="F17" s="179">
        <f>+F9+F15</f>
        <v>1977036.2799999998</v>
      </c>
      <c r="G17" s="179">
        <f>+G9+G15</f>
        <v>2504641.2799999998</v>
      </c>
      <c r="H17" s="179">
        <f t="shared" ref="H17:J17" si="10">+H9+H15</f>
        <v>2643620.2799999998</v>
      </c>
      <c r="I17" s="179">
        <f t="shared" si="10"/>
        <v>3182599.28</v>
      </c>
      <c r="J17" s="179">
        <f t="shared" si="10"/>
        <v>2340790.2799999998</v>
      </c>
    </row>
    <row r="18" spans="1:10" s="177" customFormat="1" ht="11.25" x14ac:dyDescent="0.2">
      <c r="A18" s="176"/>
      <c r="C18" s="178"/>
      <c r="D18" s="179"/>
      <c r="E18" s="179"/>
      <c r="F18" s="179"/>
      <c r="G18" s="179"/>
      <c r="H18" s="179">
        <v>2343046.77</v>
      </c>
      <c r="I18" s="179">
        <v>2374257.77</v>
      </c>
      <c r="J18" s="179">
        <v>3224680.77</v>
      </c>
    </row>
    <row r="19" spans="1:10" x14ac:dyDescent="0.25">
      <c r="D19" s="169"/>
      <c r="E19" s="169"/>
      <c r="F19" s="169"/>
      <c r="G19" s="169"/>
      <c r="H19" s="169"/>
      <c r="I19" s="169"/>
      <c r="J19" s="169"/>
    </row>
    <row r="20" spans="1:10" s="164" customFormat="1" x14ac:dyDescent="0.25">
      <c r="A20" s="209"/>
      <c r="B20" s="210"/>
      <c r="C20" s="211"/>
      <c r="D20" s="212" t="s">
        <v>294</v>
      </c>
      <c r="E20" s="212" t="s">
        <v>295</v>
      </c>
      <c r="F20" s="213" t="s">
        <v>296</v>
      </c>
      <c r="G20" s="214" t="s">
        <v>297</v>
      </c>
      <c r="H20" s="213" t="s">
        <v>298</v>
      </c>
      <c r="I20" s="213" t="s">
        <v>299</v>
      </c>
      <c r="J20" s="215" t="s">
        <v>300</v>
      </c>
    </row>
    <row r="21" spans="1:10" x14ac:dyDescent="0.25">
      <c r="A21" s="180" t="s">
        <v>301</v>
      </c>
      <c r="B21" s="181"/>
      <c r="C21" s="182"/>
      <c r="D21" s="183"/>
      <c r="E21" s="184">
        <v>350000</v>
      </c>
      <c r="F21" s="185">
        <v>350000</v>
      </c>
      <c r="G21" s="207">
        <v>350000</v>
      </c>
      <c r="H21" s="185">
        <v>350000</v>
      </c>
      <c r="I21" s="185">
        <v>350000</v>
      </c>
      <c r="J21" s="186">
        <v>350000</v>
      </c>
    </row>
    <row r="22" spans="1:10" x14ac:dyDescent="0.25">
      <c r="A22" s="180"/>
      <c r="B22" s="181"/>
      <c r="C22" s="182"/>
      <c r="D22" s="183"/>
      <c r="E22" s="183"/>
      <c r="F22" s="187"/>
      <c r="G22" s="208"/>
      <c r="H22" s="187"/>
      <c r="I22" s="187"/>
      <c r="J22" s="188"/>
    </row>
    <row r="23" spans="1:10" x14ac:dyDescent="0.25">
      <c r="A23" s="189" t="s">
        <v>302</v>
      </c>
      <c r="B23" s="190"/>
      <c r="C23" s="191"/>
      <c r="D23" s="192"/>
      <c r="E23" s="192"/>
      <c r="F23" s="192"/>
      <c r="G23" s="193"/>
      <c r="H23" s="192"/>
      <c r="I23" s="181"/>
      <c r="J23" s="193"/>
    </row>
    <row r="24" spans="1:10" x14ac:dyDescent="0.25">
      <c r="A24" s="180" t="s">
        <v>303</v>
      </c>
      <c r="B24" s="181"/>
      <c r="C24" s="182"/>
      <c r="D24" s="194">
        <v>0</v>
      </c>
      <c r="E24" s="194">
        <v>0</v>
      </c>
      <c r="F24" s="194">
        <v>0</v>
      </c>
      <c r="G24" s="195">
        <v>0</v>
      </c>
      <c r="H24" s="194">
        <v>0</v>
      </c>
      <c r="I24" s="194">
        <v>0</v>
      </c>
      <c r="J24" s="195">
        <v>2000000</v>
      </c>
    </row>
    <row r="25" spans="1:10" x14ac:dyDescent="0.25">
      <c r="A25" s="180" t="s">
        <v>304</v>
      </c>
      <c r="B25" s="181"/>
      <c r="C25" s="182"/>
      <c r="D25" s="194">
        <v>2631028.77</v>
      </c>
      <c r="E25" s="194">
        <v>0</v>
      </c>
      <c r="F25" s="194">
        <v>0</v>
      </c>
      <c r="G25" s="195">
        <v>0</v>
      </c>
      <c r="H25" s="194">
        <v>0</v>
      </c>
      <c r="I25" s="194">
        <v>0</v>
      </c>
      <c r="J25" s="195">
        <v>0</v>
      </c>
    </row>
    <row r="26" spans="1:10" x14ac:dyDescent="0.25">
      <c r="A26" s="196" t="s">
        <v>305</v>
      </c>
      <c r="B26" s="197"/>
      <c r="C26" s="198"/>
      <c r="D26" s="194">
        <v>0</v>
      </c>
      <c r="E26" s="194">
        <v>0</v>
      </c>
      <c r="F26" s="194">
        <v>1500000</v>
      </c>
      <c r="G26" s="195">
        <v>0</v>
      </c>
      <c r="H26" s="194">
        <v>0</v>
      </c>
      <c r="I26" s="194">
        <v>0</v>
      </c>
      <c r="J26" s="195">
        <v>0</v>
      </c>
    </row>
    <row r="27" spans="1:10" x14ac:dyDescent="0.25">
      <c r="A27" s="180" t="s">
        <v>306</v>
      </c>
      <c r="B27" s="181"/>
      <c r="C27" s="182"/>
      <c r="D27" s="194">
        <v>0</v>
      </c>
      <c r="E27" s="194">
        <v>3000000</v>
      </c>
      <c r="F27" s="194">
        <v>0</v>
      </c>
      <c r="G27" s="195">
        <v>0</v>
      </c>
      <c r="H27" s="194">
        <v>0</v>
      </c>
      <c r="I27" s="194">
        <v>0</v>
      </c>
      <c r="J27" s="195">
        <v>0</v>
      </c>
    </row>
    <row r="28" spans="1:10" x14ac:dyDescent="0.25">
      <c r="A28" s="196" t="s">
        <v>307</v>
      </c>
      <c r="B28" s="197"/>
      <c r="C28" s="198"/>
      <c r="D28" s="194">
        <v>0</v>
      </c>
      <c r="E28" s="194">
        <v>0</v>
      </c>
      <c r="F28" s="194">
        <v>0</v>
      </c>
      <c r="G28" s="195">
        <v>0</v>
      </c>
      <c r="H28" s="194">
        <v>400000</v>
      </c>
      <c r="I28" s="199">
        <v>0</v>
      </c>
      <c r="J28" s="195">
        <v>0</v>
      </c>
    </row>
    <row r="29" spans="1:10" x14ac:dyDescent="0.25">
      <c r="A29" s="196" t="s">
        <v>308</v>
      </c>
      <c r="B29" s="197"/>
      <c r="C29" s="198"/>
      <c r="D29" s="194">
        <v>0</v>
      </c>
      <c r="E29" s="194">
        <v>0</v>
      </c>
      <c r="F29" s="194">
        <v>0</v>
      </c>
      <c r="G29" s="195">
        <v>0</v>
      </c>
      <c r="H29" s="194">
        <v>0</v>
      </c>
      <c r="I29" s="194">
        <v>0</v>
      </c>
      <c r="J29" s="195">
        <v>200000</v>
      </c>
    </row>
    <row r="30" spans="1:10" x14ac:dyDescent="0.25">
      <c r="A30" s="196" t="s">
        <v>309</v>
      </c>
      <c r="B30" s="197"/>
      <c r="C30" s="198"/>
      <c r="D30" s="194">
        <v>0</v>
      </c>
      <c r="E30" s="194">
        <v>0</v>
      </c>
      <c r="F30" s="194">
        <v>0</v>
      </c>
      <c r="G30" s="195">
        <v>0</v>
      </c>
      <c r="H30" s="194">
        <v>0</v>
      </c>
      <c r="I30" s="194">
        <v>0</v>
      </c>
      <c r="J30" s="195">
        <v>0</v>
      </c>
    </row>
    <row r="31" spans="1:10" x14ac:dyDescent="0.25">
      <c r="A31" s="200" t="s">
        <v>310</v>
      </c>
      <c r="B31" s="201"/>
      <c r="C31" s="202"/>
      <c r="D31" s="203">
        <v>0</v>
      </c>
      <c r="E31" s="203">
        <v>0</v>
      </c>
      <c r="F31" s="203">
        <v>0</v>
      </c>
      <c r="G31" s="204">
        <v>0</v>
      </c>
      <c r="H31" s="203">
        <v>0</v>
      </c>
      <c r="I31" s="203">
        <v>0</v>
      </c>
      <c r="J31" s="204">
        <v>0</v>
      </c>
    </row>
    <row r="32" spans="1:10" x14ac:dyDescent="0.25">
      <c r="C32" s="205" t="s">
        <v>118</v>
      </c>
      <c r="D32" s="169">
        <f>SUM(D21:D31)</f>
        <v>2631028.77</v>
      </c>
      <c r="E32" s="169">
        <f t="shared" ref="E32:J32" si="11">SUM(E21:E31)</f>
        <v>3350000</v>
      </c>
      <c r="F32" s="169">
        <f t="shared" si="11"/>
        <v>1850000</v>
      </c>
      <c r="G32" s="169">
        <f t="shared" si="11"/>
        <v>350000</v>
      </c>
      <c r="H32" s="169">
        <f t="shared" si="11"/>
        <v>750000</v>
      </c>
      <c r="I32" s="169">
        <f t="shared" si="11"/>
        <v>350000</v>
      </c>
      <c r="J32" s="169">
        <f t="shared" si="11"/>
        <v>2550000</v>
      </c>
    </row>
    <row r="33" spans="1:10" x14ac:dyDescent="0.25">
      <c r="D33" s="165"/>
      <c r="E33" s="165"/>
      <c r="F33" s="165"/>
      <c r="G33" s="165"/>
      <c r="H33" s="165"/>
      <c r="I33" s="165"/>
      <c r="J33" s="165"/>
    </row>
    <row r="34" spans="1:10" x14ac:dyDescent="0.25">
      <c r="D34" s="169"/>
      <c r="E34" s="169"/>
      <c r="F34" s="169"/>
      <c r="G34" s="169"/>
      <c r="H34" s="169"/>
      <c r="I34" s="169"/>
      <c r="J34" s="169"/>
    </row>
    <row r="35" spans="1:10" s="177" customFormat="1" ht="11.25" x14ac:dyDescent="0.2">
      <c r="A35" s="176"/>
      <c r="C35" s="206" t="s">
        <v>293</v>
      </c>
      <c r="D35" s="179">
        <f t="shared" ref="D35:J35" si="12">-D8-D14</f>
        <v>2607557.4</v>
      </c>
      <c r="E35" s="179">
        <f>-E8-E14</f>
        <v>1661340</v>
      </c>
      <c r="F35" s="179">
        <f t="shared" si="12"/>
        <v>1850000</v>
      </c>
      <c r="G35" s="179">
        <f t="shared" si="12"/>
        <v>350000</v>
      </c>
      <c r="H35" s="179">
        <f t="shared" si="12"/>
        <v>750000</v>
      </c>
      <c r="I35" s="179">
        <f t="shared" si="12"/>
        <v>350000</v>
      </c>
      <c r="J35" s="179">
        <f t="shared" si="12"/>
        <v>2550000</v>
      </c>
    </row>
    <row r="36" spans="1:10" x14ac:dyDescent="0.25">
      <c r="D36" s="169">
        <f>+D32-D35</f>
        <v>23471.370000000112</v>
      </c>
      <c r="E36" s="169">
        <f t="shared" ref="E36:J36" si="13">+E32-E35</f>
        <v>1688660</v>
      </c>
      <c r="F36" s="169">
        <f t="shared" si="13"/>
        <v>0</v>
      </c>
      <c r="G36" s="169">
        <f t="shared" si="13"/>
        <v>0</v>
      </c>
      <c r="H36" s="169">
        <f t="shared" si="13"/>
        <v>0</v>
      </c>
      <c r="I36" s="169">
        <f t="shared" si="13"/>
        <v>0</v>
      </c>
      <c r="J36" s="169">
        <f t="shared" si="13"/>
        <v>0</v>
      </c>
    </row>
    <row r="37" spans="1:10" x14ac:dyDescent="0.25">
      <c r="D37" s="169"/>
      <c r="E37" s="169"/>
      <c r="F37" s="169"/>
      <c r="G37" s="169"/>
      <c r="H37" s="169"/>
      <c r="I37" s="169"/>
      <c r="J37" s="169"/>
    </row>
    <row r="38" spans="1:10" x14ac:dyDescent="0.25">
      <c r="D38" s="169"/>
      <c r="E38" s="169"/>
      <c r="F38" s="169"/>
      <c r="G38" s="169"/>
      <c r="H38" s="169"/>
      <c r="I38" s="169"/>
      <c r="J38" s="169"/>
    </row>
    <row r="39" spans="1:10" x14ac:dyDescent="0.25">
      <c r="D39" s="169"/>
      <c r="E39" s="169"/>
      <c r="F39" s="169"/>
      <c r="G39" s="169"/>
      <c r="H39" s="169"/>
      <c r="I39" s="169"/>
      <c r="J39" s="169"/>
    </row>
    <row r="40" spans="1:10" x14ac:dyDescent="0.25">
      <c r="D40" s="169"/>
      <c r="E40" s="169"/>
      <c r="F40" s="169"/>
      <c r="G40" s="169"/>
      <c r="H40" s="169"/>
      <c r="I40" s="169"/>
      <c r="J40" s="169"/>
    </row>
    <row r="41" spans="1:10" x14ac:dyDescent="0.25">
      <c r="D41" s="169"/>
      <c r="E41" s="169"/>
      <c r="F41" s="169"/>
      <c r="G41" s="169"/>
      <c r="H41" s="169"/>
      <c r="I41" s="169"/>
      <c r="J41" s="169"/>
    </row>
    <row r="42" spans="1:10" x14ac:dyDescent="0.25">
      <c r="D42" s="169"/>
      <c r="E42" s="169"/>
      <c r="F42" s="169"/>
      <c r="G42" s="169"/>
      <c r="H42" s="169"/>
      <c r="I42" s="169"/>
      <c r="J42" s="169"/>
    </row>
    <row r="43" spans="1:10" x14ac:dyDescent="0.25">
      <c r="D43" s="169"/>
      <c r="E43" s="169"/>
      <c r="F43" s="169"/>
      <c r="G43" s="169"/>
      <c r="H43" s="169"/>
      <c r="I43" s="169"/>
      <c r="J43" s="169"/>
    </row>
    <row r="44" spans="1:10" x14ac:dyDescent="0.25">
      <c r="D44" s="169"/>
      <c r="E44" s="169"/>
      <c r="F44" s="169"/>
      <c r="G44" s="169"/>
      <c r="H44" s="169"/>
      <c r="I44" s="169"/>
      <c r="J44" s="169"/>
    </row>
    <row r="45" spans="1:10" x14ac:dyDescent="0.25">
      <c r="D45" s="169"/>
      <c r="E45" s="169"/>
      <c r="F45" s="169"/>
      <c r="G45" s="169"/>
      <c r="H45" s="169"/>
      <c r="I45" s="169"/>
      <c r="J45" s="169"/>
    </row>
  </sheetData>
  <pageMargins left="0.7" right="0.7" top="0.75" bottom="0.75" header="0.3" footer="0.3"/>
  <pageSetup orientation="portrait" horizontalDpi="300" verticalDpi="300" r:id="rId1"/>
  <headerFooter>
    <oddHeader>&amp;L&amp;F</oddHeader>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211"/>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2.42578125" style="108" customWidth="1"/>
    <col min="2" max="2" width="8.5703125" style="982" customWidth="1"/>
    <col min="3" max="3" width="51.42578125" style="863" bestFit="1" customWidth="1"/>
    <col min="4" max="4" width="16" style="2" customWidth="1"/>
    <col min="5" max="5" width="23.28515625" style="863" hidden="1" customWidth="1"/>
    <col min="6" max="6" width="6" style="2" customWidth="1"/>
    <col min="7" max="7" width="10.7109375" style="52" customWidth="1"/>
    <col min="8" max="8" width="17.85546875" style="122" bestFit="1" customWidth="1"/>
    <col min="9" max="9" width="26" style="871" hidden="1" customWidth="1"/>
    <col min="10" max="10" width="5.7109375" style="66" customWidth="1"/>
    <col min="11" max="11" width="9.85546875" style="377" bestFit="1" customWidth="1"/>
    <col min="12" max="12" width="15.42578125" style="123" bestFit="1" customWidth="1"/>
    <col min="13" max="13" width="26.140625" style="1082" hidden="1" customWidth="1"/>
    <col min="14" max="14" width="5.7109375" style="2" customWidth="1"/>
    <col min="15" max="15" width="9.5703125" style="377" bestFit="1" customWidth="1"/>
    <col min="16" max="16" width="15.42578125" style="2" bestFit="1" customWidth="1"/>
    <col min="17" max="17" width="25" style="1082" hidden="1" customWidth="1"/>
    <col min="18" max="18" width="5.7109375" style="322" customWidth="1"/>
    <col min="19" max="19" width="9.42578125" style="2" hidden="1" customWidth="1"/>
    <col min="20" max="20" width="14" style="2" hidden="1" customWidth="1"/>
    <col min="21" max="21" width="24.85546875" style="2" hidden="1" customWidth="1"/>
    <col min="22" max="22" width="5.7109375" style="2" hidden="1" customWidth="1"/>
    <col min="23" max="23" width="9.42578125" style="2" hidden="1" customWidth="1"/>
    <col min="24" max="24" width="14" style="2" hidden="1" customWidth="1"/>
    <col min="25" max="25" width="24.85546875" style="2" hidden="1" customWidth="1"/>
    <col min="26" max="26" width="5.7109375" style="2" hidden="1" customWidth="1"/>
    <col min="27" max="27" width="9.42578125" style="2" hidden="1" customWidth="1"/>
    <col min="28" max="28" width="14" style="2" hidden="1" customWidth="1"/>
    <col min="29" max="29" width="24.85546875" style="2" hidden="1" customWidth="1"/>
    <col min="30" max="16384" width="9.140625" style="2"/>
  </cols>
  <sheetData>
    <row r="1" spans="1:29" x14ac:dyDescent="0.25">
      <c r="B1" s="982" t="s">
        <v>61</v>
      </c>
      <c r="C1" s="1917" t="s">
        <v>662</v>
      </c>
      <c r="D1" s="97">
        <v>0</v>
      </c>
      <c r="E1" s="977"/>
      <c r="F1" s="122"/>
      <c r="G1" s="369"/>
      <c r="H1" s="99">
        <v>0</v>
      </c>
      <c r="I1" s="977"/>
      <c r="L1" s="122">
        <v>0</v>
      </c>
      <c r="M1" s="977"/>
      <c r="P1" s="122">
        <v>0</v>
      </c>
      <c r="Q1" s="977"/>
      <c r="T1" s="122">
        <v>0</v>
      </c>
      <c r="U1" s="122"/>
      <c r="X1" s="122">
        <v>0</v>
      </c>
      <c r="Y1" s="122"/>
      <c r="AB1" s="122">
        <v>0</v>
      </c>
      <c r="AC1" s="122"/>
    </row>
    <row r="2" spans="1:29" ht="17.25" x14ac:dyDescent="0.4">
      <c r="B2" s="983" t="s">
        <v>59</v>
      </c>
      <c r="C2" s="1918" t="s">
        <v>908</v>
      </c>
      <c r="D2" s="99">
        <v>0</v>
      </c>
      <c r="E2" s="977"/>
      <c r="F2" s="122"/>
      <c r="G2" s="370"/>
      <c r="H2" s="99">
        <v>0</v>
      </c>
      <c r="I2" s="977"/>
      <c r="L2" s="87">
        <v>0</v>
      </c>
      <c r="M2" s="977"/>
      <c r="P2" s="87">
        <v>0</v>
      </c>
      <c r="Q2" s="977"/>
      <c r="T2" s="87">
        <v>0</v>
      </c>
      <c r="U2" s="122"/>
      <c r="X2" s="87">
        <v>0</v>
      </c>
      <c r="Y2" s="122"/>
      <c r="AB2" s="87">
        <v>0</v>
      </c>
      <c r="AC2" s="122"/>
    </row>
    <row r="3" spans="1:29" x14ac:dyDescent="0.25">
      <c r="C3" s="1919" t="s">
        <v>1013</v>
      </c>
      <c r="D3" s="323">
        <f>+SUM(D1:D2)</f>
        <v>0</v>
      </c>
      <c r="E3" s="978"/>
      <c r="F3" s="99"/>
      <c r="G3" s="83"/>
      <c r="H3" s="323">
        <f>+SUM(H1:H2)</f>
        <v>0</v>
      </c>
      <c r="I3" s="996"/>
      <c r="L3" s="122">
        <f>SUM(L1:L2)</f>
        <v>0</v>
      </c>
      <c r="M3" s="1081"/>
      <c r="P3" s="122">
        <f>SUM(P1:P2)</f>
        <v>0</v>
      </c>
      <c r="Q3" s="1081"/>
      <c r="T3" s="122">
        <f>SUM(T1:T2)</f>
        <v>0</v>
      </c>
      <c r="U3" s="36"/>
      <c r="X3" s="122">
        <f>SUM(X1:X2)</f>
        <v>0</v>
      </c>
      <c r="Y3" s="36"/>
      <c r="AB3" s="122">
        <f>SUM(AB1:AB2)</f>
        <v>0</v>
      </c>
      <c r="AC3" s="36"/>
    </row>
    <row r="4" spans="1:29" x14ac:dyDescent="0.25">
      <c r="L4" s="122"/>
      <c r="M4" s="1081"/>
      <c r="P4" s="122"/>
      <c r="Q4" s="1081"/>
      <c r="T4" s="122"/>
      <c r="U4" s="36"/>
      <c r="X4" s="122"/>
      <c r="Y4" s="36"/>
      <c r="AB4" s="122"/>
      <c r="AC4" s="36"/>
    </row>
    <row r="5" spans="1:29" ht="15.75" x14ac:dyDescent="0.25">
      <c r="B5" s="984" t="s">
        <v>56</v>
      </c>
      <c r="P5" s="123"/>
      <c r="T5" s="123"/>
      <c r="X5" s="123"/>
      <c r="AB5" s="123"/>
    </row>
    <row r="6" spans="1:29" s="283" customFormat="1" ht="15.75" x14ac:dyDescent="0.25">
      <c r="A6" s="282"/>
      <c r="B6" s="985"/>
      <c r="C6" s="985"/>
      <c r="D6" s="284" t="s">
        <v>55</v>
      </c>
      <c r="E6" s="979"/>
      <c r="G6" s="371"/>
      <c r="H6" s="324" t="str">
        <f>LEFT(D6,4)+1&amp;"-"&amp;RIGHT(D6,4)+1</f>
        <v>2017-2018</v>
      </c>
      <c r="I6" s="997"/>
      <c r="J6" s="325"/>
      <c r="K6" s="378"/>
      <c r="L6" s="124" t="str">
        <f>LEFT(H6,4)+1&amp;"-"&amp;RIGHT(H6,4)+1</f>
        <v>2018-2019</v>
      </c>
      <c r="M6" s="1083"/>
      <c r="N6" s="326"/>
      <c r="O6" s="381"/>
      <c r="P6" s="124" t="str">
        <f>LEFT(L6,4)+1&amp;"-"&amp;RIGHT(L6,4)+1</f>
        <v>2019-2020</v>
      </c>
      <c r="Q6" s="1083"/>
      <c r="R6" s="327"/>
      <c r="S6" s="124"/>
      <c r="T6" s="124" t="str">
        <f>LEFT(P6,4)+1&amp;"-"&amp;RIGHT(P6,4)+1</f>
        <v>2020-2021</v>
      </c>
      <c r="U6" s="124"/>
      <c r="V6" s="326"/>
      <c r="W6" s="124"/>
      <c r="X6" s="124" t="str">
        <f>LEFT(T6,4)+1&amp;"-"&amp;RIGHT(T6,4)+1</f>
        <v>2021-2022</v>
      </c>
      <c r="Y6" s="124"/>
      <c r="Z6" s="326"/>
      <c r="AA6" s="124"/>
      <c r="AB6" s="124" t="str">
        <f>LEFT(X6,4)+1&amp;"-"&amp;RIGHT(X6,4)+1</f>
        <v>2022-2023</v>
      </c>
      <c r="AC6" s="124"/>
    </row>
    <row r="7" spans="1:29" x14ac:dyDescent="0.25">
      <c r="B7" s="986" t="s">
        <v>54</v>
      </c>
      <c r="D7" s="2">
        <v>8757347.3800000008</v>
      </c>
      <c r="E7" s="980"/>
      <c r="H7" s="2">
        <f>D174</f>
        <v>8215661.1799999978</v>
      </c>
      <c r="I7" s="980"/>
      <c r="L7" s="2">
        <f>H174</f>
        <v>4370563.3200000059</v>
      </c>
      <c r="M7" s="1084"/>
      <c r="P7" s="2">
        <f>L174</f>
        <v>-262223.64252545871</v>
      </c>
      <c r="Q7" s="1084"/>
      <c r="T7" s="2">
        <f>P174</f>
        <v>-4946424.3058843408</v>
      </c>
      <c r="U7" s="328"/>
      <c r="X7" s="2">
        <f>T174</f>
        <v>-45175775.305884339</v>
      </c>
      <c r="Y7" s="328"/>
      <c r="AB7" s="2">
        <f>X174</f>
        <v>-86446097.305884331</v>
      </c>
      <c r="AC7" s="328"/>
    </row>
    <row r="8" spans="1:29" x14ac:dyDescent="0.25">
      <c r="E8" s="980"/>
      <c r="H8" s="2"/>
      <c r="I8" s="980"/>
      <c r="L8" s="2"/>
      <c r="M8" s="1084"/>
      <c r="Q8" s="1084"/>
      <c r="U8" s="328"/>
      <c r="Y8" s="328"/>
      <c r="AC8" s="328"/>
    </row>
    <row r="9" spans="1:29" x14ac:dyDescent="0.25">
      <c r="B9" s="982" t="s">
        <v>52</v>
      </c>
      <c r="E9" s="980"/>
      <c r="G9" s="83"/>
      <c r="H9" s="3"/>
      <c r="I9" s="980"/>
      <c r="J9" s="61"/>
      <c r="K9" s="83"/>
      <c r="L9" s="3"/>
      <c r="M9" s="1084"/>
      <c r="O9" s="83"/>
      <c r="P9" s="3"/>
      <c r="Q9" s="1084"/>
      <c r="S9" s="129" t="str">
        <f>IF(P9=0,"0.00%",(T9-P9)/P9)</f>
        <v>0.00%</v>
      </c>
      <c r="T9" s="3">
        <f>T3</f>
        <v>0</v>
      </c>
      <c r="U9" s="328"/>
      <c r="W9" s="129" t="str">
        <f>IF(T9=0,"0.00%",(X9-T9)/T9)</f>
        <v>0.00%</v>
      </c>
      <c r="X9" s="3">
        <f>X3</f>
        <v>0</v>
      </c>
      <c r="Y9" s="328"/>
      <c r="AA9" s="129" t="str">
        <f>IF(X9=0,"0.00%",(AB9-X9)/X9)</f>
        <v>0.00%</v>
      </c>
      <c r="AB9" s="3">
        <f>AB3</f>
        <v>0</v>
      </c>
      <c r="AC9" s="328"/>
    </row>
    <row r="10" spans="1:29" x14ac:dyDescent="0.25">
      <c r="B10" s="987" t="s">
        <v>444</v>
      </c>
      <c r="C10" s="863" t="s">
        <v>408</v>
      </c>
      <c r="D10" s="2">
        <v>58819034.850000001</v>
      </c>
      <c r="E10" s="980"/>
      <c r="G10" s="83">
        <f t="shared" ref="G10:G27" si="0">IF(D10=0,"0.00%",(H10-D10)/D10)</f>
        <v>-1.4939888970313519E-2</v>
      </c>
      <c r="H10" s="3">
        <v>57940285</v>
      </c>
      <c r="I10" s="980"/>
      <c r="J10" s="61"/>
      <c r="K10" s="83">
        <f t="shared" ref="K10:K29" si="1">IF(H10=0,"0.00%",(L10-H10)/H10)</f>
        <v>2.518763930829819E-2</v>
      </c>
      <c r="L10" s="3">
        <f>66977302-'RS 0653'!L9-'RS 0654'!L9-'RS 0655'!L9-'RS 0617'!L11-187483+1965</f>
        <v>59399664</v>
      </c>
      <c r="M10" s="1084"/>
      <c r="O10" s="83">
        <f t="shared" ref="O10:O29" si="2">IF(L10=0,"0.00%",(P10-L10)/L10)</f>
        <v>2.4185338826159017E-2</v>
      </c>
      <c r="P10" s="3">
        <f>68820605-'RS 0653'!P9-'RS 0654'!P9-'RS 0655'!P9-'RS 0617'!P11-293430+2047</f>
        <v>60836265</v>
      </c>
      <c r="Q10" s="1084"/>
      <c r="S10" s="129"/>
      <c r="T10" s="3"/>
      <c r="U10" s="328"/>
      <c r="W10" s="129"/>
      <c r="X10" s="3"/>
      <c r="Y10" s="328"/>
      <c r="AA10" s="129"/>
      <c r="AB10" s="3"/>
      <c r="AC10" s="328"/>
    </row>
    <row r="11" spans="1:29" ht="21.95" customHeight="1" x14ac:dyDescent="0.25">
      <c r="B11" s="987">
        <v>8290</v>
      </c>
      <c r="C11" s="863" t="s">
        <v>445</v>
      </c>
      <c r="D11" s="2">
        <v>100830.73</v>
      </c>
      <c r="E11" s="980"/>
      <c r="G11" s="83">
        <f t="shared" si="0"/>
        <v>-0.48675369106223865</v>
      </c>
      <c r="H11" s="3">
        <v>51751</v>
      </c>
      <c r="I11" s="980"/>
      <c r="J11" s="61"/>
      <c r="K11" s="83">
        <f t="shared" si="1"/>
        <v>-1</v>
      </c>
      <c r="L11" s="3"/>
      <c r="M11" s="1084"/>
      <c r="O11" s="83" t="str">
        <f t="shared" si="2"/>
        <v>0.00%</v>
      </c>
      <c r="P11" s="3"/>
      <c r="Q11" s="1084"/>
      <c r="S11" s="129"/>
      <c r="T11" s="3"/>
      <c r="U11" s="328"/>
      <c r="W11" s="129"/>
      <c r="X11" s="3"/>
      <c r="Y11" s="328"/>
      <c r="AA11" s="129"/>
      <c r="AB11" s="3"/>
      <c r="AC11" s="328"/>
    </row>
    <row r="12" spans="1:29" ht="21.95" customHeight="1" x14ac:dyDescent="0.25">
      <c r="B12" s="987">
        <v>8550</v>
      </c>
      <c r="C12" s="863" t="s">
        <v>446</v>
      </c>
      <c r="D12" s="328">
        <v>223536</v>
      </c>
      <c r="E12" s="980" t="s">
        <v>465</v>
      </c>
      <c r="G12" s="83">
        <f t="shared" si="0"/>
        <v>5.3329217665163554E-2</v>
      </c>
      <c r="H12" s="3">
        <v>235457</v>
      </c>
      <c r="I12" s="980" t="s">
        <v>1008</v>
      </c>
      <c r="J12" s="61"/>
      <c r="K12" s="83">
        <f t="shared" si="1"/>
        <v>-8.9867789023048792E-3</v>
      </c>
      <c r="L12" s="3">
        <f>ROUND(30.34*7690.87,0)</f>
        <v>233341</v>
      </c>
      <c r="M12" s="1084" t="s">
        <v>1010</v>
      </c>
      <c r="O12" s="83">
        <f t="shared" si="2"/>
        <v>-1.7442284039238711E-3</v>
      </c>
      <c r="P12" s="3">
        <f>ROUND(30.34*7677.44,0)</f>
        <v>232934</v>
      </c>
      <c r="Q12" s="1084" t="s">
        <v>1009</v>
      </c>
      <c r="S12" s="129"/>
      <c r="T12" s="3"/>
      <c r="U12" s="328"/>
      <c r="W12" s="129"/>
      <c r="X12" s="3"/>
      <c r="Y12" s="328"/>
      <c r="AA12" s="129"/>
      <c r="AB12" s="3"/>
      <c r="AC12" s="328"/>
    </row>
    <row r="13" spans="1:29" s="161" customFormat="1" x14ac:dyDescent="0.25">
      <c r="A13" s="383"/>
      <c r="B13" s="988">
        <v>8550</v>
      </c>
      <c r="C13" s="981" t="s">
        <v>447</v>
      </c>
      <c r="D13" s="161">
        <v>1687542</v>
      </c>
      <c r="E13" s="981" t="s">
        <v>464</v>
      </c>
      <c r="G13" s="1857">
        <f t="shared" si="0"/>
        <v>-0.32250634354581992</v>
      </c>
      <c r="H13" s="384">
        <v>1143299</v>
      </c>
      <c r="I13" s="1085" t="s">
        <v>1007</v>
      </c>
      <c r="J13" s="385"/>
      <c r="K13" s="1857">
        <f t="shared" si="1"/>
        <v>-1</v>
      </c>
      <c r="L13" s="384">
        <v>0</v>
      </c>
      <c r="M13" s="1085" t="s">
        <v>1022</v>
      </c>
      <c r="O13" s="1857" t="str">
        <f t="shared" si="2"/>
        <v>0.00%</v>
      </c>
      <c r="P13" s="384">
        <v>0</v>
      </c>
      <c r="Q13" s="1085"/>
      <c r="R13" s="386"/>
      <c r="S13" s="387"/>
      <c r="T13" s="384"/>
      <c r="W13" s="387"/>
      <c r="X13" s="384"/>
      <c r="AA13" s="387"/>
      <c r="AB13" s="384"/>
    </row>
    <row r="14" spans="1:29" s="390" customFormat="1" x14ac:dyDescent="0.25">
      <c r="A14" s="389"/>
      <c r="B14" s="989">
        <v>8590</v>
      </c>
      <c r="C14" s="880" t="s">
        <v>448</v>
      </c>
      <c r="D14" s="390">
        <v>10173.49</v>
      </c>
      <c r="E14" s="880"/>
      <c r="G14" s="391">
        <f t="shared" si="0"/>
        <v>4.0347520860589636</v>
      </c>
      <c r="H14" s="392">
        <v>51221</v>
      </c>
      <c r="I14" s="880"/>
      <c r="J14" s="393"/>
      <c r="K14" s="391">
        <f t="shared" si="1"/>
        <v>2.1500000000000113E-2</v>
      </c>
      <c r="L14" s="392">
        <f>+H14*(1+M14)</f>
        <v>52322.251500000006</v>
      </c>
      <c r="M14" s="1086">
        <v>2.1499999999999998E-2</v>
      </c>
      <c r="O14" s="391">
        <f t="shared" si="2"/>
        <v>2.3500000000000083E-2</v>
      </c>
      <c r="P14" s="392">
        <f>+L14*(1+Q14)</f>
        <v>53551.82441025001</v>
      </c>
      <c r="Q14" s="1086">
        <v>2.35E-2</v>
      </c>
      <c r="R14" s="394"/>
      <c r="S14" s="395"/>
      <c r="T14" s="392"/>
      <c r="W14" s="395"/>
      <c r="X14" s="392"/>
      <c r="AA14" s="395"/>
      <c r="AB14" s="392"/>
    </row>
    <row r="15" spans="1:29" s="161" customFormat="1" ht="21.95" customHeight="1" x14ac:dyDescent="0.25">
      <c r="A15" s="383"/>
      <c r="B15" s="1915" t="s">
        <v>458</v>
      </c>
      <c r="C15" s="1916" t="s">
        <v>462</v>
      </c>
      <c r="D15" s="161">
        <v>807000</v>
      </c>
      <c r="E15" s="981"/>
      <c r="G15" s="1857">
        <f t="shared" si="0"/>
        <v>-1</v>
      </c>
      <c r="H15" s="384">
        <v>0</v>
      </c>
      <c r="I15" s="981"/>
      <c r="J15" s="385"/>
      <c r="K15" s="1857" t="str">
        <f t="shared" si="1"/>
        <v>0.00%</v>
      </c>
      <c r="L15" s="384">
        <v>0</v>
      </c>
      <c r="M15" s="1085"/>
      <c r="O15" s="1857" t="str">
        <f t="shared" si="2"/>
        <v>0.00%</v>
      </c>
      <c r="P15" s="384">
        <v>0</v>
      </c>
      <c r="Q15" s="1085"/>
      <c r="R15" s="386"/>
      <c r="S15" s="387"/>
      <c r="T15" s="384"/>
      <c r="W15" s="387"/>
      <c r="X15" s="384"/>
      <c r="AA15" s="387"/>
      <c r="AB15" s="384"/>
    </row>
    <row r="16" spans="1:29" s="161" customFormat="1" x14ac:dyDescent="0.25">
      <c r="A16" s="383"/>
      <c r="B16" s="1908" t="s">
        <v>458</v>
      </c>
      <c r="C16" s="1909" t="s">
        <v>461</v>
      </c>
      <c r="E16" s="981"/>
      <c r="G16" s="1857" t="str">
        <f t="shared" si="0"/>
        <v>0.00%</v>
      </c>
      <c r="H16" s="384">
        <v>0</v>
      </c>
      <c r="I16" s="981"/>
      <c r="J16" s="385"/>
      <c r="K16" s="1857" t="str">
        <f t="shared" si="1"/>
        <v>0.00%</v>
      </c>
      <c r="L16" s="384">
        <v>0</v>
      </c>
      <c r="M16" s="1085"/>
      <c r="O16" s="1857" t="str">
        <f t="shared" si="2"/>
        <v>0.00%</v>
      </c>
      <c r="P16" s="384">
        <v>0</v>
      </c>
      <c r="Q16" s="1085"/>
      <c r="R16" s="386"/>
      <c r="S16" s="387"/>
      <c r="T16" s="384"/>
      <c r="W16" s="387"/>
      <c r="X16" s="384"/>
      <c r="AA16" s="387"/>
      <c r="AB16" s="384"/>
    </row>
    <row r="17" spans="2:29" x14ac:dyDescent="0.25">
      <c r="B17" s="1910" t="s">
        <v>458</v>
      </c>
      <c r="C17" s="1911" t="s">
        <v>460</v>
      </c>
      <c r="G17" s="83" t="str">
        <f t="shared" si="0"/>
        <v>0.00%</v>
      </c>
      <c r="H17" s="1914"/>
      <c r="I17" s="980"/>
      <c r="J17" s="61"/>
      <c r="K17" s="83" t="str">
        <f t="shared" si="1"/>
        <v>0.00%</v>
      </c>
      <c r="L17" s="3">
        <f>+H17</f>
        <v>0</v>
      </c>
      <c r="M17" s="1084"/>
      <c r="O17" s="83" t="str">
        <f t="shared" si="2"/>
        <v>0.00%</v>
      </c>
      <c r="P17" s="3">
        <f>+L17</f>
        <v>0</v>
      </c>
      <c r="Q17" s="1084"/>
      <c r="S17" s="129"/>
      <c r="T17" s="3"/>
      <c r="U17" s="328"/>
      <c r="W17" s="129"/>
      <c r="X17" s="3"/>
      <c r="Y17" s="328"/>
      <c r="AA17" s="129"/>
      <c r="AB17" s="3"/>
      <c r="AC17" s="328"/>
    </row>
    <row r="18" spans="2:29" x14ac:dyDescent="0.25">
      <c r="B18" s="1910" t="s">
        <v>458</v>
      </c>
      <c r="C18" s="1911" t="s">
        <v>459</v>
      </c>
      <c r="D18" s="2">
        <v>1110.8900000000001</v>
      </c>
      <c r="E18" s="980" t="s">
        <v>938</v>
      </c>
      <c r="G18" s="83">
        <f t="shared" si="0"/>
        <v>-1</v>
      </c>
      <c r="H18" s="1914"/>
      <c r="I18" s="980"/>
      <c r="J18" s="61"/>
      <c r="K18" s="83" t="str">
        <f t="shared" si="1"/>
        <v>0.00%</v>
      </c>
      <c r="L18" s="3">
        <f>ROUND(+H18*1.0319,0)</f>
        <v>0</v>
      </c>
      <c r="M18" s="1084"/>
      <c r="O18" s="83" t="str">
        <f t="shared" si="2"/>
        <v>0.00%</v>
      </c>
      <c r="P18" s="3">
        <f>ROUND(+L18*1.0286,0)</f>
        <v>0</v>
      </c>
      <c r="Q18" s="1084"/>
      <c r="S18" s="129"/>
      <c r="T18" s="3"/>
      <c r="U18" s="328"/>
      <c r="W18" s="129"/>
      <c r="X18" s="3"/>
      <c r="Y18" s="328"/>
      <c r="AA18" s="129"/>
      <c r="AB18" s="3"/>
      <c r="AC18" s="328"/>
    </row>
    <row r="19" spans="2:29" x14ac:dyDescent="0.25">
      <c r="B19" s="1910" t="s">
        <v>458</v>
      </c>
      <c r="C19" s="1911" t="s">
        <v>463</v>
      </c>
      <c r="D19" s="1912">
        <f>1158311.94-807000</f>
        <v>351311.93999999994</v>
      </c>
      <c r="E19" s="1913" t="s">
        <v>937</v>
      </c>
      <c r="G19" s="83">
        <f t="shared" si="0"/>
        <v>-0.261715955341569</v>
      </c>
      <c r="H19" s="1914">
        <v>259368</v>
      </c>
      <c r="I19" s="980"/>
      <c r="J19" s="61"/>
      <c r="K19" s="83">
        <f t="shared" si="1"/>
        <v>2.1500000000000043E-2</v>
      </c>
      <c r="L19" s="392">
        <f>+H19*(1+M19)</f>
        <v>264944.41200000001</v>
      </c>
      <c r="M19" s="1086">
        <v>2.1499999999999998E-2</v>
      </c>
      <c r="N19" s="390"/>
      <c r="O19" s="391">
        <f t="shared" ref="O19:O22" si="3">IF(L19=0,"0.00%",(P19-L19)/L19)</f>
        <v>2.3500000000000153E-2</v>
      </c>
      <c r="P19" s="392">
        <f>+L19*(1+Q19)</f>
        <v>271170.60568200005</v>
      </c>
      <c r="Q19" s="1086">
        <v>2.35E-2</v>
      </c>
      <c r="S19" s="129"/>
      <c r="T19" s="3"/>
      <c r="U19" s="328"/>
      <c r="W19" s="129"/>
      <c r="X19" s="3"/>
      <c r="Y19" s="328"/>
      <c r="AA19" s="129"/>
      <c r="AB19" s="3"/>
      <c r="AC19" s="328"/>
    </row>
    <row r="20" spans="2:29" ht="18.75" customHeight="1" x14ac:dyDescent="0.25">
      <c r="B20" s="987">
        <v>8650</v>
      </c>
      <c r="C20" s="863" t="s">
        <v>449</v>
      </c>
      <c r="D20" s="2">
        <v>12662.76</v>
      </c>
      <c r="E20" s="980"/>
      <c r="G20" s="83">
        <f t="shared" si="0"/>
        <v>-0.21028275036405966</v>
      </c>
      <c r="H20" s="840">
        <v>10000</v>
      </c>
      <c r="I20" s="980"/>
      <c r="J20" s="61"/>
      <c r="K20" s="83">
        <f t="shared" si="1"/>
        <v>2.1499999999999998E-2</v>
      </c>
      <c r="L20" s="392">
        <f>+H20*(1+M20)</f>
        <v>10215</v>
      </c>
      <c r="M20" s="1086">
        <v>2.1499999999999998E-2</v>
      </c>
      <c r="N20" s="390"/>
      <c r="O20" s="391">
        <f t="shared" si="3"/>
        <v>2.3500000000000156E-2</v>
      </c>
      <c r="P20" s="392">
        <f>+L20*(1+Q20)</f>
        <v>10455.052500000002</v>
      </c>
      <c r="Q20" s="1086">
        <v>2.35E-2</v>
      </c>
      <c r="S20" s="129"/>
      <c r="T20" s="3"/>
      <c r="U20" s="328"/>
      <c r="W20" s="129"/>
      <c r="X20" s="3"/>
      <c r="Y20" s="328"/>
      <c r="AA20" s="129"/>
      <c r="AB20" s="3"/>
      <c r="AC20" s="328"/>
    </row>
    <row r="21" spans="2:29" x14ac:dyDescent="0.25">
      <c r="B21" s="987">
        <v>8660</v>
      </c>
      <c r="C21" s="863" t="s">
        <v>450</v>
      </c>
      <c r="D21" s="2">
        <v>201693.45</v>
      </c>
      <c r="E21" s="980"/>
      <c r="G21" s="83">
        <f t="shared" si="0"/>
        <v>-0.10755654187084415</v>
      </c>
      <c r="H21" s="840">
        <v>180000</v>
      </c>
      <c r="I21" s="952"/>
      <c r="J21" s="61"/>
      <c r="K21" s="83">
        <f t="shared" si="1"/>
        <v>2.1499999999999998E-2</v>
      </c>
      <c r="L21" s="392">
        <f>+H21*(1+M21)</f>
        <v>183870</v>
      </c>
      <c r="M21" s="1086">
        <v>2.1499999999999998E-2</v>
      </c>
      <c r="N21" s="390"/>
      <c r="O21" s="391">
        <f t="shared" si="3"/>
        <v>2.3500000000000038E-2</v>
      </c>
      <c r="P21" s="392">
        <f>+L21*(1+Q21)</f>
        <v>188190.94500000001</v>
      </c>
      <c r="Q21" s="1086">
        <v>2.35E-2</v>
      </c>
      <c r="S21" s="129"/>
      <c r="T21" s="3"/>
      <c r="U21" s="328"/>
      <c r="W21" s="129"/>
      <c r="X21" s="3"/>
      <c r="Y21" s="328"/>
      <c r="AA21" s="129"/>
      <c r="AB21" s="3"/>
      <c r="AC21" s="328"/>
    </row>
    <row r="22" spans="2:29" x14ac:dyDescent="0.25">
      <c r="B22" s="987">
        <v>8677</v>
      </c>
      <c r="C22" s="863" t="s">
        <v>451</v>
      </c>
      <c r="D22" s="2">
        <v>20324</v>
      </c>
      <c r="E22" s="980"/>
      <c r="G22" s="83">
        <f t="shared" si="0"/>
        <v>-0.11434756937610707</v>
      </c>
      <c r="H22" s="3">
        <v>18000</v>
      </c>
      <c r="I22" s="2007">
        <f>+H23+H22+H21+H20+H19</f>
        <v>483368</v>
      </c>
      <c r="J22" s="61"/>
      <c r="K22" s="83">
        <f t="shared" si="1"/>
        <v>2.1499999999999998E-2</v>
      </c>
      <c r="L22" s="392">
        <f>+H22*(1+M22)</f>
        <v>18387</v>
      </c>
      <c r="M22" s="1086">
        <v>2.1499999999999998E-2</v>
      </c>
      <c r="N22" s="390"/>
      <c r="O22" s="391">
        <f t="shared" si="3"/>
        <v>2.3500000000000156E-2</v>
      </c>
      <c r="P22" s="392">
        <f>+L22*(1+Q22)</f>
        <v>18819.094500000003</v>
      </c>
      <c r="Q22" s="1086">
        <v>2.35E-2</v>
      </c>
      <c r="S22" s="129"/>
      <c r="T22" s="3"/>
      <c r="U22" s="328"/>
      <c r="W22" s="129"/>
      <c r="X22" s="3"/>
      <c r="Y22" s="328"/>
      <c r="AA22" s="129"/>
      <c r="AB22" s="3"/>
      <c r="AC22" s="328"/>
    </row>
    <row r="23" spans="2:29" x14ac:dyDescent="0.25">
      <c r="B23" s="987">
        <v>8689</v>
      </c>
      <c r="C23" s="863" t="s">
        <v>359</v>
      </c>
      <c r="D23" s="2">
        <v>23791.8</v>
      </c>
      <c r="E23" s="980"/>
      <c r="G23" s="83">
        <f t="shared" si="0"/>
        <v>-0.32749939054632266</v>
      </c>
      <c r="H23" s="3">
        <v>16000</v>
      </c>
      <c r="I23" s="980" t="s">
        <v>869</v>
      </c>
      <c r="J23" s="61"/>
      <c r="K23" s="83">
        <f t="shared" si="1"/>
        <v>2.1500000000000113E-2</v>
      </c>
      <c r="L23" s="392">
        <f>+H23*(1+M23)</f>
        <v>16344.000000000002</v>
      </c>
      <c r="M23" s="1086">
        <v>2.1499999999999998E-2</v>
      </c>
      <c r="N23" s="390"/>
      <c r="O23" s="391">
        <f t="shared" ref="O23" si="4">IF(L23=0,"0.00%",(P23-L23)/L23)</f>
        <v>2.3500000000000042E-2</v>
      </c>
      <c r="P23" s="392">
        <f>+L23*(1+Q23)</f>
        <v>16728.084000000003</v>
      </c>
      <c r="Q23" s="1086">
        <v>2.35E-2</v>
      </c>
      <c r="S23" s="129"/>
      <c r="T23" s="3"/>
      <c r="U23" s="328"/>
      <c r="W23" s="129"/>
      <c r="X23" s="3"/>
      <c r="Y23" s="328"/>
      <c r="AA23" s="129"/>
      <c r="AB23" s="3"/>
      <c r="AC23" s="328"/>
    </row>
    <row r="24" spans="2:29" ht="21.95" customHeight="1" x14ac:dyDescent="0.25">
      <c r="B24" s="987" t="s">
        <v>453</v>
      </c>
      <c r="C24" s="863" t="s">
        <v>455</v>
      </c>
      <c r="D24" s="2">
        <v>-11011522.92</v>
      </c>
      <c r="E24" s="980"/>
      <c r="G24" s="83">
        <f t="shared" si="0"/>
        <v>0.13726966660121159</v>
      </c>
      <c r="H24" s="2">
        <f>-'RS 6500'!H12</f>
        <v>-12523071</v>
      </c>
      <c r="I24" s="980"/>
      <c r="J24" s="61"/>
      <c r="K24" s="83">
        <f t="shared" si="1"/>
        <v>2.0089241688400553E-2</v>
      </c>
      <c r="L24" s="2">
        <f>-'RS 6500'!L12</f>
        <v>-12774650</v>
      </c>
      <c r="M24" s="1084"/>
      <c r="O24" s="83">
        <f t="shared" si="2"/>
        <v>3.236002551929016E-2</v>
      </c>
      <c r="P24" s="2">
        <f>-'RS 6500'!P12</f>
        <v>-13188038</v>
      </c>
      <c r="Q24" s="1084"/>
      <c r="S24" s="129"/>
      <c r="T24" s="3"/>
      <c r="U24" s="328"/>
      <c r="W24" s="129"/>
      <c r="X24" s="3"/>
      <c r="Y24" s="328"/>
      <c r="AA24" s="129"/>
      <c r="AB24" s="3"/>
      <c r="AC24" s="328"/>
    </row>
    <row r="25" spans="2:29" x14ac:dyDescent="0.25">
      <c r="B25" s="987" t="s">
        <v>454</v>
      </c>
      <c r="C25" s="863" t="s">
        <v>456</v>
      </c>
      <c r="D25" s="2">
        <v>-2400861</v>
      </c>
      <c r="E25" s="980"/>
      <c r="G25" s="83">
        <f t="shared" si="0"/>
        <v>8.6609345563945603E-2</v>
      </c>
      <c r="H25" s="2">
        <f>-'RS 8150'!H11</f>
        <v>-2608798</v>
      </c>
      <c r="I25" s="980"/>
      <c r="J25" s="61"/>
      <c r="K25" s="83">
        <f t="shared" si="1"/>
        <v>-5.3806772314299534E-2</v>
      </c>
      <c r="L25" s="2">
        <f>-'RS 8150'!L11</f>
        <v>-2468427</v>
      </c>
      <c r="M25" s="1084"/>
      <c r="O25" s="83">
        <f t="shared" si="2"/>
        <v>1.0006372479315775E-4</v>
      </c>
      <c r="P25" s="2">
        <f>-'RS 8150'!P11</f>
        <v>-2468674</v>
      </c>
      <c r="Q25" s="1084"/>
      <c r="S25" s="129">
        <f>IF(P25=0,"0.00%",(T25-P25)/P25)</f>
        <v>-1</v>
      </c>
      <c r="T25" s="3">
        <f>-P2</f>
        <v>0</v>
      </c>
      <c r="U25" s="328"/>
      <c r="W25" s="129" t="str">
        <f>IF(T25=0,"0.00%",(X25-T25)/T25)</f>
        <v>0.00%</v>
      </c>
      <c r="X25" s="3">
        <f>-T2</f>
        <v>0</v>
      </c>
      <c r="Y25" s="328"/>
      <c r="AA25" s="129" t="str">
        <f>IF(X25=0,"0.00%",(AB25-X25)/X25)</f>
        <v>0.00%</v>
      </c>
      <c r="AB25" s="3">
        <f>-X2</f>
        <v>0</v>
      </c>
      <c r="AC25" s="328"/>
    </row>
    <row r="26" spans="2:29" x14ac:dyDescent="0.25">
      <c r="B26" s="987" t="s">
        <v>452</v>
      </c>
      <c r="C26" s="863" t="s">
        <v>457</v>
      </c>
      <c r="D26" s="2">
        <f>-'RS 9225'!D11</f>
        <v>-1961318</v>
      </c>
      <c r="E26" s="980"/>
      <c r="G26" s="83">
        <f t="shared" si="0"/>
        <v>-0.84704163220854545</v>
      </c>
      <c r="H26" s="2">
        <f>-'RS 9225'!H11</f>
        <v>-300000</v>
      </c>
      <c r="I26" s="2007">
        <f>+H24+H25+H26</f>
        <v>-15431869</v>
      </c>
      <c r="J26" s="61"/>
      <c r="K26" s="83">
        <f t="shared" si="1"/>
        <v>0</v>
      </c>
      <c r="L26" s="2">
        <f>-'RS 9225'!L11</f>
        <v>-300000</v>
      </c>
      <c r="M26" s="1856"/>
      <c r="O26" s="83">
        <f>IF(L26=0,"0%",(P26-L26)/L26)</f>
        <v>0</v>
      </c>
      <c r="P26" s="2">
        <f>-'RS 9225'!P11</f>
        <v>-300000</v>
      </c>
      <c r="Q26" s="1084"/>
      <c r="S26" s="129"/>
      <c r="T26" s="3"/>
      <c r="U26" s="328"/>
      <c r="W26" s="129"/>
      <c r="X26" s="3"/>
      <c r="Y26" s="328"/>
      <c r="AA26" s="129"/>
      <c r="AB26" s="3"/>
      <c r="AC26" s="328"/>
    </row>
    <row r="27" spans="2:29" x14ac:dyDescent="0.25">
      <c r="B27" s="990" t="s">
        <v>665</v>
      </c>
      <c r="C27" s="863" t="s">
        <v>666</v>
      </c>
      <c r="D27" s="2">
        <v>-807000</v>
      </c>
      <c r="E27" s="980"/>
      <c r="G27" s="83">
        <f t="shared" si="0"/>
        <v>-1</v>
      </c>
      <c r="H27" s="2">
        <v>0</v>
      </c>
      <c r="I27" s="980"/>
      <c r="J27" s="61"/>
      <c r="K27" s="83" t="str">
        <f>IF(H27=0,"0%",(L27-H27)/H27)</f>
        <v>0%</v>
      </c>
      <c r="L27" s="2">
        <v>0</v>
      </c>
      <c r="M27" s="1084"/>
      <c r="O27" s="83" t="str">
        <f t="shared" ref="O27:O28" si="5">IF(L27=0,"0%",(P27-L27)/L27)</f>
        <v>0%</v>
      </c>
      <c r="P27" s="2">
        <v>0</v>
      </c>
      <c r="Q27" s="1084"/>
      <c r="S27" s="129"/>
      <c r="T27" s="3"/>
      <c r="U27" s="328"/>
      <c r="W27" s="129"/>
      <c r="X27" s="3"/>
      <c r="Y27" s="328"/>
      <c r="AA27" s="129"/>
      <c r="AB27" s="3"/>
      <c r="AC27" s="328"/>
    </row>
    <row r="28" spans="2:29" x14ac:dyDescent="0.25">
      <c r="B28" s="987"/>
      <c r="E28" s="980"/>
      <c r="G28" s="83" t="str">
        <f>IF(D28=0,"0%",(H28-D28)/D28)</f>
        <v>0%</v>
      </c>
      <c r="H28" s="3"/>
      <c r="I28" s="980"/>
      <c r="J28" s="61"/>
      <c r="K28" s="83" t="str">
        <f>IF(H28=0,"0%",(L28-H28)/H28)</f>
        <v>0%</v>
      </c>
      <c r="L28" s="3"/>
      <c r="M28" s="1084"/>
      <c r="O28" s="83" t="str">
        <f t="shared" si="5"/>
        <v>0%</v>
      </c>
      <c r="P28" s="3"/>
      <c r="Q28" s="1084"/>
      <c r="S28" s="129"/>
      <c r="T28" s="3"/>
      <c r="U28" s="328"/>
      <c r="W28" s="129"/>
      <c r="X28" s="3"/>
      <c r="Y28" s="328"/>
      <c r="AA28" s="129"/>
      <c r="AB28" s="3"/>
      <c r="AC28" s="328"/>
    </row>
    <row r="29" spans="2:29" x14ac:dyDescent="0.25">
      <c r="B29" s="986" t="s">
        <v>137</v>
      </c>
      <c r="D29" s="8">
        <f>SUM(D9:D28)</f>
        <v>46078309.989999995</v>
      </c>
      <c r="E29" s="980"/>
      <c r="G29" s="83">
        <f t="shared" ref="G29:G33" si="6">IF(D29=0,"0.00%",(H29-D29)/D29)</f>
        <v>-3.4827622591806669E-2</v>
      </c>
      <c r="H29" s="8">
        <f>SUM(H9:H28)</f>
        <v>44473512</v>
      </c>
      <c r="I29" s="980"/>
      <c r="J29" s="61"/>
      <c r="K29" s="83">
        <f t="shared" si="1"/>
        <v>3.6538302506895232E-3</v>
      </c>
      <c r="L29" s="8">
        <f>SUM(L9:L28)</f>
        <v>44636010.663500004</v>
      </c>
      <c r="M29" s="1292">
        <f>+L29-H29</f>
        <v>162498.66350000352</v>
      </c>
      <c r="O29" s="83">
        <f t="shared" si="2"/>
        <v>2.3196336930686203E-2</v>
      </c>
      <c r="P29" s="8">
        <f>SUM(P9:P28)</f>
        <v>45671402.606092252</v>
      </c>
      <c r="Q29" s="1292">
        <f>+P29-L29</f>
        <v>1035391.9425922483</v>
      </c>
      <c r="S29" s="129">
        <f>IF(P29=0,"0.00%",(T29-P29)/P29)</f>
        <v>-1</v>
      </c>
      <c r="T29" s="8">
        <f>SUM(T9:T25)</f>
        <v>0</v>
      </c>
      <c r="U29" s="328"/>
      <c r="W29" s="129" t="str">
        <f>IF(T29=0,"0.00%",(X29-T29)/T29)</f>
        <v>0.00%</v>
      </c>
      <c r="X29" s="8">
        <f>SUM(X9:X25)</f>
        <v>0</v>
      </c>
      <c r="Y29" s="328"/>
      <c r="AA29" s="129" t="str">
        <f>IF(X29=0,"0.00%",(AB29-X29)/X29)</f>
        <v>0.00%</v>
      </c>
      <c r="AB29" s="8">
        <f>SUM(AB9:AB25)</f>
        <v>0</v>
      </c>
      <c r="AC29" s="328"/>
    </row>
    <row r="30" spans="2:29" x14ac:dyDescent="0.25">
      <c r="E30" s="980"/>
      <c r="H30" s="3"/>
      <c r="I30" s="980"/>
      <c r="J30" s="61"/>
      <c r="K30" s="52"/>
      <c r="L30" s="3"/>
      <c r="M30" s="1084"/>
      <c r="O30" s="52"/>
      <c r="P30" s="3"/>
      <c r="Q30" s="1084"/>
      <c r="S30" s="130"/>
      <c r="T30" s="3"/>
      <c r="U30" s="328"/>
      <c r="W30" s="130"/>
      <c r="X30" s="3"/>
      <c r="Y30" s="328"/>
      <c r="AA30" s="130"/>
      <c r="AB30" s="3"/>
      <c r="AC30" s="328"/>
    </row>
    <row r="31" spans="2:29" x14ac:dyDescent="0.25">
      <c r="B31" s="52"/>
      <c r="C31" s="861" t="s">
        <v>64</v>
      </c>
      <c r="D31" s="9">
        <f>ROUND(D29-(D29/(1+E31)),0)</f>
        <v>0</v>
      </c>
      <c r="E31" s="1019">
        <v>0</v>
      </c>
      <c r="G31" s="83" t="str">
        <f t="shared" si="6"/>
        <v>0.00%</v>
      </c>
      <c r="H31" s="9">
        <f>ROUND(H29-(H29/(1+B31)),0)</f>
        <v>0</v>
      </c>
      <c r="I31" s="980"/>
      <c r="J31" s="61"/>
      <c r="K31" s="83" t="str">
        <f>IF(H31=0,"0.00%",(L31-H31)/H31)</f>
        <v>0.00%</v>
      </c>
      <c r="L31" s="9">
        <f>ROUND(L29-(L29/(1+B31)),0)</f>
        <v>0</v>
      </c>
      <c r="M31" s="1084"/>
      <c r="O31" s="83" t="str">
        <f>IF(L31=0,"0.00%",(P31-L31)/L31)</f>
        <v>0.00%</v>
      </c>
      <c r="P31" s="9">
        <f>ROUND(P29-(P29/(1+B31)),0)</f>
        <v>0</v>
      </c>
      <c r="Q31" s="1084"/>
      <c r="S31" s="129" t="str">
        <f>IF(P31=0,"0.00%",(T31-P31)/P31)</f>
        <v>0.00%</v>
      </c>
      <c r="T31" s="9">
        <f>ROUND(T29-(T29/(1+B31)),0)</f>
        <v>0</v>
      </c>
      <c r="U31" s="328"/>
      <c r="W31" s="129" t="str">
        <f>IF(T31=0,"0.00%",(X31-T31)/T31)</f>
        <v>0.00%</v>
      </c>
      <c r="X31" s="9">
        <f>ROUND(X29-(X29/(1+B31)),0)</f>
        <v>0</v>
      </c>
      <c r="Y31" s="328"/>
      <c r="AA31" s="129" t="str">
        <f>IF(X31=0,"0.00%",(AB31-X31)/X31)</f>
        <v>0.00%</v>
      </c>
      <c r="AB31" s="9">
        <f>ROUND(AB29-(AB29/(1+G31)),0)</f>
        <v>0</v>
      </c>
      <c r="AC31" s="328"/>
    </row>
    <row r="32" spans="2:29" x14ac:dyDescent="0.25">
      <c r="E32" s="980"/>
      <c r="H32" s="3"/>
      <c r="I32" s="980"/>
      <c r="J32" s="61"/>
      <c r="K32" s="52"/>
      <c r="L32" s="3"/>
      <c r="M32" s="1084"/>
      <c r="O32" s="52"/>
      <c r="P32" s="3"/>
      <c r="Q32" s="1084"/>
      <c r="S32" s="130"/>
      <c r="T32" s="3"/>
      <c r="U32" s="328"/>
      <c r="W32" s="130"/>
      <c r="X32" s="3"/>
      <c r="Y32" s="328"/>
      <c r="AA32" s="130"/>
      <c r="AB32" s="3"/>
      <c r="AC32" s="328"/>
    </row>
    <row r="33" spans="1:29" x14ac:dyDescent="0.25">
      <c r="B33" s="986" t="s">
        <v>50</v>
      </c>
      <c r="D33" s="10">
        <f>D29-D31+D7</f>
        <v>54835657.369999997</v>
      </c>
      <c r="E33" s="980"/>
      <c r="G33" s="83">
        <f t="shared" si="6"/>
        <v>-3.9143949264923303E-2</v>
      </c>
      <c r="H33" s="10">
        <f>H29-H31+H7</f>
        <v>52689173.18</v>
      </c>
      <c r="I33" s="1292">
        <f>+H33-D33</f>
        <v>-2146484.1899999976</v>
      </c>
      <c r="J33" s="61"/>
      <c r="K33" s="83">
        <f>IF(H33=0,"0.00%",(L33-H33)/H33)</f>
        <v>-6.9892901600851959E-2</v>
      </c>
      <c r="L33" s="10">
        <f>L29-L31+L7</f>
        <v>49006573.983500011</v>
      </c>
      <c r="M33" s="1292">
        <f>+L33-H33</f>
        <v>-3682599.1964999884</v>
      </c>
      <c r="O33" s="83">
        <f>IF(L33=0,"0.00%",(P33-L33)/L33)</f>
        <v>-7.3406376482151578E-2</v>
      </c>
      <c r="P33" s="10">
        <f>P29-P31+P7</f>
        <v>45409178.963566795</v>
      </c>
      <c r="Q33" s="1292">
        <f>+P33-L33</f>
        <v>-3597395.0199332163</v>
      </c>
      <c r="S33" s="129">
        <f>IF(P33=0,"0.00%",(T33-P33)/P33)</f>
        <v>-1</v>
      </c>
      <c r="T33" s="9">
        <f>T29-T31</f>
        <v>0</v>
      </c>
      <c r="U33" s="328"/>
      <c r="W33" s="129" t="str">
        <f>IF(T33=0,"0.00%",(X33-T33)/T33)</f>
        <v>0.00%</v>
      </c>
      <c r="X33" s="9">
        <f>X29-X31</f>
        <v>0</v>
      </c>
      <c r="Y33" s="328"/>
      <c r="AA33" s="129" t="str">
        <f>IF(X33=0,"0.00%",(AB33-X33)/X33)</f>
        <v>0.00%</v>
      </c>
      <c r="AB33" s="9">
        <f>AB29-AB31</f>
        <v>0</v>
      </c>
      <c r="AC33" s="328"/>
    </row>
    <row r="34" spans="1:29" x14ac:dyDescent="0.25">
      <c r="E34" s="980"/>
      <c r="H34" s="3"/>
      <c r="I34" s="980"/>
      <c r="J34" s="61"/>
      <c r="L34" s="3"/>
      <c r="M34" s="1084"/>
      <c r="P34" s="3"/>
      <c r="Q34" s="1084"/>
      <c r="T34" s="3"/>
      <c r="U34" s="328"/>
      <c r="X34" s="3"/>
      <c r="Y34" s="328"/>
      <c r="AB34" s="3"/>
      <c r="AC34" s="328"/>
    </row>
    <row r="35" spans="1:29" x14ac:dyDescent="0.25">
      <c r="C35" s="982"/>
      <c r="E35" s="980"/>
      <c r="H35" s="3"/>
      <c r="I35" s="980"/>
      <c r="J35" s="61"/>
      <c r="L35" s="3"/>
      <c r="M35" s="1084"/>
      <c r="P35" s="3"/>
      <c r="Q35" s="1084"/>
      <c r="T35" s="3"/>
      <c r="U35" s="328"/>
      <c r="X35" s="3"/>
      <c r="Y35" s="328"/>
      <c r="AB35" s="3"/>
      <c r="AC35" s="328"/>
    </row>
    <row r="36" spans="1:29" x14ac:dyDescent="0.25">
      <c r="A36" s="32"/>
      <c r="D36" s="29" t="s">
        <v>826</v>
      </c>
      <c r="E36" s="929"/>
      <c r="F36" s="32"/>
      <c r="H36" s="29" t="s">
        <v>177</v>
      </c>
      <c r="I36" s="929"/>
      <c r="J36" s="29"/>
      <c r="M36" s="929"/>
      <c r="Q36" s="929"/>
      <c r="U36" s="106"/>
      <c r="Y36" s="106"/>
      <c r="AC36" s="106"/>
    </row>
    <row r="37" spans="1:29" ht="17.25" x14ac:dyDescent="0.4">
      <c r="A37" s="79"/>
      <c r="D37" s="35" t="s">
        <v>827</v>
      </c>
      <c r="E37" s="860"/>
      <c r="F37" s="34"/>
      <c r="H37" s="35" t="s">
        <v>48</v>
      </c>
      <c r="I37" s="1089"/>
      <c r="J37" s="29"/>
      <c r="L37" s="14" t="s">
        <v>48</v>
      </c>
      <c r="M37" s="1003">
        <v>1.4999999999999999E-2</v>
      </c>
      <c r="P37" s="14" t="s">
        <v>48</v>
      </c>
      <c r="Q37" s="1003">
        <v>1.4999999999999999E-2</v>
      </c>
      <c r="T37" s="14" t="s">
        <v>48</v>
      </c>
      <c r="U37" s="126">
        <v>0.02</v>
      </c>
      <c r="X37" s="14" t="s">
        <v>48</v>
      </c>
      <c r="Y37" s="126">
        <v>0.02</v>
      </c>
      <c r="AB37" s="14" t="s">
        <v>48</v>
      </c>
      <c r="AC37" s="126">
        <v>0.02</v>
      </c>
    </row>
    <row r="38" spans="1:29" s="10" customFormat="1" x14ac:dyDescent="0.25">
      <c r="A38" s="57"/>
      <c r="B38" s="986" t="s">
        <v>46</v>
      </c>
      <c r="C38" s="861"/>
      <c r="E38" s="861"/>
      <c r="G38" s="372"/>
      <c r="I38" s="864"/>
      <c r="J38" s="57"/>
      <c r="K38" s="379"/>
      <c r="M38" s="999"/>
      <c r="O38" s="379"/>
      <c r="Q38" s="999"/>
      <c r="R38" s="329"/>
      <c r="U38" s="127"/>
      <c r="Y38" s="127"/>
      <c r="AC38" s="127"/>
    </row>
    <row r="39" spans="1:29" x14ac:dyDescent="0.25">
      <c r="A39" s="1020"/>
      <c r="B39" s="1022" t="s">
        <v>786</v>
      </c>
      <c r="C39" s="1024" t="s">
        <v>799</v>
      </c>
      <c r="D39" s="1023">
        <v>24397635.760000002</v>
      </c>
      <c r="G39" s="83">
        <f t="shared" ref="G39:G65" si="7">IF(D39=0,"0.00%",(H39-D39)/D39)</f>
        <v>7.7867102316309259E-3</v>
      </c>
      <c r="H39" s="2">
        <v>24587613.079999998</v>
      </c>
      <c r="K39" s="83">
        <f t="shared" ref="K39:K64" si="8">IF(H39=0,"0.00%",(L39-H39)/H39)</f>
        <v>1.4999988766701456E-2</v>
      </c>
      <c r="L39" s="2">
        <f>ROUND(H39*(1+M37),0)</f>
        <v>24956427</v>
      </c>
      <c r="M39" s="1081" t="str">
        <f>TEXT(M37,"0.0%")&amp;" = Est. S &amp; C"</f>
        <v>1.5% = Est. S &amp; C</v>
      </c>
      <c r="O39" s="83">
        <f t="shared" ref="O39:O64" si="9">IF(L39=0,"0.00%",(P39-L39)/L39)</f>
        <v>1.4999983771715398E-2</v>
      </c>
      <c r="P39" s="2">
        <f>ROUND(L39*(1+Q37),0)</f>
        <v>25330773</v>
      </c>
      <c r="Q39" s="1081" t="str">
        <f>TEXT(Q37,"0.0%")&amp;" = Est. S &amp; C"</f>
        <v>1.5% = Est. S &amp; C</v>
      </c>
      <c r="S39" s="129">
        <f t="shared" ref="S39:S51" si="10">IF(P39=0,"0.00%",(T39-P39)/P39)</f>
        <v>1.9999981840269937E-2</v>
      </c>
      <c r="T39" s="2">
        <f>ROUND(P39*(1+U37),0)</f>
        <v>25837388</v>
      </c>
      <c r="U39" s="36" t="str">
        <f>TEXT(U37,"0.0%")&amp;" = Est. S &amp; C"</f>
        <v>2.0% = Est. S &amp; C</v>
      </c>
      <c r="W39" s="129">
        <f t="shared" ref="W39:W51" si="11">IF(T39=0,"0.00%",(X39-T39)/T39)</f>
        <v>2.000000928886465E-2</v>
      </c>
      <c r="X39" s="2">
        <f>ROUND(T39*(1+Y37),0)</f>
        <v>26354136</v>
      </c>
      <c r="Y39" s="36" t="str">
        <f>TEXT(Y37,"0.0%")&amp;" = Est. S &amp; C"</f>
        <v>2.0% = Est. S &amp; C</v>
      </c>
      <c r="AA39" s="129">
        <f t="shared" ref="AA39:AA51" si="12">IF(X39=0,"0.00%",(AB39-X39)/X39)</f>
        <v>2.0000010624518293E-2</v>
      </c>
      <c r="AB39" s="2">
        <f>ROUND(X39*(1+AC37),0)</f>
        <v>26881219</v>
      </c>
      <c r="AC39" s="36" t="str">
        <f>TEXT(AC37,"0.0%")&amp;" = Est. S &amp; C"</f>
        <v>2.0% = Est. S &amp; C</v>
      </c>
    </row>
    <row r="40" spans="1:29" x14ac:dyDescent="0.25">
      <c r="A40" s="1020"/>
      <c r="B40" s="1022"/>
      <c r="C40" s="1024"/>
      <c r="D40" s="1023">
        <v>-967.2</v>
      </c>
      <c r="G40" s="83"/>
      <c r="H40" s="2"/>
      <c r="K40" s="83"/>
      <c r="L40" s="616">
        <v>0</v>
      </c>
      <c r="M40" s="1920" t="s">
        <v>1026</v>
      </c>
      <c r="N40" s="616"/>
      <c r="O40" s="1921"/>
      <c r="P40" s="616">
        <v>-438532</v>
      </c>
      <c r="Q40" s="1920" t="s">
        <v>881</v>
      </c>
      <c r="S40" s="129"/>
      <c r="U40" s="36"/>
      <c r="W40" s="129"/>
      <c r="Y40" s="36"/>
      <c r="AA40" s="129"/>
      <c r="AC40" s="36"/>
    </row>
    <row r="41" spans="1:29" x14ac:dyDescent="0.25">
      <c r="A41" s="1020"/>
      <c r="B41" s="1022"/>
      <c r="C41" s="1021"/>
      <c r="D41" s="1023"/>
      <c r="G41" s="83"/>
      <c r="H41" s="2"/>
      <c r="K41" s="83"/>
      <c r="L41" s="2008">
        <f>-600000/(1+'MYP Assumptions'!F62)</f>
        <v>-505987.51897453197</v>
      </c>
      <c r="M41" s="2009" t="s">
        <v>1028</v>
      </c>
      <c r="O41" s="83"/>
      <c r="P41" s="2008">
        <f>-600000/(1+'MYP Assumptions'!G62)</f>
        <v>-498214.73054886662</v>
      </c>
      <c r="Q41" s="2009" t="s">
        <v>1027</v>
      </c>
      <c r="S41" s="129"/>
      <c r="U41" s="36"/>
      <c r="W41" s="129"/>
      <c r="Y41" s="36"/>
      <c r="AA41" s="129"/>
      <c r="AC41" s="36"/>
    </row>
    <row r="42" spans="1:29" x14ac:dyDescent="0.25">
      <c r="A42" s="1020"/>
      <c r="B42" s="1022" t="s">
        <v>787</v>
      </c>
      <c r="C42" s="1024" t="s">
        <v>409</v>
      </c>
      <c r="D42" s="1023">
        <v>217104.29</v>
      </c>
      <c r="G42" s="83">
        <f t="shared" si="7"/>
        <v>0.16719480761987701</v>
      </c>
      <c r="H42" s="2">
        <v>253403</v>
      </c>
      <c r="K42" s="83">
        <f t="shared" si="8"/>
        <v>1.4999822417256307E-2</v>
      </c>
      <c r="L42" s="2">
        <f>ROUND(H42*(1+M37),0)</f>
        <v>257204</v>
      </c>
      <c r="M42" s="1081" t="str">
        <f>TEXT(M37,"0.0%")&amp;" = Est. S &amp; C"</f>
        <v>1.5% = Est. S &amp; C</v>
      </c>
      <c r="O42" s="83">
        <f t="shared" si="9"/>
        <v>1.4999766722134959E-2</v>
      </c>
      <c r="P42" s="2">
        <f>ROUND(L42*(1+Q37),0)</f>
        <v>261062</v>
      </c>
      <c r="Q42" s="1081" t="str">
        <f>TEXT(Q37,"0.0%")&amp;" = Est. S &amp; C"</f>
        <v>1.5% = Est. S &amp; C</v>
      </c>
      <c r="S42" s="129">
        <f t="shared" si="10"/>
        <v>1.9999080678153081E-2</v>
      </c>
      <c r="T42" s="2">
        <f>ROUND(P42*(1+U37),0)</f>
        <v>266283</v>
      </c>
      <c r="U42" s="36" t="str">
        <f>TEXT(U37,"0.0%")&amp;" = Est. S &amp; C"</f>
        <v>2.0% = Est. S &amp; C</v>
      </c>
      <c r="W42" s="129">
        <f t="shared" si="11"/>
        <v>2.0001276837049303E-2</v>
      </c>
      <c r="X42" s="2">
        <f>ROUND(T42*(1+Y37),0)</f>
        <v>271609</v>
      </c>
      <c r="Y42" s="36" t="str">
        <f>TEXT(Y37,"0.0%")&amp;" = Est. S &amp; C"</f>
        <v>2.0% = Est. S &amp; C</v>
      </c>
      <c r="AA42" s="129">
        <f t="shared" si="12"/>
        <v>1.9999337282637909E-2</v>
      </c>
      <c r="AB42" s="2">
        <f>ROUND(X42*(1+AC37),0)</f>
        <v>277041</v>
      </c>
      <c r="AC42" s="36" t="str">
        <f>TEXT(AC37,"0.0%")&amp;" = Est. S &amp; C"</f>
        <v>2.0% = Est. S &amp; C</v>
      </c>
    </row>
    <row r="43" spans="1:29" x14ac:dyDescent="0.25">
      <c r="A43" s="1020"/>
      <c r="B43" s="1022" t="s">
        <v>788</v>
      </c>
      <c r="C43" s="1024" t="s">
        <v>800</v>
      </c>
      <c r="D43" s="1023">
        <v>263788.76</v>
      </c>
      <c r="G43" s="83">
        <f t="shared" si="7"/>
        <v>4.8175820683186009E-2</v>
      </c>
      <c r="H43" s="2">
        <v>276497</v>
      </c>
      <c r="K43" s="83">
        <f t="shared" si="8"/>
        <v>1.4998354412525271E-2</v>
      </c>
      <c r="L43" s="2">
        <f>ROUND(H43*(1+M37),0)</f>
        <v>280644</v>
      </c>
      <c r="M43" s="1081" t="str">
        <f>TEXT(M37,"0.0%")&amp;" = Est. S &amp; C"</f>
        <v>1.5% = Est. S &amp; C</v>
      </c>
      <c r="O43" s="83">
        <f t="shared" si="9"/>
        <v>1.5001211499265974E-2</v>
      </c>
      <c r="P43" s="2">
        <f>ROUND(L43*(1+Q37),0)</f>
        <v>284854</v>
      </c>
      <c r="Q43" s="1081" t="str">
        <f>TEXT(Q37,"0.0%")&amp;" = Est. S &amp; C"</f>
        <v>1.5% = Est. S &amp; C</v>
      </c>
      <c r="S43" s="129">
        <f t="shared" si="10"/>
        <v>1.9999719154373818E-2</v>
      </c>
      <c r="T43" s="2">
        <f>ROUND(P43*(1+U37),0)</f>
        <v>290551</v>
      </c>
      <c r="U43" s="36" t="str">
        <f>TEXT(U37,"0.0%")&amp;" = Est. S &amp; C"</f>
        <v>2.0% = Est. S &amp; C</v>
      </c>
      <c r="W43" s="129">
        <f t="shared" si="11"/>
        <v>1.9999931165268749E-2</v>
      </c>
      <c r="X43" s="2">
        <f>ROUND(T43*(1+Y37),0)</f>
        <v>296362</v>
      </c>
      <c r="Y43" s="36" t="str">
        <f>TEXT(Y37,"0.0%")&amp;" = Est. S &amp; C"</f>
        <v>2.0% = Est. S &amp; C</v>
      </c>
      <c r="AA43" s="129">
        <f t="shared" si="12"/>
        <v>1.9999190179577679E-2</v>
      </c>
      <c r="AB43" s="2">
        <f>ROUND(X43*(1+AC37),0)</f>
        <v>302289</v>
      </c>
      <c r="AC43" s="36" t="str">
        <f>TEXT(AC37,"0.0%")&amp;" = Est. S &amp; C"</f>
        <v>2.0% = Est. S &amp; C</v>
      </c>
    </row>
    <row r="44" spans="1:29" x14ac:dyDescent="0.25">
      <c r="A44" s="1020"/>
      <c r="B44" s="1022" t="s">
        <v>45</v>
      </c>
      <c r="C44" s="1024" t="s">
        <v>801</v>
      </c>
      <c r="D44" s="1023">
        <v>1128.96</v>
      </c>
      <c r="G44" s="83">
        <f t="shared" si="7"/>
        <v>0.46860827664399091</v>
      </c>
      <c r="H44" s="2">
        <v>1658</v>
      </c>
      <c r="K44" s="83">
        <f t="shared" si="8"/>
        <v>1.5078407720144753E-2</v>
      </c>
      <c r="L44" s="2">
        <f>ROUND(H44*(1+M37),0)</f>
        <v>1683</v>
      </c>
      <c r="M44" s="1081" t="str">
        <f>TEXT(M37,"0.0%")&amp;" = Est. S &amp; C"</f>
        <v>1.5% = Est. S &amp; C</v>
      </c>
      <c r="O44" s="83">
        <f t="shared" si="9"/>
        <v>1.4854426619132501E-2</v>
      </c>
      <c r="P44" s="2">
        <f>ROUND(L44*(1+Q37),0)</f>
        <v>1708</v>
      </c>
      <c r="Q44" s="1081" t="str">
        <f>TEXT(Q37,"0.0%")&amp;" = Est. S &amp; C"</f>
        <v>1.5% = Est. S &amp; C</v>
      </c>
      <c r="S44" s="129">
        <f t="shared" si="10"/>
        <v>1.9906323185011711E-2</v>
      </c>
      <c r="T44" s="2">
        <f>ROUND(P44*(1+U37),0)</f>
        <v>1742</v>
      </c>
      <c r="U44" s="36" t="str">
        <f>TEXT(U37,"0.0%")&amp;" = Est. S &amp; C"</f>
        <v>2.0% = Est. S &amp; C</v>
      </c>
      <c r="W44" s="129">
        <f t="shared" si="11"/>
        <v>2.0091848450057407E-2</v>
      </c>
      <c r="X44" s="2">
        <f>ROUND(T44*(1+Y37),0)</f>
        <v>1777</v>
      </c>
      <c r="Y44" s="36" t="str">
        <f>TEXT(Y37,"0.0%")&amp;" = Est. S &amp; C"</f>
        <v>2.0% = Est. S &amp; C</v>
      </c>
      <c r="AA44" s="129">
        <f t="shared" si="12"/>
        <v>2.0258863252673044E-2</v>
      </c>
      <c r="AB44" s="2">
        <f>ROUND(X44*(1+AC37),0)</f>
        <v>1813</v>
      </c>
      <c r="AC44" s="36" t="str">
        <f>TEXT(AC37,"0.0%")&amp;" = Est. S &amp; C"</f>
        <v>2.0% = Est. S &amp; C</v>
      </c>
    </row>
    <row r="45" spans="1:29" x14ac:dyDescent="0.25">
      <c r="A45" s="1020"/>
      <c r="B45" s="1022" t="s">
        <v>474</v>
      </c>
      <c r="C45" s="1024" t="s">
        <v>802</v>
      </c>
      <c r="D45" s="1023">
        <v>44120.93</v>
      </c>
      <c r="G45" s="83">
        <f t="shared" si="7"/>
        <v>-0.20672569685181161</v>
      </c>
      <c r="H45" s="2">
        <v>35000</v>
      </c>
      <c r="K45" s="83">
        <f t="shared" si="8"/>
        <v>1.4999999999999999E-2</v>
      </c>
      <c r="L45" s="2">
        <f>ROUND(H45*(1+M37),0)</f>
        <v>35525</v>
      </c>
      <c r="M45" s="1081" t="str">
        <f>TEXT(M37,"0.0%")&amp;" = Est. S &amp; C"</f>
        <v>1.5% = Est. S &amp; C</v>
      </c>
      <c r="O45" s="83">
        <f t="shared" si="9"/>
        <v>1.5003518648838846E-2</v>
      </c>
      <c r="P45" s="2">
        <f>ROUND(L45*(1+Q37),0)</f>
        <v>36058</v>
      </c>
      <c r="Q45" s="1081" t="str">
        <f>TEXT(Q37,"0.0%")&amp;" = Est. S &amp; C"</f>
        <v>1.5% = Est. S &amp; C</v>
      </c>
      <c r="S45" s="129">
        <f t="shared" si="10"/>
        <v>1.9995562704531587E-2</v>
      </c>
      <c r="T45" s="2">
        <f>ROUND(P45*(1+U37),0)</f>
        <v>36779</v>
      </c>
      <c r="U45" s="36" t="str">
        <f>TEXT(U37,"0.0%")&amp;" = Est. S &amp; C"</f>
        <v>2.0% = Est. S &amp; C</v>
      </c>
      <c r="W45" s="129">
        <f t="shared" si="11"/>
        <v>2.0011419560075044E-2</v>
      </c>
      <c r="X45" s="2">
        <f>ROUND(T45*(1+Y37),0)</f>
        <v>37515</v>
      </c>
      <c r="Y45" s="36" t="str">
        <f>TEXT(Y37,"0.0%")&amp;" = Est. S &amp; C"</f>
        <v>2.0% = Est. S &amp; C</v>
      </c>
      <c r="AA45" s="129">
        <f t="shared" si="12"/>
        <v>1.9992003198720514E-2</v>
      </c>
      <c r="AB45" s="2">
        <f>ROUND(X45*(1+AC37),0)</f>
        <v>38265</v>
      </c>
      <c r="AC45" s="36" t="str">
        <f>TEXT(AC37,"0.0%")&amp;" = Est. S &amp; C"</f>
        <v>2.0% = Est. S &amp; C</v>
      </c>
    </row>
    <row r="46" spans="1:29" x14ac:dyDescent="0.25">
      <c r="A46" s="1020"/>
      <c r="B46" s="1022" t="s">
        <v>789</v>
      </c>
      <c r="C46" s="1024" t="s">
        <v>411</v>
      </c>
      <c r="D46" s="1023">
        <v>34206.44</v>
      </c>
      <c r="G46" s="83">
        <f t="shared" si="7"/>
        <v>-0.75767720932081795</v>
      </c>
      <c r="H46" s="2">
        <v>8289</v>
      </c>
      <c r="K46" s="83">
        <f t="shared" si="8"/>
        <v>1.4959584992158282E-2</v>
      </c>
      <c r="L46" s="2">
        <f>ROUND(H46*(1+M37),0)</f>
        <v>8413</v>
      </c>
      <c r="M46" s="1081" t="str">
        <f>TEXT(M37,"0.0%")&amp;" = Est. S &amp; C"</f>
        <v>1.5% = Est. S &amp; C</v>
      </c>
      <c r="O46" s="83">
        <f t="shared" si="9"/>
        <v>1.4976821585641269E-2</v>
      </c>
      <c r="P46" s="2">
        <f>ROUND(L46*(1+Q37),0)</f>
        <v>8539</v>
      </c>
      <c r="Q46" s="1081" t="str">
        <f>TEXT(Q37,"0.0%")&amp;" = Est. S &amp; C"</f>
        <v>1.5% = Est. S &amp; C</v>
      </c>
      <c r="S46" s="129">
        <f t="shared" si="10"/>
        <v>2.0025764141000116E-2</v>
      </c>
      <c r="T46" s="2">
        <f>ROUND(P46*(1+U37),0)</f>
        <v>8710</v>
      </c>
      <c r="U46" s="36" t="str">
        <f>TEXT(U37,"0.0%")&amp;" = Est. S &amp; C"</f>
        <v>2.0% = Est. S &amp; C</v>
      </c>
      <c r="W46" s="129">
        <f t="shared" si="11"/>
        <v>1.9977037887485647E-2</v>
      </c>
      <c r="X46" s="2">
        <f>ROUND(T46*(1+Y37),0)</f>
        <v>8884</v>
      </c>
      <c r="Y46" s="36" t="str">
        <f>TEXT(Y37,"0.0%")&amp;" = Est. S &amp; C"</f>
        <v>2.0% = Est. S &amp; C</v>
      </c>
      <c r="AA46" s="129">
        <f t="shared" si="12"/>
        <v>2.0036019810895991E-2</v>
      </c>
      <c r="AB46" s="2">
        <f>ROUND(X46*(1+AC37),0)</f>
        <v>9062</v>
      </c>
      <c r="AC46" s="36" t="str">
        <f>TEXT(AC37,"0.0%")&amp;" = Est. S &amp; C"</f>
        <v>2.0% = Est. S &amp; C</v>
      </c>
    </row>
    <row r="47" spans="1:29" x14ac:dyDescent="0.25">
      <c r="A47" s="1020"/>
      <c r="B47" s="1022" t="s">
        <v>43</v>
      </c>
      <c r="C47" s="1024" t="s">
        <v>412</v>
      </c>
      <c r="D47" s="1023">
        <v>400465.62</v>
      </c>
      <c r="G47" s="83">
        <f t="shared" si="7"/>
        <v>0.22922911584769751</v>
      </c>
      <c r="H47" s="2">
        <v>492264</v>
      </c>
      <c r="K47" s="83">
        <f t="shared" si="8"/>
        <v>0</v>
      </c>
      <c r="L47" s="2">
        <f>+H47</f>
        <v>492264</v>
      </c>
      <c r="M47" s="1081" t="s">
        <v>174</v>
      </c>
      <c r="O47" s="83">
        <f t="shared" si="9"/>
        <v>0</v>
      </c>
      <c r="P47" s="2">
        <f>+L47</f>
        <v>492264</v>
      </c>
      <c r="Q47" s="1081" t="s">
        <v>174</v>
      </c>
      <c r="S47" s="129"/>
      <c r="U47" s="36"/>
      <c r="W47" s="129"/>
      <c r="Y47" s="36"/>
      <c r="AA47" s="129"/>
      <c r="AC47" s="36"/>
    </row>
    <row r="48" spans="1:29" x14ac:dyDescent="0.25">
      <c r="A48" s="1020"/>
      <c r="B48" s="1022" t="s">
        <v>790</v>
      </c>
      <c r="C48" s="1024" t="s">
        <v>803</v>
      </c>
      <c r="D48" s="1023">
        <v>97025.39</v>
      </c>
      <c r="G48" s="83">
        <f t="shared" si="7"/>
        <v>-0.60113533168998345</v>
      </c>
      <c r="H48" s="2">
        <v>38700</v>
      </c>
      <c r="K48" s="83">
        <f t="shared" si="8"/>
        <v>0</v>
      </c>
      <c r="L48" s="2">
        <f>+H48</f>
        <v>38700</v>
      </c>
      <c r="M48" s="1081" t="s">
        <v>174</v>
      </c>
      <c r="O48" s="83">
        <f t="shared" si="9"/>
        <v>0</v>
      </c>
      <c r="P48" s="2">
        <f>+L48</f>
        <v>38700</v>
      </c>
      <c r="Q48" s="1081" t="s">
        <v>174</v>
      </c>
      <c r="S48" s="129"/>
      <c r="U48" s="36"/>
      <c r="W48" s="129"/>
      <c r="Y48" s="36"/>
      <c r="AA48" s="129"/>
      <c r="AC48" s="36"/>
    </row>
    <row r="49" spans="1:29" x14ac:dyDescent="0.25">
      <c r="A49" s="1020"/>
      <c r="B49" s="1022" t="s">
        <v>475</v>
      </c>
      <c r="C49" s="1024" t="s">
        <v>478</v>
      </c>
      <c r="D49" s="1023">
        <v>87699.04</v>
      </c>
      <c r="G49" s="83">
        <f t="shared" si="7"/>
        <v>2.3431955469524028E-2</v>
      </c>
      <c r="H49" s="2">
        <v>89754</v>
      </c>
      <c r="K49" s="83">
        <f t="shared" si="8"/>
        <v>1.4996546114936381E-2</v>
      </c>
      <c r="L49" s="2">
        <f t="shared" ref="L49:L52" si="13">ROUND(H49*(1+$M$37),0)</f>
        <v>91100</v>
      </c>
      <c r="M49" s="1081" t="str">
        <f t="shared" ref="M49:M52" si="14">TEXT($M$37,"0.0%")&amp;" = Est. S &amp; C"</f>
        <v>1.5% = Est. S &amp; C</v>
      </c>
      <c r="O49" s="83">
        <f t="shared" si="9"/>
        <v>1.5005488474204172E-2</v>
      </c>
      <c r="P49" s="2">
        <f t="shared" ref="P49:P50" si="15">ROUND(L49*(1+$Q$37),0)</f>
        <v>92467</v>
      </c>
      <c r="Q49" s="1081" t="str">
        <f t="shared" ref="Q49:Q50" si="16">TEXT($Q$37,"0.0%")&amp;" = Est. S &amp; C"</f>
        <v>1.5% = Est. S &amp; C</v>
      </c>
      <c r="S49" s="129"/>
      <c r="U49" s="36"/>
      <c r="W49" s="129"/>
      <c r="Y49" s="36"/>
      <c r="AA49" s="129"/>
      <c r="AC49" s="36"/>
    </row>
    <row r="50" spans="1:29" x14ac:dyDescent="0.25">
      <c r="A50" s="1020"/>
      <c r="B50" s="1022" t="s">
        <v>476</v>
      </c>
      <c r="C50" s="1024" t="s">
        <v>804</v>
      </c>
      <c r="D50" s="1023">
        <v>321979.77</v>
      </c>
      <c r="G50" s="83">
        <f t="shared" si="7"/>
        <v>9.5416646828463722E-2</v>
      </c>
      <c r="H50" s="2">
        <v>352702</v>
      </c>
      <c r="K50" s="83">
        <f t="shared" si="8"/>
        <v>1.5001332569704737E-2</v>
      </c>
      <c r="L50" s="2">
        <f t="shared" si="13"/>
        <v>357993</v>
      </c>
      <c r="M50" s="1081" t="str">
        <f t="shared" si="14"/>
        <v>1.5% = Est. S &amp; C</v>
      </c>
      <c r="O50" s="83">
        <f t="shared" si="9"/>
        <v>1.5000293301824338E-2</v>
      </c>
      <c r="P50" s="2">
        <f t="shared" si="15"/>
        <v>363363</v>
      </c>
      <c r="Q50" s="1081" t="str">
        <f t="shared" si="16"/>
        <v>1.5% = Est. S &amp; C</v>
      </c>
      <c r="S50" s="129"/>
      <c r="U50" s="36"/>
      <c r="W50" s="129"/>
      <c r="Y50" s="36"/>
      <c r="AA50" s="129"/>
      <c r="AC50" s="36"/>
    </row>
    <row r="51" spans="1:29" x14ac:dyDescent="0.25">
      <c r="A51" s="1020"/>
      <c r="B51" s="1022" t="s">
        <v>41</v>
      </c>
      <c r="C51" s="1024" t="s">
        <v>40</v>
      </c>
      <c r="D51" s="1023">
        <v>210174.71</v>
      </c>
      <c r="G51" s="83">
        <f t="shared" si="7"/>
        <v>7.841233609885799E-2</v>
      </c>
      <c r="H51" s="2">
        <v>226655</v>
      </c>
      <c r="K51" s="83">
        <f t="shared" si="8"/>
        <v>1.5000772098563897E-2</v>
      </c>
      <c r="L51" s="2">
        <f t="shared" si="13"/>
        <v>230055</v>
      </c>
      <c r="M51" s="1081" t="str">
        <f t="shared" si="14"/>
        <v>1.5% = Est. S &amp; C</v>
      </c>
      <c r="O51" s="83">
        <f t="shared" si="9"/>
        <v>1.5000760687661647E-2</v>
      </c>
      <c r="P51" s="2">
        <f>ROUND(L51*(1+$Q$37),0)</f>
        <v>233506</v>
      </c>
      <c r="Q51" s="1081" t="str">
        <f>TEXT($Q$37,"0.0%")&amp;" = Est. S &amp; C"</f>
        <v>1.5% = Est. S &amp; C</v>
      </c>
      <c r="S51" s="129">
        <f t="shared" si="10"/>
        <v>1.999948609457573E-2</v>
      </c>
      <c r="T51" s="2">
        <f>ROUND(P51*(1+U37),0)</f>
        <v>238176</v>
      </c>
      <c r="U51" s="36" t="str">
        <f>TEXT(U37,"0.0%")&amp;" = Est. S &amp; C"</f>
        <v>2.0% = Est. S &amp; C</v>
      </c>
      <c r="W51" s="129">
        <f t="shared" si="11"/>
        <v>2.0002015316404675E-2</v>
      </c>
      <c r="X51" s="2">
        <f>ROUND(T51*(1+Y37),0)</f>
        <v>242940</v>
      </c>
      <c r="Y51" s="36" t="str">
        <f>TEXT(Y37,"0.0%")&amp;" = Est. S &amp; C"</f>
        <v>2.0% = Est. S &amp; C</v>
      </c>
      <c r="AA51" s="129">
        <f t="shared" si="12"/>
        <v>2.0000823248538732E-2</v>
      </c>
      <c r="AB51" s="2">
        <f>ROUND(X51*(1+AC37),0)</f>
        <v>247799</v>
      </c>
      <c r="AC51" s="36" t="str">
        <f>TEXT(AC37,"0.0%")&amp;" = Est. S &amp; C"</f>
        <v>2.0% = Est. S &amp; C</v>
      </c>
    </row>
    <row r="52" spans="1:29" x14ac:dyDescent="0.25">
      <c r="A52" s="1020"/>
      <c r="B52" s="1022" t="s">
        <v>477</v>
      </c>
      <c r="C52" s="1024" t="s">
        <v>226</v>
      </c>
      <c r="D52" s="1023">
        <v>126079.38</v>
      </c>
      <c r="G52" s="83">
        <f t="shared" si="7"/>
        <v>4.6356668314834634E-2</v>
      </c>
      <c r="H52" s="2">
        <v>131924</v>
      </c>
      <c r="K52" s="83">
        <f t="shared" si="8"/>
        <v>1.5001061217064371E-2</v>
      </c>
      <c r="L52" s="2">
        <f t="shared" si="13"/>
        <v>133903</v>
      </c>
      <c r="M52" s="1081" t="str">
        <f t="shared" si="14"/>
        <v>1.5% = Est. S &amp; C</v>
      </c>
      <c r="O52" s="83">
        <f t="shared" si="9"/>
        <v>1.5003397982121386E-2</v>
      </c>
      <c r="P52" s="2">
        <f>ROUND(L52*(1+$Q$37),0)</f>
        <v>135912</v>
      </c>
      <c r="Q52" s="1081" t="str">
        <f t="shared" ref="Q52" si="17">TEXT($Q$37,"0.0%")&amp;" = Est. S &amp; C"</f>
        <v>1.5% = Est. S &amp; C</v>
      </c>
      <c r="S52" s="129"/>
      <c r="U52" s="36"/>
      <c r="W52" s="129"/>
      <c r="Y52" s="36"/>
      <c r="AA52" s="129"/>
      <c r="AC52" s="36"/>
    </row>
    <row r="53" spans="1:29" x14ac:dyDescent="0.25">
      <c r="A53" s="1020"/>
      <c r="B53" s="1022" t="s">
        <v>791</v>
      </c>
      <c r="C53" s="1024" t="s">
        <v>805</v>
      </c>
      <c r="D53" s="1023">
        <v>70.02</v>
      </c>
      <c r="G53" s="83">
        <f t="shared" si="7"/>
        <v>-1</v>
      </c>
      <c r="H53" s="2">
        <v>0</v>
      </c>
      <c r="K53" s="83" t="str">
        <f t="shared" si="8"/>
        <v>0.00%</v>
      </c>
      <c r="L53" s="2">
        <f t="shared" ref="L53:L62" si="18">ROUND(H53*(1+$M$37),0)</f>
        <v>0</v>
      </c>
      <c r="M53" s="1081"/>
      <c r="O53" s="83" t="str">
        <f t="shared" si="9"/>
        <v>0.00%</v>
      </c>
      <c r="P53" s="2">
        <f t="shared" ref="P53" si="19">ROUND(L53*(1+$Q$37),0)</f>
        <v>0</v>
      </c>
      <c r="Q53" s="1081"/>
      <c r="S53" s="129" t="str">
        <f>IF(P53=0,"0.00%",(T53-P53)/P53)</f>
        <v>0.00%</v>
      </c>
      <c r="T53" s="2">
        <f>ROUND(P53*(1+U38),0)</f>
        <v>0</v>
      </c>
      <c r="U53" s="36" t="str">
        <f>TEXT(U38,"0.0%")&amp;" = Est. S &amp; C"</f>
        <v>0.0% = Est. S &amp; C</v>
      </c>
      <c r="W53" s="129" t="str">
        <f>IF(T53=0,"0.00%",(X53-T53)/T53)</f>
        <v>0.00%</v>
      </c>
      <c r="X53" s="2">
        <f>ROUND(T53*(1+Y38),0)</f>
        <v>0</v>
      </c>
      <c r="Y53" s="36" t="str">
        <f>TEXT(Y38,"0.0%")&amp;" = Est. S &amp; C"</f>
        <v>0.0% = Est. S &amp; C</v>
      </c>
      <c r="AA53" s="129" t="str">
        <f>IF(X53=0,"0.00%",(AB53-X53)/X53)</f>
        <v>0.00%</v>
      </c>
      <c r="AB53" s="2">
        <f>ROUND(X53*(1+AC38),0)</f>
        <v>0</v>
      </c>
      <c r="AC53" s="36" t="str">
        <f>TEXT(AC38,"0.0%")&amp;" = Est. S &amp; C"</f>
        <v>0.0% = Est. S &amp; C</v>
      </c>
    </row>
    <row r="54" spans="1:29" x14ac:dyDescent="0.25">
      <c r="A54" s="1020"/>
      <c r="B54" s="1022" t="s">
        <v>792</v>
      </c>
      <c r="C54" s="1024" t="s">
        <v>806</v>
      </c>
      <c r="D54" s="1023">
        <v>9105</v>
      </c>
      <c r="G54" s="83">
        <f t="shared" si="7"/>
        <v>-1</v>
      </c>
      <c r="H54" s="2">
        <v>0</v>
      </c>
      <c r="K54" s="83" t="str">
        <f t="shared" si="8"/>
        <v>0.00%</v>
      </c>
      <c r="L54" s="2">
        <f>+H54</f>
        <v>0</v>
      </c>
      <c r="M54" s="1081"/>
      <c r="O54" s="83" t="str">
        <f t="shared" si="9"/>
        <v>0.00%</v>
      </c>
      <c r="P54" s="2">
        <f>+L54</f>
        <v>0</v>
      </c>
      <c r="Q54" s="1081"/>
      <c r="U54" s="123"/>
      <c r="Y54" s="123"/>
      <c r="AC54" s="123"/>
    </row>
    <row r="55" spans="1:29" x14ac:dyDescent="0.25">
      <c r="A55" s="1020"/>
      <c r="B55" s="1022" t="s">
        <v>793</v>
      </c>
      <c r="C55" s="1024" t="s">
        <v>807</v>
      </c>
      <c r="D55" s="1023">
        <v>182298.58</v>
      </c>
      <c r="E55" s="871"/>
      <c r="G55" s="83">
        <f t="shared" si="7"/>
        <v>1.9772068438492572E-2</v>
      </c>
      <c r="H55" s="2">
        <v>185903</v>
      </c>
      <c r="K55" s="83">
        <f t="shared" si="8"/>
        <v>0</v>
      </c>
      <c r="L55" s="2">
        <f>+H55</f>
        <v>185903</v>
      </c>
      <c r="M55" s="1081" t="s">
        <v>174</v>
      </c>
      <c r="O55" s="83">
        <f t="shared" si="9"/>
        <v>0</v>
      </c>
      <c r="P55" s="2">
        <f>+L55</f>
        <v>185903</v>
      </c>
      <c r="Q55" s="1081" t="s">
        <v>174</v>
      </c>
      <c r="U55" s="123"/>
      <c r="Y55" s="123"/>
      <c r="AC55" s="123"/>
    </row>
    <row r="56" spans="1:29" x14ac:dyDescent="0.25">
      <c r="A56" s="1020"/>
      <c r="B56" s="1022" t="s">
        <v>794</v>
      </c>
      <c r="C56" s="1024" t="s">
        <v>808</v>
      </c>
      <c r="D56" s="2">
        <v>299535.34999999998</v>
      </c>
      <c r="E56" s="1078"/>
      <c r="G56" s="83">
        <f t="shared" si="7"/>
        <v>-9.7061999526933205E-3</v>
      </c>
      <c r="H56" s="2">
        <v>296628</v>
      </c>
      <c r="K56" s="83">
        <f t="shared" si="8"/>
        <v>0</v>
      </c>
      <c r="L56" s="2">
        <f>+H56</f>
        <v>296628</v>
      </c>
      <c r="M56" s="1081" t="s">
        <v>174</v>
      </c>
      <c r="O56" s="83">
        <f t="shared" si="9"/>
        <v>0</v>
      </c>
      <c r="P56" s="2">
        <f>+L56</f>
        <v>296628</v>
      </c>
      <c r="Q56" s="1081" t="s">
        <v>174</v>
      </c>
      <c r="U56" s="123"/>
      <c r="Y56" s="123"/>
      <c r="AC56" s="123"/>
    </row>
    <row r="57" spans="1:29" x14ac:dyDescent="0.25">
      <c r="A57" s="1020"/>
      <c r="B57" s="1022" t="s">
        <v>795</v>
      </c>
      <c r="C57" s="1024" t="s">
        <v>809</v>
      </c>
      <c r="D57" s="2">
        <v>1458777.05</v>
      </c>
      <c r="G57" s="83">
        <f t="shared" si="7"/>
        <v>5.2036395828957919E-3</v>
      </c>
      <c r="H57" s="2">
        <v>1466368</v>
      </c>
      <c r="K57" s="83">
        <f t="shared" si="8"/>
        <v>1.5000327339385475E-2</v>
      </c>
      <c r="L57" s="2">
        <f t="shared" si="18"/>
        <v>1488364</v>
      </c>
      <c r="M57" s="1081" t="str">
        <f t="shared" ref="M57:M59" si="20">TEXT($M$37,"0.0%")&amp;" = Est. S &amp; C"</f>
        <v>1.5% = Est. S &amp; C</v>
      </c>
      <c r="O57" s="83">
        <f t="shared" si="9"/>
        <v>1.4999690935819463E-2</v>
      </c>
      <c r="P57" s="2">
        <f t="shared" ref="P57:P62" si="21">ROUND(L57*(1+$Q$37),0)</f>
        <v>1510689</v>
      </c>
      <c r="Q57" s="1081" t="str">
        <f t="shared" ref="Q57:Q59" si="22">TEXT($Q$37,"0.0%")&amp;" = Est. S &amp; C"</f>
        <v>1.5% = Est. S &amp; C</v>
      </c>
      <c r="U57" s="123"/>
      <c r="Y57" s="123"/>
      <c r="AC57" s="123"/>
    </row>
    <row r="58" spans="1:29" x14ac:dyDescent="0.25">
      <c r="A58" s="1020"/>
      <c r="B58" s="1022" t="s">
        <v>796</v>
      </c>
      <c r="C58" s="1024" t="s">
        <v>810</v>
      </c>
      <c r="D58" s="1023">
        <v>390342.97</v>
      </c>
      <c r="G58" s="83">
        <f t="shared" si="7"/>
        <v>4.7574316504278994E-3</v>
      </c>
      <c r="H58" s="2">
        <v>392200</v>
      </c>
      <c r="K58" s="83">
        <f t="shared" si="8"/>
        <v>1.4999999999999999E-2</v>
      </c>
      <c r="L58" s="2">
        <f t="shared" si="18"/>
        <v>398083</v>
      </c>
      <c r="M58" s="1081" t="str">
        <f t="shared" si="20"/>
        <v>1.5% = Est. S &amp; C</v>
      </c>
      <c r="O58" s="83">
        <f t="shared" si="9"/>
        <v>1.4999384550458071E-2</v>
      </c>
      <c r="P58" s="2">
        <f t="shared" si="21"/>
        <v>404054</v>
      </c>
      <c r="Q58" s="1081" t="str">
        <f t="shared" si="22"/>
        <v>1.5% = Est. S &amp; C</v>
      </c>
      <c r="U58" s="123"/>
      <c r="Y58" s="123"/>
      <c r="AC58" s="123"/>
    </row>
    <row r="59" spans="1:29" x14ac:dyDescent="0.25">
      <c r="A59" s="1020"/>
      <c r="B59" s="1022" t="s">
        <v>39</v>
      </c>
      <c r="C59" s="1024" t="s">
        <v>414</v>
      </c>
      <c r="D59" s="1023">
        <v>127715.7</v>
      </c>
      <c r="G59" s="83">
        <f t="shared" si="7"/>
        <v>1.2083870659597864E-2</v>
      </c>
      <c r="H59" s="2">
        <v>129259</v>
      </c>
      <c r="K59" s="83">
        <f t="shared" si="8"/>
        <v>1.5000889686598226E-2</v>
      </c>
      <c r="L59" s="2">
        <f t="shared" si="18"/>
        <v>131198</v>
      </c>
      <c r="M59" s="1081" t="str">
        <f t="shared" si="20"/>
        <v>1.5% = Est. S &amp; C</v>
      </c>
      <c r="O59" s="83">
        <f t="shared" si="9"/>
        <v>1.5000228662022287E-2</v>
      </c>
      <c r="P59" s="2">
        <f t="shared" si="21"/>
        <v>133166</v>
      </c>
      <c r="Q59" s="1081" t="str">
        <f t="shared" si="22"/>
        <v>1.5% = Est. S &amp; C</v>
      </c>
      <c r="U59" s="123"/>
      <c r="Y59" s="123"/>
      <c r="AC59" s="123"/>
    </row>
    <row r="60" spans="1:29" x14ac:dyDescent="0.25">
      <c r="A60" s="1020"/>
      <c r="B60" s="1022" t="s">
        <v>797</v>
      </c>
      <c r="C60" s="1024" t="s">
        <v>811</v>
      </c>
      <c r="D60" s="1023">
        <v>21760.2</v>
      </c>
      <c r="G60" s="83">
        <f t="shared" si="7"/>
        <v>0.46046451778935849</v>
      </c>
      <c r="H60" s="2">
        <v>31780</v>
      </c>
      <c r="K60" s="83">
        <f t="shared" si="8"/>
        <v>0</v>
      </c>
      <c r="L60" s="2">
        <f>+H60</f>
        <v>31780</v>
      </c>
      <c r="M60" s="1081" t="s">
        <v>174</v>
      </c>
      <c r="O60" s="83">
        <f t="shared" si="9"/>
        <v>0</v>
      </c>
      <c r="P60" s="2">
        <f>+L60</f>
        <v>31780</v>
      </c>
      <c r="Q60" s="1081" t="s">
        <v>174</v>
      </c>
      <c r="U60" s="123"/>
      <c r="Y60" s="123"/>
      <c r="AC60" s="123"/>
    </row>
    <row r="61" spans="1:29" x14ac:dyDescent="0.25">
      <c r="A61" s="1020"/>
      <c r="B61" s="941">
        <v>1312</v>
      </c>
      <c r="C61" s="857" t="s">
        <v>906</v>
      </c>
      <c r="D61" s="1023">
        <v>0</v>
      </c>
      <c r="G61" s="83" t="str">
        <f t="shared" si="7"/>
        <v>0.00%</v>
      </c>
      <c r="H61" s="2">
        <v>0</v>
      </c>
      <c r="K61" s="83" t="str">
        <f t="shared" si="8"/>
        <v>0.00%</v>
      </c>
      <c r="L61" s="1293">
        <f>+'RS 6264'!H22*(1+M37)</f>
        <v>45617.144999999997</v>
      </c>
      <c r="M61" s="1900" t="s">
        <v>907</v>
      </c>
      <c r="O61" s="83">
        <f t="shared" si="9"/>
        <v>1.4991183687624537E-2</v>
      </c>
      <c r="P61" s="2">
        <f>ROUND(L61*(1+$Q$37),0)</f>
        <v>46301</v>
      </c>
      <c r="Q61" s="1081" t="str">
        <f>TEXT($Q$37,"0.0%")&amp;" = Est. S &amp; C"</f>
        <v>1.5% = Est. S &amp; C</v>
      </c>
      <c r="U61" s="123"/>
      <c r="Y61" s="123"/>
      <c r="AC61" s="123"/>
    </row>
    <row r="62" spans="1:29" x14ac:dyDescent="0.25">
      <c r="A62" s="1020"/>
      <c r="B62" s="1022" t="s">
        <v>798</v>
      </c>
      <c r="C62" s="1024" t="s">
        <v>812</v>
      </c>
      <c r="D62" s="1023">
        <v>32145.84</v>
      </c>
      <c r="G62" s="83">
        <f t="shared" si="7"/>
        <v>-1</v>
      </c>
      <c r="H62" s="2">
        <v>0</v>
      </c>
      <c r="K62" s="83" t="str">
        <f t="shared" si="8"/>
        <v>0.00%</v>
      </c>
      <c r="L62" s="2">
        <f t="shared" si="18"/>
        <v>0</v>
      </c>
      <c r="M62" s="1081"/>
      <c r="O62" s="83" t="str">
        <f t="shared" si="9"/>
        <v>0.00%</v>
      </c>
      <c r="P62" s="2">
        <f t="shared" si="21"/>
        <v>0</v>
      </c>
      <c r="Q62" s="1081"/>
      <c r="U62" s="123"/>
      <c r="Y62" s="123"/>
      <c r="AC62" s="123"/>
    </row>
    <row r="63" spans="1:29" x14ac:dyDescent="0.25">
      <c r="A63" s="1020"/>
      <c r="B63" s="1022" t="s">
        <v>204</v>
      </c>
      <c r="C63" s="1024" t="s">
        <v>813</v>
      </c>
      <c r="D63" s="1023">
        <v>9000</v>
      </c>
      <c r="G63" s="83">
        <f t="shared" si="7"/>
        <v>1.6666666666666667</v>
      </c>
      <c r="H63" s="2">
        <v>24000</v>
      </c>
      <c r="K63" s="83">
        <f t="shared" si="8"/>
        <v>0</v>
      </c>
      <c r="L63" s="2">
        <f>+H63</f>
        <v>24000</v>
      </c>
      <c r="M63" s="1081" t="s">
        <v>174</v>
      </c>
      <c r="O63" s="83">
        <f t="shared" si="9"/>
        <v>0</v>
      </c>
      <c r="P63" s="2">
        <f>+L63</f>
        <v>24000</v>
      </c>
      <c r="Q63" s="1081" t="s">
        <v>174</v>
      </c>
      <c r="U63" s="123"/>
      <c r="Y63" s="123"/>
      <c r="AC63" s="123"/>
    </row>
    <row r="64" spans="1:29" x14ac:dyDescent="0.25">
      <c r="A64" s="66"/>
      <c r="B64" s="1022">
        <v>1175</v>
      </c>
      <c r="C64" s="863" t="s">
        <v>985</v>
      </c>
      <c r="G64" s="83" t="str">
        <f t="shared" si="7"/>
        <v>0.00%</v>
      </c>
      <c r="H64" s="2">
        <v>1050</v>
      </c>
      <c r="K64" s="83">
        <f t="shared" si="8"/>
        <v>0</v>
      </c>
      <c r="L64" s="2">
        <f>+H64</f>
        <v>1050</v>
      </c>
      <c r="M64" s="1081"/>
      <c r="O64" s="83">
        <f t="shared" si="9"/>
        <v>0</v>
      </c>
      <c r="P64" s="2">
        <f>+L64</f>
        <v>1050</v>
      </c>
      <c r="Q64" s="1081"/>
      <c r="U64" s="123"/>
      <c r="Y64" s="123"/>
      <c r="AC64" s="123"/>
    </row>
    <row r="65" spans="1:29" x14ac:dyDescent="0.25">
      <c r="A65" s="29"/>
      <c r="B65" s="990"/>
      <c r="D65" s="8">
        <f>SUM(D39:D64)</f>
        <v>28731192.560000002</v>
      </c>
      <c r="G65" s="83">
        <f t="shared" si="7"/>
        <v>1.0109379184084791E-2</v>
      </c>
      <c r="H65" s="8">
        <f>SUM(H39:H64)</f>
        <v>29021647.079999998</v>
      </c>
      <c r="I65" s="1292">
        <f>+H65-D65</f>
        <v>290454.51999999583</v>
      </c>
      <c r="J65" s="29"/>
      <c r="K65" s="83">
        <f>IF(H65=0,"0.00%",(L65-H65)/H65)</f>
        <v>-1.4161999097168439E-3</v>
      </c>
      <c r="L65" s="8">
        <f>SUM(L39:L64)</f>
        <v>28980546.626025468</v>
      </c>
      <c r="M65" s="1292">
        <f>+L65-H65</f>
        <v>-41100.453974530101</v>
      </c>
      <c r="O65" s="83">
        <f t="shared" ref="O65" si="23">IF(L65=0,"0.00%",(P65-L65)/L65)</f>
        <v>-1.5584097265709853E-4</v>
      </c>
      <c r="P65" s="8">
        <f>SUM(P39:P64)</f>
        <v>28976030.269451134</v>
      </c>
      <c r="Q65" s="1292">
        <f>+P65-L65</f>
        <v>-4516.3565743342042</v>
      </c>
      <c r="S65" s="129">
        <f>IF(P65=0,"0.00%",(T65-P65)/P65)</f>
        <v>-7.9251755609607608E-2</v>
      </c>
      <c r="T65" s="8">
        <f>SUM(T39:T54)</f>
        <v>26679629</v>
      </c>
      <c r="U65" s="123"/>
      <c r="W65" s="129">
        <f>IF(T65=0,"0.00%",(X65-T65)/T65)</f>
        <v>2.0000053224128417E-2</v>
      </c>
      <c r="X65" s="8">
        <f>SUM(X39:X54)</f>
        <v>27213223</v>
      </c>
      <c r="Y65" s="123"/>
      <c r="AA65" s="129">
        <f>IF(X65=0,"0.00%",(AB65-X65)/X65)</f>
        <v>2.0000019843294563E-2</v>
      </c>
      <c r="AB65" s="8">
        <f>SUM(AB39:AB54)</f>
        <v>27757488</v>
      </c>
      <c r="AC65" s="123"/>
    </row>
    <row r="66" spans="1:29" x14ac:dyDescent="0.25">
      <c r="A66" s="66"/>
      <c r="H66" s="2"/>
      <c r="L66" s="2"/>
      <c r="M66" s="1000"/>
      <c r="Q66" s="1000"/>
      <c r="U66" s="123"/>
      <c r="Y66" s="123"/>
      <c r="AC66" s="123"/>
    </row>
    <row r="67" spans="1:29" s="6" customFormat="1" x14ac:dyDescent="0.25">
      <c r="A67" s="57"/>
      <c r="B67" s="961" t="s">
        <v>35</v>
      </c>
      <c r="C67" s="871" t="s">
        <v>1014</v>
      </c>
      <c r="D67" s="388"/>
      <c r="E67" s="864"/>
      <c r="G67" s="373"/>
      <c r="I67" s="864"/>
      <c r="J67" s="57"/>
      <c r="K67" s="380"/>
      <c r="M67" s="1001"/>
      <c r="O67" s="380"/>
      <c r="Q67" s="1001"/>
      <c r="R67" s="329"/>
      <c r="U67" s="128"/>
      <c r="Y67" s="128"/>
      <c r="AC67" s="128"/>
    </row>
    <row r="68" spans="1:29" x14ac:dyDescent="0.25">
      <c r="A68" s="66"/>
      <c r="B68" s="990">
        <v>2103</v>
      </c>
      <c r="C68" s="863" t="s">
        <v>814</v>
      </c>
      <c r="D68" s="390">
        <v>13961.07</v>
      </c>
      <c r="G68" s="83">
        <f t="shared" ref="G68:G70" si="24">IF(D68=0,"0.00%",(H68-D68)/D68)</f>
        <v>-1</v>
      </c>
      <c r="H68" s="2">
        <v>0</v>
      </c>
      <c r="K68" s="83" t="str">
        <f t="shared" ref="K68:K70" si="25">IF(H68=0,"0.00%",(L68-H68)/H68)</f>
        <v>0.00%</v>
      </c>
      <c r="L68" s="2">
        <f>ROUND(H68*(1+$M$37),0)</f>
        <v>0</v>
      </c>
      <c r="M68" s="1081"/>
      <c r="O68" s="83" t="str">
        <f t="shared" ref="O68:O78" si="26">IF(L68=0,"0.00%",(P68-L68)/L68)</f>
        <v>0.00%</v>
      </c>
      <c r="P68" s="2">
        <f>ROUND(L68*(1+Q37),0)</f>
        <v>0</v>
      </c>
      <c r="Q68" s="1081" t="str">
        <f t="shared" ref="Q68:Q69" si="27">TEXT($Q$37,"0.0%")&amp;" = Est. S &amp; C"</f>
        <v>1.5% = Est. S &amp; C</v>
      </c>
      <c r="S68" s="129" t="str">
        <f t="shared" ref="S68:S70" si="28">IF(P68=0,"0.00%",(T68-P68)/P68)</f>
        <v>0.00%</v>
      </c>
      <c r="T68" s="2">
        <f>ROUND(P68*(1+U37),0)</f>
        <v>0</v>
      </c>
      <c r="U68" s="36" t="str">
        <f>TEXT(U37,"0.0%")&amp;" = Est. S &amp; C"</f>
        <v>2.0% = Est. S &amp; C</v>
      </c>
      <c r="W68" s="129" t="str">
        <f t="shared" ref="W68:W70" si="29">IF(T68=0,"0.00%",(X68-T68)/T68)</f>
        <v>0.00%</v>
      </c>
      <c r="X68" s="2">
        <f>ROUND(T68*(1+Y37),0)</f>
        <v>0</v>
      </c>
      <c r="Y68" s="36" t="str">
        <f>TEXT(Y37,"0.0%")&amp;" = Est. S &amp; C"</f>
        <v>2.0% = Est. S &amp; C</v>
      </c>
      <c r="AA68" s="129" t="str">
        <f t="shared" ref="AA68:AA70" si="30">IF(X68=0,"0.00%",(AB68-X68)/X68)</f>
        <v>0.00%</v>
      </c>
      <c r="AB68" s="2">
        <f>ROUND(X68*(1+AC37),0)</f>
        <v>0</v>
      </c>
      <c r="AC68" s="36" t="str">
        <f>TEXT(AC37,"0.0%")&amp;" = Est. S &amp; C"</f>
        <v>2.0% = Est. S &amp; C</v>
      </c>
    </row>
    <row r="69" spans="1:29" x14ac:dyDescent="0.25">
      <c r="A69" s="66"/>
      <c r="B69" s="990" t="s">
        <v>247</v>
      </c>
      <c r="C69" s="863" t="s">
        <v>941</v>
      </c>
      <c r="D69" s="390">
        <f>512298.41+11410.88</f>
        <v>523709.29</v>
      </c>
      <c r="G69" s="83">
        <f t="shared" si="24"/>
        <v>8.2967231686877321E-2</v>
      </c>
      <c r="H69" s="108">
        <v>567160</v>
      </c>
      <c r="K69" s="83">
        <f t="shared" si="25"/>
        <v>1.4999294731645392E-2</v>
      </c>
      <c r="L69" s="2">
        <f t="shared" ref="L69:L78" si="31">ROUND(H69*(1+$M$37),0)</f>
        <v>575667</v>
      </c>
      <c r="M69" s="1081" t="str">
        <f>TEXT($M$37,"0.0%")&amp;" = Est. S &amp; C"</f>
        <v>1.5% = Est. S &amp; C</v>
      </c>
      <c r="O69" s="83">
        <f t="shared" si="26"/>
        <v>1.4999991314423096E-2</v>
      </c>
      <c r="P69" s="2">
        <f>ROUND(L69*(1+Q37),0)</f>
        <v>584302</v>
      </c>
      <c r="Q69" s="1081" t="str">
        <f t="shared" si="27"/>
        <v>1.5% = Est. S &amp; C</v>
      </c>
      <c r="S69" s="129">
        <f t="shared" si="28"/>
        <v>1.9999931542250413E-2</v>
      </c>
      <c r="T69" s="2">
        <f>ROUND(P69*(1+U37),0)</f>
        <v>595988</v>
      </c>
      <c r="U69" s="36" t="str">
        <f>TEXT(U37,"0.0%")&amp;" = Est. S &amp; C"</f>
        <v>2.0% = Est. S &amp; C</v>
      </c>
      <c r="W69" s="129">
        <f t="shared" si="29"/>
        <v>2.0000402692671664E-2</v>
      </c>
      <c r="X69" s="2">
        <f>ROUND(T69*(1+Y37),0)</f>
        <v>607908</v>
      </c>
      <c r="Y69" s="36" t="str">
        <f>TEXT(Y37,"0.0%")&amp;" = Est. S &amp; C"</f>
        <v>2.0% = Est. S &amp; C</v>
      </c>
      <c r="AA69" s="129">
        <f t="shared" si="30"/>
        <v>1.9999736802279292E-2</v>
      </c>
      <c r="AB69" s="2">
        <f>ROUND(X69*(1+AC37),0)</f>
        <v>620066</v>
      </c>
      <c r="AC69" s="36" t="str">
        <f>TEXT(AC37,"0.0%")&amp;" = Est. S &amp; C"</f>
        <v>2.0% = Est. S &amp; C</v>
      </c>
    </row>
    <row r="70" spans="1:29" x14ac:dyDescent="0.25">
      <c r="A70" s="66"/>
      <c r="B70" s="990" t="s">
        <v>247</v>
      </c>
      <c r="C70" s="863" t="s">
        <v>942</v>
      </c>
      <c r="D70" s="390">
        <f>60843.49+57532.84+950.12+6248.51</f>
        <v>125574.95999999998</v>
      </c>
      <c r="G70" s="83">
        <f t="shared" si="24"/>
        <v>0.19592313626856842</v>
      </c>
      <c r="H70" s="108">
        <v>150178</v>
      </c>
      <c r="K70" s="83">
        <f t="shared" si="25"/>
        <v>1.5002197392427653E-2</v>
      </c>
      <c r="L70" s="2">
        <f t="shared" si="31"/>
        <v>152431</v>
      </c>
      <c r="M70" s="1081" t="str">
        <f>TEXT($M$37,"0.0%")&amp;" = Est. S &amp; C"</f>
        <v>1.5% = Est. S &amp; C</v>
      </c>
      <c r="O70" s="83">
        <f t="shared" si="26"/>
        <v>1.499694943941849E-2</v>
      </c>
      <c r="P70" s="2">
        <f>ROUND(L70*(1+Q37),0)</f>
        <v>154717</v>
      </c>
      <c r="Q70" s="1081" t="str">
        <f>TEXT($Q$37,"0.0%")&amp;" = Est. S &amp; C"</f>
        <v>1.5% = Est. S &amp; C</v>
      </c>
      <c r="S70" s="129">
        <f t="shared" si="28"/>
        <v>1.9997802439292386E-2</v>
      </c>
      <c r="T70" s="2">
        <f>ROUND(P70*(1+U37),0)</f>
        <v>157811</v>
      </c>
      <c r="U70" s="36" t="str">
        <f>TEXT(U37,"0.0%")&amp;" = Est. S &amp; C"</f>
        <v>2.0% = Est. S &amp; C</v>
      </c>
      <c r="W70" s="129">
        <f t="shared" si="29"/>
        <v>1.9998605927343469E-2</v>
      </c>
      <c r="X70" s="2">
        <f>ROUND(T70*(1+Y37),0)</f>
        <v>160967</v>
      </c>
      <c r="Y70" s="36" t="str">
        <f>TEXT(Y37,"0.0%")&amp;" = Est. S &amp; C"</f>
        <v>2.0% = Est. S &amp; C</v>
      </c>
      <c r="AA70" s="129">
        <f t="shared" si="30"/>
        <v>1.9997887765815354E-2</v>
      </c>
      <c r="AB70" s="2">
        <f>ROUND(X70*(1+AC37),0)</f>
        <v>164186</v>
      </c>
      <c r="AC70" s="36" t="str">
        <f>TEXT(AC37,"0.0%")&amp;" = Est. S &amp; C"</f>
        <v>2.0% = Est. S &amp; C</v>
      </c>
    </row>
    <row r="71" spans="1:29" x14ac:dyDescent="0.25">
      <c r="A71" s="66"/>
      <c r="B71" s="990" t="s">
        <v>247</v>
      </c>
      <c r="C71" s="863" t="s">
        <v>943</v>
      </c>
      <c r="D71" s="390">
        <f>50949.12+250528.56</f>
        <v>301477.68</v>
      </c>
      <c r="G71" s="83">
        <f t="shared" ref="G71:G78" si="32">IF(D71=0,"0.00%",(H71-D71)/D71)</f>
        <v>0.16890908806250601</v>
      </c>
      <c r="H71" s="108">
        <f>53287+281175+17938</f>
        <v>352400</v>
      </c>
      <c r="K71" s="83">
        <f t="shared" ref="K71:K79" si="33">IF(H71=0,"0.00%",(L71-H71)/H71)</f>
        <v>1.4999999999999999E-2</v>
      </c>
      <c r="L71" s="2">
        <f t="shared" si="31"/>
        <v>357686</v>
      </c>
      <c r="M71" s="1081" t="str">
        <f t="shared" ref="M71:M78" si="34">TEXT($M$37,"0.0%")&amp;" = Est. S &amp; C"</f>
        <v>1.5% = Est. S &amp; C</v>
      </c>
      <c r="O71" s="83">
        <f t="shared" si="26"/>
        <v>1.4999189233014432E-2</v>
      </c>
      <c r="P71" s="2">
        <f t="shared" ref="P71:P78" si="35">ROUND(L71*(1+$Q$37),0)</f>
        <v>363051</v>
      </c>
      <c r="Q71" s="1081" t="str">
        <f t="shared" ref="Q71:Q78" si="36">TEXT($Q$37,"0.0%")&amp;" = Est. S &amp; C"</f>
        <v>1.5% = Est. S &amp; C</v>
      </c>
      <c r="S71" s="129"/>
      <c r="U71" s="36"/>
      <c r="W71" s="129"/>
      <c r="Y71" s="36"/>
      <c r="AA71" s="129"/>
      <c r="AC71" s="36"/>
    </row>
    <row r="72" spans="1:29" x14ac:dyDescent="0.25">
      <c r="A72" s="66"/>
      <c r="B72" s="990" t="s">
        <v>247</v>
      </c>
      <c r="C72" s="863" t="s">
        <v>815</v>
      </c>
      <c r="D72" s="390">
        <f>1512208.12+15393.2+62120.99-5393.48</f>
        <v>1584328.83</v>
      </c>
      <c r="E72" s="1078">
        <f>+D72+D71</f>
        <v>1885806.51</v>
      </c>
      <c r="G72" s="83">
        <f t="shared" si="32"/>
        <v>7.1925832467493456E-2</v>
      </c>
      <c r="H72" s="108">
        <f>1596373+101910</f>
        <v>1698283</v>
      </c>
      <c r="I72" s="1079">
        <f>+H72+H71</f>
        <v>2050683</v>
      </c>
      <c r="K72" s="83">
        <f t="shared" si="33"/>
        <v>1.4999855736646955E-2</v>
      </c>
      <c r="L72" s="2">
        <f t="shared" si="31"/>
        <v>1723757</v>
      </c>
      <c r="M72" s="1081" t="str">
        <f t="shared" si="34"/>
        <v>1.5% = Est. S &amp; C</v>
      </c>
      <c r="O72" s="83">
        <f t="shared" si="26"/>
        <v>1.4999794054498401E-2</v>
      </c>
      <c r="P72" s="2">
        <f t="shared" si="35"/>
        <v>1749613</v>
      </c>
      <c r="Q72" s="1081" t="str">
        <f t="shared" si="36"/>
        <v>1.5% = Est. S &amp; C</v>
      </c>
      <c r="S72" s="129"/>
      <c r="U72" s="36"/>
      <c r="W72" s="129"/>
      <c r="Y72" s="36"/>
      <c r="AA72" s="129"/>
      <c r="AC72" s="36"/>
    </row>
    <row r="73" spans="1:29" x14ac:dyDescent="0.25">
      <c r="A73" s="66"/>
      <c r="B73" s="990" t="s">
        <v>318</v>
      </c>
      <c r="C73" s="863" t="s">
        <v>816</v>
      </c>
      <c r="D73" s="390">
        <f>70754.15+268570.27+118803.21</f>
        <v>458127.63000000006</v>
      </c>
      <c r="G73" s="83">
        <f t="shared" si="32"/>
        <v>-7.5218405840311489E-2</v>
      </c>
      <c r="H73" s="108">
        <f>77332+227217+119119</f>
        <v>423668</v>
      </c>
      <c r="K73" s="83">
        <f t="shared" si="33"/>
        <v>1.4999952793224884E-2</v>
      </c>
      <c r="L73" s="2">
        <f t="shared" si="31"/>
        <v>430023</v>
      </c>
      <c r="M73" s="1081" t="str">
        <f t="shared" si="34"/>
        <v>1.5% = Est. S &amp; C</v>
      </c>
      <c r="O73" s="83">
        <f t="shared" si="26"/>
        <v>1.4999197717331398E-2</v>
      </c>
      <c r="P73" s="2">
        <f t="shared" si="35"/>
        <v>436473</v>
      </c>
      <c r="Q73" s="1081" t="str">
        <f t="shared" si="36"/>
        <v>1.5% = Est. S &amp; C</v>
      </c>
      <c r="S73" s="129"/>
      <c r="U73" s="36"/>
      <c r="W73" s="129"/>
      <c r="Y73" s="36"/>
      <c r="AA73" s="129"/>
      <c r="AC73" s="36"/>
    </row>
    <row r="74" spans="1:29" x14ac:dyDescent="0.25">
      <c r="A74" s="66"/>
      <c r="B74" s="990" t="s">
        <v>248</v>
      </c>
      <c r="C74" s="863" t="s">
        <v>817</v>
      </c>
      <c r="D74" s="390">
        <f>5181+1359057.42</f>
        <v>1364238.42</v>
      </c>
      <c r="G74" s="83">
        <f t="shared" si="32"/>
        <v>9.8255244856687213E-2</v>
      </c>
      <c r="H74" s="108">
        <f>1493101+5181</f>
        <v>1498282</v>
      </c>
      <c r="I74" s="1079"/>
      <c r="K74" s="83">
        <f t="shared" si="33"/>
        <v>1.4999846490847518E-2</v>
      </c>
      <c r="L74" s="2">
        <f t="shared" si="31"/>
        <v>1520756</v>
      </c>
      <c r="M74" s="1081" t="str">
        <f t="shared" si="34"/>
        <v>1.5% = Est. S &amp; C</v>
      </c>
      <c r="O74" s="83">
        <f t="shared" si="26"/>
        <v>1.499977642698763E-2</v>
      </c>
      <c r="P74" s="2">
        <f t="shared" si="35"/>
        <v>1543567</v>
      </c>
      <c r="Q74" s="1081" t="str">
        <f t="shared" si="36"/>
        <v>1.5% = Est. S &amp; C</v>
      </c>
      <c r="S74" s="129"/>
      <c r="U74" s="36"/>
      <c r="W74" s="129"/>
      <c r="Y74" s="36"/>
      <c r="AA74" s="129"/>
      <c r="AC74" s="36"/>
    </row>
    <row r="75" spans="1:29" x14ac:dyDescent="0.25">
      <c r="A75" s="66"/>
      <c r="B75" s="990" t="s">
        <v>248</v>
      </c>
      <c r="C75" s="863" t="s">
        <v>818</v>
      </c>
      <c r="D75" s="390">
        <f>62624.71+618699.45+115621.56-95.46</f>
        <v>796850.26</v>
      </c>
      <c r="G75" s="83">
        <f t="shared" si="32"/>
        <v>5.4624742169250208E-2</v>
      </c>
      <c r="H75" s="108">
        <f>650196+121519+68663</f>
        <v>840378</v>
      </c>
      <c r="K75" s="83">
        <f t="shared" si="33"/>
        <v>1.5000392680436661E-2</v>
      </c>
      <c r="L75" s="2">
        <f t="shared" si="31"/>
        <v>852984</v>
      </c>
      <c r="M75" s="1081" t="str">
        <f t="shared" si="34"/>
        <v>1.5% = Est. S &amp; C</v>
      </c>
      <c r="O75" s="83">
        <f t="shared" si="26"/>
        <v>1.5000281365183872E-2</v>
      </c>
      <c r="P75" s="2">
        <f t="shared" si="35"/>
        <v>865779</v>
      </c>
      <c r="Q75" s="1081" t="str">
        <f t="shared" si="36"/>
        <v>1.5% = Est. S &amp; C</v>
      </c>
      <c r="S75" s="129"/>
      <c r="U75" s="36"/>
      <c r="W75" s="129"/>
      <c r="Y75" s="36"/>
      <c r="AA75" s="129"/>
      <c r="AC75" s="36"/>
    </row>
    <row r="76" spans="1:29" x14ac:dyDescent="0.25">
      <c r="A76" s="66"/>
      <c r="B76" s="990" t="s">
        <v>251</v>
      </c>
      <c r="C76" s="863" t="s">
        <v>819</v>
      </c>
      <c r="D76" s="390">
        <f>288791.3+209039.8</f>
        <v>497831.1</v>
      </c>
      <c r="G76" s="83">
        <f t="shared" si="32"/>
        <v>4.8206911942624768E-2</v>
      </c>
      <c r="H76" s="108">
        <f>221830+300000</f>
        <v>521830</v>
      </c>
      <c r="K76" s="83">
        <f t="shared" si="33"/>
        <v>1.4999137650192592E-2</v>
      </c>
      <c r="L76" s="2">
        <f>ROUND(H76*(1+$M$37),0)</f>
        <v>529657</v>
      </c>
      <c r="M76" s="1081" t="str">
        <f t="shared" si="34"/>
        <v>1.5% = Est. S &amp; C</v>
      </c>
      <c r="O76" s="83">
        <f t="shared" si="26"/>
        <v>1.5000273762076211E-2</v>
      </c>
      <c r="P76" s="2">
        <f t="shared" si="35"/>
        <v>537602</v>
      </c>
      <c r="Q76" s="1081" t="str">
        <f t="shared" si="36"/>
        <v>1.5% = Est. S &amp; C</v>
      </c>
      <c r="S76" s="129"/>
      <c r="U76" s="36"/>
      <c r="W76" s="129"/>
      <c r="Y76" s="36"/>
      <c r="AA76" s="129"/>
      <c r="AC76" s="36"/>
    </row>
    <row r="77" spans="1:29" x14ac:dyDescent="0.25">
      <c r="A77" s="66"/>
      <c r="B77" s="990" t="s">
        <v>251</v>
      </c>
      <c r="C77" s="863" t="s">
        <v>940</v>
      </c>
      <c r="D77" s="390">
        <v>105311.77</v>
      </c>
      <c r="G77" s="83">
        <f t="shared" si="32"/>
        <v>-0.93382506057964842</v>
      </c>
      <c r="H77" s="108">
        <v>6969</v>
      </c>
      <c r="I77" s="871" t="s">
        <v>878</v>
      </c>
      <c r="K77" s="83">
        <f t="shared" si="33"/>
        <v>1.5066724063710719E-2</v>
      </c>
      <c r="L77" s="2">
        <f t="shared" si="31"/>
        <v>7074</v>
      </c>
      <c r="M77" s="1081" t="str">
        <f t="shared" si="34"/>
        <v>1.5% = Est. S &amp; C</v>
      </c>
      <c r="O77" s="83">
        <f t="shared" si="26"/>
        <v>1.4984450098953916E-2</v>
      </c>
      <c r="P77" s="2">
        <f t="shared" si="35"/>
        <v>7180</v>
      </c>
      <c r="Q77" s="1081" t="str">
        <f t="shared" si="36"/>
        <v>1.5% = Est. S &amp; C</v>
      </c>
      <c r="S77" s="129"/>
      <c r="U77" s="36"/>
      <c r="W77" s="129"/>
      <c r="Y77" s="36"/>
      <c r="AA77" s="129"/>
      <c r="AC77" s="36"/>
    </row>
    <row r="78" spans="1:29" x14ac:dyDescent="0.25">
      <c r="A78" s="66"/>
      <c r="B78" s="990" t="s">
        <v>251</v>
      </c>
      <c r="C78" s="863" t="s">
        <v>820</v>
      </c>
      <c r="D78" s="390">
        <f>1888.38+541.85+225.95</f>
        <v>2656.18</v>
      </c>
      <c r="G78" s="83">
        <f t="shared" si="32"/>
        <v>-1</v>
      </c>
      <c r="H78" s="108">
        <v>0</v>
      </c>
      <c r="K78" s="83" t="str">
        <f t="shared" si="33"/>
        <v>0.00%</v>
      </c>
      <c r="L78" s="2">
        <f t="shared" si="31"/>
        <v>0</v>
      </c>
      <c r="M78" s="1081" t="str">
        <f t="shared" si="34"/>
        <v>1.5% = Est. S &amp; C</v>
      </c>
      <c r="O78" s="83" t="str">
        <f t="shared" si="26"/>
        <v>0.00%</v>
      </c>
      <c r="P78" s="2">
        <f t="shared" si="35"/>
        <v>0</v>
      </c>
      <c r="Q78" s="1081" t="str">
        <f t="shared" si="36"/>
        <v>1.5% = Est. S &amp; C</v>
      </c>
      <c r="S78" s="129"/>
      <c r="U78" s="36"/>
      <c r="W78" s="129"/>
      <c r="Y78" s="36"/>
      <c r="AA78" s="129"/>
      <c r="AC78" s="36"/>
    </row>
    <row r="79" spans="1:29" x14ac:dyDescent="0.25">
      <c r="A79" s="66"/>
      <c r="B79" s="990" t="s">
        <v>871</v>
      </c>
      <c r="C79" s="863" t="s">
        <v>872</v>
      </c>
      <c r="D79" s="390"/>
      <c r="G79" s="83" t="str">
        <f t="shared" ref="G79" si="37">IF(D79=0,"0.00%",(H79-D79)/D79)</f>
        <v>0.00%</v>
      </c>
      <c r="H79" s="108">
        <v>5000</v>
      </c>
      <c r="K79" s="83">
        <f t="shared" si="33"/>
        <v>0</v>
      </c>
      <c r="L79" s="2">
        <f>+H79</f>
        <v>5000</v>
      </c>
      <c r="M79" s="1931" t="s">
        <v>174</v>
      </c>
      <c r="O79" s="83">
        <f t="shared" ref="O79" si="38">IF(L79=0,"0.00%",(P79-L79)/L79)</f>
        <v>0</v>
      </c>
      <c r="P79" s="2">
        <f>+L79</f>
        <v>5000</v>
      </c>
      <c r="Q79" s="1081" t="s">
        <v>174</v>
      </c>
      <c r="U79" s="123"/>
      <c r="Y79" s="123"/>
      <c r="AC79" s="123"/>
    </row>
    <row r="80" spans="1:29" x14ac:dyDescent="0.25">
      <c r="A80" s="29"/>
      <c r="B80" s="990"/>
      <c r="D80" s="568">
        <f>SUM(D68:D79)</f>
        <v>5774067.1899999985</v>
      </c>
      <c r="G80" s="83">
        <f>IF(D80=0,"0.00%",(H80-D80)/D80)</f>
        <v>5.0238558100326076E-2</v>
      </c>
      <c r="H80" s="8">
        <f>SUM(H68:H79)</f>
        <v>6064148</v>
      </c>
      <c r="I80" s="1292">
        <f>+H80-D80</f>
        <v>290080.81000000145</v>
      </c>
      <c r="J80" s="29"/>
      <c r="K80" s="83">
        <f>IF(H80=0,"0.00%",(L80-H80)/H80)</f>
        <v>1.4987595949175384E-2</v>
      </c>
      <c r="L80" s="8">
        <f>SUM(L68:L79)</f>
        <v>6155035</v>
      </c>
      <c r="M80" s="1292">
        <f>+L80-H80</f>
        <v>90887</v>
      </c>
      <c r="O80" s="83">
        <f>IF(L80=0,"0.00%",(P80-L80)/L80)</f>
        <v>1.498756708938292E-2</v>
      </c>
      <c r="P80" s="8">
        <f>SUM(P68:P79)</f>
        <v>6247284</v>
      </c>
      <c r="Q80" s="1292">
        <f>+P80-L80</f>
        <v>92249</v>
      </c>
      <c r="S80" s="129">
        <f>IF(P80=0,"0.00%",(T80-P80)/P80)</f>
        <v>-0.87933972587127462</v>
      </c>
      <c r="T80" s="8">
        <f>SUM(T68:T79)</f>
        <v>753799</v>
      </c>
      <c r="U80" s="123"/>
      <c r="W80" s="129">
        <f>IF(T80=0,"0.00%",(X80-T80)/T80)</f>
        <v>2.0000026532271866E-2</v>
      </c>
      <c r="X80" s="8">
        <f>SUM(X68:X79)</f>
        <v>768875</v>
      </c>
      <c r="Y80" s="123"/>
      <c r="AA80" s="129">
        <f>IF(X80=0,"0.00%",(AB80-X80)/X80)</f>
        <v>1.9999349699235898E-2</v>
      </c>
      <c r="AB80" s="8">
        <f>SUM(AB68:AB79)</f>
        <v>784252</v>
      </c>
      <c r="AC80" s="123"/>
    </row>
    <row r="81" spans="1:29" x14ac:dyDescent="0.25">
      <c r="A81" s="66"/>
      <c r="B81" s="982" t="s">
        <v>28</v>
      </c>
      <c r="D81" s="390">
        <f>D80-5774067.19</f>
        <v>0</v>
      </c>
      <c r="H81" s="2"/>
      <c r="L81" s="2"/>
      <c r="M81" s="1000"/>
      <c r="Q81" s="1000"/>
      <c r="U81" s="123"/>
      <c r="Y81" s="123"/>
      <c r="AC81" s="123"/>
    </row>
    <row r="82" spans="1:29" x14ac:dyDescent="0.25">
      <c r="A82" s="57"/>
      <c r="B82" s="986" t="s">
        <v>27</v>
      </c>
      <c r="H82" s="2"/>
      <c r="L82" s="2"/>
      <c r="M82" s="1000"/>
      <c r="Q82" s="1000"/>
      <c r="U82" s="123"/>
      <c r="Y82" s="123"/>
      <c r="AC82" s="123"/>
    </row>
    <row r="83" spans="1:29" x14ac:dyDescent="0.25">
      <c r="A83" s="66"/>
      <c r="B83" s="990" t="s">
        <v>83</v>
      </c>
      <c r="C83" s="863" t="s">
        <v>76</v>
      </c>
      <c r="D83" s="1025">
        <f>3593357.55+27364.65</f>
        <v>3620722.1999999997</v>
      </c>
      <c r="E83" s="871" t="str">
        <f>TEXT('MYP Assumptions'!$D$55,"0.00%")&amp;", STRS rate"</f>
        <v>12.58%, STRS rate</v>
      </c>
      <c r="G83" s="83">
        <f t="shared" ref="G83:G92" si="39">IF(D83=0,"0.00%",(H83-D83)/D83)</f>
        <v>0.17036816577642999</v>
      </c>
      <c r="H83" s="2">
        <f>4220239+17339</f>
        <v>4237578</v>
      </c>
      <c r="I83" s="871" t="str">
        <f>TEXT('MYP Assumptions'!E55,"0.00%")&amp;", projected STRS rate"</f>
        <v>14.43%, projected STRS rate</v>
      </c>
      <c r="K83" s="83">
        <f t="shared" ref="K83:K92" si="40">IF(H83=0,"0.00%",(L83-H83)/H83)</f>
        <v>0.11337962392668642</v>
      </c>
      <c r="L83" s="2">
        <f>ROUND(L65*LEFT(M83,6),0)</f>
        <v>4718033</v>
      </c>
      <c r="M83" s="1081" t="str">
        <f>TEXT('MYP Assumptions'!F55,"0.00%")&amp;", projected STRS rate"</f>
        <v>16.28%, projected STRS rate</v>
      </c>
      <c r="O83" s="83">
        <f t="shared" ref="O83:O92" si="41">IF(L83=0,"0.00%",(P83-L83)/L83)</f>
        <v>0.11346275026054289</v>
      </c>
      <c r="P83" s="2">
        <f>ROUND(P65*LEFT(Q83,6),0)</f>
        <v>5253354</v>
      </c>
      <c r="Q83" s="1081" t="str">
        <f>TEXT('MYP Assumptions'!G55,"0.00%")&amp;", projected STRS rate"</f>
        <v>18.13%, projected STRS rate</v>
      </c>
      <c r="S83" s="129">
        <f t="shared" ref="S83:S92" si="42">IF(P83=0,"0.00%",(T83-P83)/P83)</f>
        <v>-2.9989412478199643E-2</v>
      </c>
      <c r="T83" s="2">
        <f>ROUND(T65*LEFT(U83,6),0)</f>
        <v>5095809</v>
      </c>
      <c r="U83" s="36" t="str">
        <f>TEXT('MYP Assumptions'!H55,"0.00%")&amp;", projected STRS rate"</f>
        <v>19.10%, projected STRS rate</v>
      </c>
      <c r="W83" s="129">
        <f t="shared" ref="W83:W92" si="43">IF(T83=0,"0.00%",(X83-T83)/T83)</f>
        <v>2.0000160916549267E-2</v>
      </c>
      <c r="X83" s="2">
        <f>ROUND(X65*LEFT(Y83,6),0)</f>
        <v>5197726</v>
      </c>
      <c r="Y83" s="36" t="str">
        <f>TEXT('MYP Assumptions'!I55,"0.00%")&amp;", projected STRS rate"</f>
        <v>19.10%, projected STRS rate</v>
      </c>
      <c r="AA83" s="129">
        <f t="shared" ref="AA83:AA92" si="44">IF(X83=0,"0.00%",(AB83-X83)/X83)</f>
        <v>1.9999899956250098E-2</v>
      </c>
      <c r="AB83" s="2">
        <f>ROUND(AB65*LEFT(AC83,6),0)</f>
        <v>5301680</v>
      </c>
      <c r="AC83" s="36" t="str">
        <f>TEXT('MYP Assumptions'!J55,"0.00%")&amp;", projected STRS rate"</f>
        <v>19.10%, projected STRS rate</v>
      </c>
    </row>
    <row r="84" spans="1:29" x14ac:dyDescent="0.25">
      <c r="A84" s="66"/>
      <c r="B84" s="990" t="s">
        <v>84</v>
      </c>
      <c r="C84" s="863" t="s">
        <v>77</v>
      </c>
      <c r="D84" s="1025">
        <f>697285.03</f>
        <v>697285.03</v>
      </c>
      <c r="E84" s="871" t="str">
        <f>TEXT('MYP Assumptions'!$D$56,"0.00%")&amp;", PERS rate"</f>
        <v>13.89%, PERS rate</v>
      </c>
      <c r="G84" s="83">
        <f t="shared" si="39"/>
        <v>0.28284125072927491</v>
      </c>
      <c r="H84" s="2">
        <v>894506</v>
      </c>
      <c r="I84" s="871" t="str">
        <f>TEXT('MYP Assumptions'!E56,"0.00%")&amp;", projected PERS rate"</f>
        <v>15.53%, projected PERS rate</v>
      </c>
      <c r="K84" s="83">
        <f t="shared" si="40"/>
        <v>0.24544832566802235</v>
      </c>
      <c r="L84" s="2">
        <f>ROUND(L80*LEFT(M84,6),0)</f>
        <v>1114061</v>
      </c>
      <c r="M84" s="1081" t="str">
        <f>TEXT('MYP Assumptions'!F56,"0.00%")&amp;", projected PERS rate"</f>
        <v>18.10%, projected PERS rate</v>
      </c>
      <c r="O84" s="83">
        <f t="shared" si="41"/>
        <v>0.16639483834368135</v>
      </c>
      <c r="P84" s="2">
        <f>ROUND(P80*LEFT(Q84,6),0)</f>
        <v>1299435</v>
      </c>
      <c r="Q84" s="1081" t="str">
        <f>TEXT('MYP Assumptions'!G56,"0.00%")&amp;", projected PERS rate"</f>
        <v>20.80%, projected PERS rate</v>
      </c>
      <c r="S84" s="129">
        <f t="shared" si="42"/>
        <v>-0.86193691873775913</v>
      </c>
      <c r="T84" s="2">
        <f>ROUND(T80*LEFT(U84,6),0)</f>
        <v>179404</v>
      </c>
      <c r="U84" s="36" t="str">
        <f>TEXT('MYP Assumptions'!H56,"0.00%")&amp;", projected PERS rate"</f>
        <v>23.80%, projected PERS rate</v>
      </c>
      <c r="W84" s="129">
        <f t="shared" si="43"/>
        <v>8.0003790327974847E-2</v>
      </c>
      <c r="X84" s="2">
        <f>ROUND(X80*LEFT(Y84,6),0)</f>
        <v>193757</v>
      </c>
      <c r="Y84" s="36" t="str">
        <f>TEXT('MYP Assumptions'!I56,"0.00%")&amp;", projected PERS rate"</f>
        <v>25.20%, projected PERS rate</v>
      </c>
      <c r="AA84" s="129">
        <f t="shared" si="44"/>
        <v>5.6426348467410209E-2</v>
      </c>
      <c r="AB84" s="2">
        <f>ROUND(AB80*LEFT(AC84,6),0)</f>
        <v>204690</v>
      </c>
      <c r="AC84" s="36" t="str">
        <f>TEXT('MYP Assumptions'!J56,"0.00%")&amp;", projected PERS rate"</f>
        <v>26.10%, projected PERS rate</v>
      </c>
    </row>
    <row r="85" spans="1:29" x14ac:dyDescent="0.25">
      <c r="A85" s="66"/>
      <c r="B85" s="990" t="s">
        <v>85</v>
      </c>
      <c r="C85" s="863" t="s">
        <v>78</v>
      </c>
      <c r="D85" s="1025">
        <f>5261.75+317646.33</f>
        <v>322908.08</v>
      </c>
      <c r="E85" s="871" t="str">
        <f>TEXT('MYP Assumptions'!$D$57,"0.00%")&amp;", SS rate"</f>
        <v>6.20%, SS rate</v>
      </c>
      <c r="G85" s="83">
        <f t="shared" si="39"/>
        <v>0.10112450577266441</v>
      </c>
      <c r="H85" s="2">
        <f>1378+354184</f>
        <v>355562</v>
      </c>
      <c r="I85" s="871" t="str">
        <f>TEXT('MYP Assumptions'!E57,"0.00%")&amp;", no rate change"</f>
        <v>6.20%, no rate change</v>
      </c>
      <c r="K85" s="83">
        <f t="shared" si="40"/>
        <v>7.3264297084615335E-2</v>
      </c>
      <c r="L85" s="2">
        <f>ROUND(L80*LEFT(M85,5),0)</f>
        <v>381612</v>
      </c>
      <c r="M85" s="1081" t="str">
        <f>TEXT('MYP Assumptions'!F57,"0.00%")&amp;", no rate change"</f>
        <v>6.20%, no rate change</v>
      </c>
      <c r="O85" s="83">
        <f t="shared" si="41"/>
        <v>1.4989046466044044E-2</v>
      </c>
      <c r="P85" s="2">
        <f>ROUND(P80*LEFT(Q85,5),0)</f>
        <v>387332</v>
      </c>
      <c r="Q85" s="1081" t="str">
        <f>TEXT('MYP Assumptions'!G57,"0.00%")&amp;", no rate change"</f>
        <v>6.20%, no rate change</v>
      </c>
      <c r="S85" s="129">
        <f t="shared" si="42"/>
        <v>-0.87933865521051713</v>
      </c>
      <c r="T85" s="2">
        <f>ROUND(T80*LEFT(U85,5),0)</f>
        <v>46736</v>
      </c>
      <c r="U85" s="36" t="str">
        <f>TEXT('MYP Assumptions'!H57,"0.00%")&amp;", no rate change"</f>
        <v>6.20%, no rate change</v>
      </c>
      <c r="W85" s="129">
        <f t="shared" si="43"/>
        <v>1.9984594317014721E-2</v>
      </c>
      <c r="X85" s="2">
        <f>ROUND(X80*LEFT(Y85,5),0)</f>
        <v>47670</v>
      </c>
      <c r="Y85" s="36" t="str">
        <f>TEXT('MYP Assumptions'!I57,"0.00%")&amp;", no rate change"</f>
        <v>6.20%, no rate change</v>
      </c>
      <c r="AA85" s="129">
        <f t="shared" si="44"/>
        <v>2.001258653241032E-2</v>
      </c>
      <c r="AB85" s="2">
        <f>ROUND(AB80*LEFT(AC85,5),0)</f>
        <v>48624</v>
      </c>
      <c r="AC85" s="36" t="str">
        <f>TEXT('MYP Assumptions'!J57,"0.00%")&amp;", no rate change"</f>
        <v>6.20%, no rate change</v>
      </c>
    </row>
    <row r="86" spans="1:29" x14ac:dyDescent="0.25">
      <c r="A86" s="66"/>
      <c r="B86" s="990" t="s">
        <v>86</v>
      </c>
      <c r="C86" s="863" t="s">
        <v>79</v>
      </c>
      <c r="D86" s="1025">
        <f>391175.5+78257.52</f>
        <v>469433.02</v>
      </c>
      <c r="E86" s="871" t="str">
        <f>TEXT('MYP Assumptions'!$D$58,"0.00%")&amp;", Medicare rate"</f>
        <v>1.45%, Medicare rate</v>
      </c>
      <c r="G86" s="83">
        <f t="shared" si="39"/>
        <v>5.6553286345302212E-2</v>
      </c>
      <c r="H86" s="2">
        <f>415037+80944</f>
        <v>495981</v>
      </c>
      <c r="I86" s="871" t="str">
        <f>TEXT('MYP Assumptions'!E58,"0.00%")&amp;", no rate change"</f>
        <v>1.45%, no rate change</v>
      </c>
      <c r="K86" s="83">
        <f t="shared" si="40"/>
        <v>2.7188541496549264E-2</v>
      </c>
      <c r="L86" s="2">
        <f>ROUND((L80+L65)*LEFT(M86,5),0)</f>
        <v>509466</v>
      </c>
      <c r="M86" s="1081" t="str">
        <f>TEXT('MYP Assumptions'!F58,"0.00%")&amp;", no rate change"</f>
        <v>1.45%, no rate change</v>
      </c>
      <c r="O86" s="83">
        <f t="shared" si="41"/>
        <v>2.496731872195593E-3</v>
      </c>
      <c r="P86" s="2">
        <f>ROUND((P80+P65)*LEFT(Q86,5),0)</f>
        <v>510738</v>
      </c>
      <c r="Q86" s="1081" t="str">
        <f>TEXT('MYP Assumptions'!G58,"0.00%")&amp;", no rate change"</f>
        <v>1.45%, no rate change</v>
      </c>
      <c r="S86" s="129">
        <f t="shared" si="42"/>
        <v>-0.22115644420426911</v>
      </c>
      <c r="T86" s="2">
        <f>ROUND((T80+T65)*LEFT(U86,5),0)</f>
        <v>397785</v>
      </c>
      <c r="U86" s="36" t="str">
        <f>TEXT('MYP Assumptions'!H58,"0.00%")&amp;", no rate change"</f>
        <v>1.45%, no rate change</v>
      </c>
      <c r="W86" s="129">
        <f t="shared" si="43"/>
        <v>1.9998240255414357E-2</v>
      </c>
      <c r="X86" s="2">
        <f>ROUND((X80+X65)*LEFT(Y86,5),0)</f>
        <v>405740</v>
      </c>
      <c r="Y86" s="36" t="str">
        <f>TEXT('MYP Assumptions'!I58,"0.00%")&amp;", no rate change"</f>
        <v>1.45%, no rate change</v>
      </c>
      <c r="AA86" s="129">
        <f t="shared" si="44"/>
        <v>2.0000492926504659E-2</v>
      </c>
      <c r="AB86" s="2">
        <f>ROUND((AB80+AB65)*LEFT(AC86,5),0)</f>
        <v>413855</v>
      </c>
      <c r="AC86" s="36" t="str">
        <f>TEXT('MYP Assumptions'!J58,"0.00%")&amp;", no rate change"</f>
        <v>1.45%, no rate change</v>
      </c>
    </row>
    <row r="87" spans="1:29" x14ac:dyDescent="0.25">
      <c r="A87" s="66"/>
      <c r="B87" s="990" t="s">
        <v>87</v>
      </c>
      <c r="C87" s="863" t="s">
        <v>80</v>
      </c>
      <c r="D87" s="2">
        <f>3132052+824525.96-365638.23-94723.2</f>
        <v>3496216.53</v>
      </c>
      <c r="E87" s="871"/>
      <c r="G87" s="83">
        <f t="shared" si="39"/>
        <v>1.8633313881162874E-2</v>
      </c>
      <c r="H87" s="2">
        <f>3241152+791914-376124.27-95579.1</f>
        <v>3561362.63</v>
      </c>
      <c r="K87" s="83">
        <f t="shared" si="40"/>
        <v>6.9999996040841284E-2</v>
      </c>
      <c r="L87" s="2">
        <f>ROUND((H87)*(LEFT(M87,5)+1),0)</f>
        <v>3810658</v>
      </c>
      <c r="M87" s="1081" t="str">
        <f>TEXT('MYP Assumptions'!$M$65,"0.00%")&amp;", projected increase"</f>
        <v>7.00%, projected increase</v>
      </c>
      <c r="O87" s="83">
        <f t="shared" si="41"/>
        <v>6.9999984254687772E-2</v>
      </c>
      <c r="P87" s="2">
        <f>ROUND((L87)*(LEFT(Q87,5)+1),0)</f>
        <v>4077404</v>
      </c>
      <c r="Q87" s="1081" t="str">
        <f>TEXT('MYP Assumptions'!$M$65,"0.00%")&amp;", projected increase"</f>
        <v>7.00%, projected increase</v>
      </c>
      <c r="S87" s="129">
        <f t="shared" si="42"/>
        <v>6.9999931328855319E-2</v>
      </c>
      <c r="T87" s="2">
        <f>ROUND((P87)*(LEFT(U87,5)+1),0)</f>
        <v>4362822</v>
      </c>
      <c r="U87" s="36" t="str">
        <f>TEXT('MYP Assumptions'!$M$65,"0.00%")&amp;", projected increase"</f>
        <v>7.00%, projected increase</v>
      </c>
      <c r="W87" s="129">
        <f t="shared" si="43"/>
        <v>7.0000105436343718E-2</v>
      </c>
      <c r="X87" s="2">
        <f>ROUND((T87)*(LEFT(Y87,5)+1),0)</f>
        <v>4668220</v>
      </c>
      <c r="Y87" s="36" t="str">
        <f>TEXT('MYP Assumptions'!$M$65,"0.00%")&amp;", projected increase"</f>
        <v>7.00%, projected increase</v>
      </c>
      <c r="AA87" s="129">
        <f t="shared" si="44"/>
        <v>6.9999914314235398E-2</v>
      </c>
      <c r="AB87" s="2">
        <f>ROUND((X87)*(LEFT(AC87,5)+1),0)</f>
        <v>4994995</v>
      </c>
      <c r="AC87" s="36" t="str">
        <f>TEXT('MYP Assumptions'!$M$65,"0.00%")&amp;", projected increase"</f>
        <v>7.00%, projected increase</v>
      </c>
    </row>
    <row r="88" spans="1:29" x14ac:dyDescent="0.25">
      <c r="A88" s="66"/>
      <c r="B88" s="990" t="s">
        <v>88</v>
      </c>
      <c r="C88" s="863" t="s">
        <v>81</v>
      </c>
      <c r="D88" s="1026">
        <f>13543.55+2680.87</f>
        <v>16224.419999999998</v>
      </c>
      <c r="E88" s="871" t="str">
        <f>TEXT('MYP Assumptions'!$D$59,"0.00%")&amp;", SUI rate"</f>
        <v>0.05%, SUI rate</v>
      </c>
      <c r="G88" s="83">
        <f t="shared" si="39"/>
        <v>9.8837431476749366E-2</v>
      </c>
      <c r="H88" s="2">
        <f>14869+2959</f>
        <v>17828</v>
      </c>
      <c r="I88" s="871" t="str">
        <f>TEXT('MYP Assumptions'!E59,"0.00%")&amp;", no rate change"</f>
        <v>0.05%, no rate change</v>
      </c>
      <c r="K88" s="83">
        <f t="shared" si="40"/>
        <v>-1.4583800762844963E-2</v>
      </c>
      <c r="L88" s="2">
        <f>ROUND((L80+L65)*LEFT(M88,5),0)</f>
        <v>17568</v>
      </c>
      <c r="M88" s="1081" t="str">
        <f>TEXT('MYP Assumptions'!F59,"0.00%")&amp;", no rate change"</f>
        <v>0.05%, no rate change</v>
      </c>
      <c r="O88" s="83">
        <f t="shared" si="41"/>
        <v>2.5045537340619307E-3</v>
      </c>
      <c r="P88" s="2">
        <f>ROUND((P80+P65)*LEFT(Q88,5),0)</f>
        <v>17612</v>
      </c>
      <c r="Q88" s="1081" t="str">
        <f>TEXT('MYP Assumptions'!G59,"0.00%")&amp;", no rate change"</f>
        <v>0.05%, no rate change</v>
      </c>
      <c r="S88" s="129">
        <f t="shared" si="42"/>
        <v>-0.22115602997955938</v>
      </c>
      <c r="T88" s="2">
        <f>ROUND((T80+T65)*LEFT(U88,5),0)</f>
        <v>13717</v>
      </c>
      <c r="U88" s="36" t="str">
        <f>TEXT('MYP Assumptions'!H59,"0.00%")&amp;", no rate change"</f>
        <v>0.05%, no rate change</v>
      </c>
      <c r="W88" s="129">
        <f t="shared" si="43"/>
        <v>1.9975213239046438E-2</v>
      </c>
      <c r="X88" s="2">
        <f>ROUND((X80+X65)*LEFT(Y88,5),0)</f>
        <v>13991</v>
      </c>
      <c r="Y88" s="36" t="str">
        <f>TEXT('MYP Assumptions'!I59,"0.00%")&amp;", no rate change"</f>
        <v>0.05%, no rate change</v>
      </c>
      <c r="AA88" s="129">
        <f t="shared" si="44"/>
        <v>2.0012865413480095E-2</v>
      </c>
      <c r="AB88" s="2">
        <f>ROUND((AB80+AB65)*LEFT(AC88,5),0)</f>
        <v>14271</v>
      </c>
      <c r="AC88" s="36" t="str">
        <f>TEXT('MYP Assumptions'!J59,"0.00%")&amp;", no rate change"</f>
        <v>0.05%, no rate change</v>
      </c>
    </row>
    <row r="89" spans="1:29" x14ac:dyDescent="0.25">
      <c r="A89" s="66"/>
      <c r="B89" s="990" t="s">
        <v>89</v>
      </c>
      <c r="C89" s="863" t="s">
        <v>82</v>
      </c>
      <c r="D89" s="1026">
        <f>297273.26+59396.81</f>
        <v>356670.07</v>
      </c>
      <c r="E89" s="871" t="str">
        <f>TEXT('MYP Assumptions'!$D$60,"0.00%")&amp;", W/C rate"</f>
        <v>1.10%, W/C rate</v>
      </c>
      <c r="G89" s="83">
        <f t="shared" si="39"/>
        <v>9.4908243912924878E-2</v>
      </c>
      <c r="H89" s="2">
        <f>326048+64473</f>
        <v>390521</v>
      </c>
      <c r="I89" s="871" t="str">
        <f>TEXT('MYP Assumptions'!E60,"0.00%")&amp;", no rate change"</f>
        <v>0.80%, no rate change</v>
      </c>
      <c r="K89" s="83">
        <f t="shared" si="40"/>
        <v>-0.2802307686398427</v>
      </c>
      <c r="L89" s="2">
        <f>ROUND((L80+L65)*LEFT(M89,5),0)</f>
        <v>281085</v>
      </c>
      <c r="M89" s="1081" t="str">
        <f>TEXT('MYP Assumptions'!F60,"0.00%")&amp;", no rate change"</f>
        <v>0.80%, no rate change</v>
      </c>
      <c r="O89" s="83">
        <f t="shared" si="41"/>
        <v>2.4974651795720156E-3</v>
      </c>
      <c r="P89" s="2">
        <f>ROUND((P80+P65)*LEFT(Q89,5),0)</f>
        <v>281787</v>
      </c>
      <c r="Q89" s="1081" t="str">
        <f>TEXT('MYP Assumptions'!G60,"0.00%")&amp;", no rate change"</f>
        <v>0.80%, no rate change</v>
      </c>
      <c r="S89" s="129">
        <f t="shared" si="42"/>
        <v>-0.22115995414976561</v>
      </c>
      <c r="T89" s="2">
        <f>ROUND((T80+T65)*LEFT(U89,5),0)</f>
        <v>219467</v>
      </c>
      <c r="U89" s="36" t="str">
        <f>TEXT('MYP Assumptions'!H60,"0.00%")&amp;", no rate change"</f>
        <v>0.80%, no rate change</v>
      </c>
      <c r="W89" s="129">
        <f t="shared" si="43"/>
        <v>2.0003007285833405E-2</v>
      </c>
      <c r="X89" s="2">
        <f>ROUND((X80+X65)*LEFT(Y89,5),0)</f>
        <v>223857</v>
      </c>
      <c r="Y89" s="36" t="str">
        <f>TEXT('MYP Assumptions'!I60,"0.00%")&amp;", no rate change"</f>
        <v>0.80%, no rate change</v>
      </c>
      <c r="AA89" s="129">
        <f t="shared" si="44"/>
        <v>1.9999374600749586E-2</v>
      </c>
      <c r="AB89" s="2">
        <f>ROUND((AB80+AB65)*LEFT(AC89,5),0)</f>
        <v>228334</v>
      </c>
      <c r="AC89" s="36" t="str">
        <f>TEXT('MYP Assumptions'!J60,"0.00%")&amp;", no rate change"</f>
        <v>0.80%, no rate change</v>
      </c>
    </row>
    <row r="90" spans="1:29" x14ac:dyDescent="0.25">
      <c r="A90" s="66"/>
      <c r="B90" s="990" t="s">
        <v>480</v>
      </c>
      <c r="C90" s="863" t="s">
        <v>481</v>
      </c>
      <c r="D90" s="1026">
        <f>317003.11+23623.08</f>
        <v>340626.19</v>
      </c>
      <c r="G90" s="83">
        <f t="shared" si="39"/>
        <v>0.1431827951925834</v>
      </c>
      <c r="H90" s="2">
        <f>359452+29946</f>
        <v>389398</v>
      </c>
      <c r="K90" s="83">
        <f t="shared" si="40"/>
        <v>0</v>
      </c>
      <c r="L90" s="2">
        <f>H90</f>
        <v>389398</v>
      </c>
      <c r="M90" s="1081" t="s">
        <v>166</v>
      </c>
      <c r="O90" s="83">
        <f t="shared" si="41"/>
        <v>0</v>
      </c>
      <c r="P90" s="2">
        <f>L90</f>
        <v>389398</v>
      </c>
      <c r="Q90" s="1081" t="s">
        <v>166</v>
      </c>
      <c r="S90" s="129">
        <f t="shared" si="42"/>
        <v>0</v>
      </c>
      <c r="T90" s="2">
        <f>P90</f>
        <v>389398</v>
      </c>
      <c r="U90" s="36" t="s">
        <v>166</v>
      </c>
      <c r="W90" s="129">
        <f t="shared" si="43"/>
        <v>0</v>
      </c>
      <c r="X90" s="2">
        <f>T90</f>
        <v>389398</v>
      </c>
      <c r="Y90" s="36" t="s">
        <v>166</v>
      </c>
      <c r="AA90" s="129">
        <f t="shared" si="44"/>
        <v>0</v>
      </c>
      <c r="AB90" s="2">
        <f>X90</f>
        <v>389398</v>
      </c>
      <c r="AC90" s="36" t="s">
        <v>166</v>
      </c>
    </row>
    <row r="91" spans="1:29" x14ac:dyDescent="0.25">
      <c r="A91" s="66"/>
      <c r="B91" s="990" t="s">
        <v>91</v>
      </c>
      <c r="C91" s="863" t="s">
        <v>93</v>
      </c>
      <c r="D91" s="2">
        <f>204034.78+3000+30585.66+2291.14+45330.59+19000</f>
        <v>304242.17000000004</v>
      </c>
      <c r="G91" s="83">
        <f t="shared" ref="G91" si="45">IF(D91=0,"0.00%",(H91-D91)/D91)</f>
        <v>8.6588358214773301E-2</v>
      </c>
      <c r="H91" s="2">
        <f>217861+3000+33687+2338+842+54618+18240</f>
        <v>330586</v>
      </c>
      <c r="K91" s="83">
        <f t="shared" ref="K91" si="46">IF(H91=0,"0.00%",(L91-H91)/H91)</f>
        <v>0</v>
      </c>
      <c r="L91" s="2">
        <f>+H91</f>
        <v>330586</v>
      </c>
      <c r="M91" s="1081" t="s">
        <v>174</v>
      </c>
      <c r="O91" s="83">
        <f t="shared" ref="O91" si="47">IF(L91=0,"0.00%",(P91-L91)/L91)</f>
        <v>0</v>
      </c>
      <c r="P91" s="2">
        <f>+L91</f>
        <v>330586</v>
      </c>
      <c r="Q91" s="1081" t="s">
        <v>174</v>
      </c>
      <c r="S91" s="129"/>
      <c r="U91" s="36"/>
      <c r="W91" s="129"/>
      <c r="Y91" s="36"/>
      <c r="AA91" s="129"/>
      <c r="AC91" s="36"/>
    </row>
    <row r="92" spans="1:29" x14ac:dyDescent="0.25">
      <c r="A92" s="29"/>
      <c r="B92" s="990"/>
      <c r="D92" s="8">
        <f>SUM(D83:D91)</f>
        <v>9624327.709999999</v>
      </c>
      <c r="G92" s="83">
        <f t="shared" si="39"/>
        <v>0.10899409824855184</v>
      </c>
      <c r="H92" s="8">
        <f>SUM(H83:H91)</f>
        <v>10673322.629999999</v>
      </c>
      <c r="I92" s="1292">
        <f>+H92-D92</f>
        <v>1048994.92</v>
      </c>
      <c r="J92" s="29"/>
      <c r="K92" s="83">
        <f t="shared" si="40"/>
        <v>8.2368387097092849E-2</v>
      </c>
      <c r="L92" s="8">
        <f>SUM(L83:L91)</f>
        <v>11552467</v>
      </c>
      <c r="M92" s="1292">
        <f>+L92-H92</f>
        <v>879144.37000000104</v>
      </c>
      <c r="O92" s="83">
        <f t="shared" si="41"/>
        <v>8.6144284160257711E-2</v>
      </c>
      <c r="P92" s="8">
        <f>SUM(P83:P91)</f>
        <v>12547646</v>
      </c>
      <c r="Q92" s="1292">
        <f>+P92-L92</f>
        <v>995179</v>
      </c>
      <c r="S92" s="129">
        <f t="shared" si="42"/>
        <v>-0.14684092936635287</v>
      </c>
      <c r="T92" s="8">
        <f>SUM(T83:T91)</f>
        <v>10705138</v>
      </c>
      <c r="U92" s="123"/>
      <c r="W92" s="129">
        <f t="shared" si="43"/>
        <v>4.0655337651882673E-2</v>
      </c>
      <c r="X92" s="8">
        <f>SUM(X83:X91)</f>
        <v>11140359</v>
      </c>
      <c r="Y92" s="123"/>
      <c r="AA92" s="129">
        <f t="shared" si="44"/>
        <v>4.0886294597867086E-2</v>
      </c>
      <c r="AB92" s="8">
        <f>SUM(AB83:AB91)</f>
        <v>11595847</v>
      </c>
      <c r="AC92" s="123"/>
    </row>
    <row r="93" spans="1:29" x14ac:dyDescent="0.25">
      <c r="A93" s="57"/>
      <c r="B93" s="990"/>
      <c r="H93" s="2"/>
      <c r="L93" s="2"/>
      <c r="M93" s="1000"/>
      <c r="Q93" s="1000"/>
      <c r="U93" s="123"/>
      <c r="Y93" s="123"/>
      <c r="AC93" s="123"/>
    </row>
    <row r="94" spans="1:29" x14ac:dyDescent="0.25">
      <c r="A94" s="29"/>
      <c r="B94" s="986" t="s">
        <v>26</v>
      </c>
      <c r="D94" s="8">
        <f>SUM(D92,D80,D65)</f>
        <v>44129587.460000001</v>
      </c>
      <c r="G94" s="83">
        <f>IF(D94=0,"0.00%",(H94-D94)/D94)</f>
        <v>3.6926025004811874E-2</v>
      </c>
      <c r="H94" s="8">
        <f>SUM(H92,H80,H65)</f>
        <v>45759117.709999993</v>
      </c>
      <c r="I94" s="1292">
        <f>+H94-D94</f>
        <v>1629530.2499999925</v>
      </c>
      <c r="J94" s="29"/>
      <c r="K94" s="83">
        <f>IF(H94=0,"0.00%",(L94-H94)/H94)</f>
        <v>2.0300455133610895E-2</v>
      </c>
      <c r="L94" s="8">
        <f>SUM(L92,L80,L65)</f>
        <v>46688048.626025468</v>
      </c>
      <c r="M94" s="1292">
        <f>+L94-H94</f>
        <v>928930.91602547467</v>
      </c>
      <c r="O94" s="83">
        <f>IF(L94=0,"0.00%",(P94-L94)/L94)</f>
        <v>2.3194622077694096E-2</v>
      </c>
      <c r="P94" s="8">
        <f>SUM(P92,P80,P65)</f>
        <v>47770960.269451134</v>
      </c>
      <c r="Q94" s="1292">
        <f>+P94-L94</f>
        <v>1082911.6434256658</v>
      </c>
      <c r="S94" s="129">
        <f>IF(P94=0,"0.00%",(T94-P94)/P94)</f>
        <v>-0.20163702414855822</v>
      </c>
      <c r="T94" s="8">
        <f>SUM(T92,T80,T65)</f>
        <v>38138566</v>
      </c>
      <c r="U94" s="123"/>
      <c r="W94" s="129">
        <f>IF(T94=0,"0.00%",(X94-T94)/T94)</f>
        <v>2.5797797431607681E-2</v>
      </c>
      <c r="X94" s="8">
        <f>SUM(X92,X80,X65)</f>
        <v>39122457</v>
      </c>
      <c r="Y94" s="123"/>
      <c r="AA94" s="129">
        <f>IF(X94=0,"0.00%",(AB94-X94)/X94)</f>
        <v>2.5947501201164333E-2</v>
      </c>
      <c r="AB94" s="8">
        <f>SUM(AB92,AB80,AB65)</f>
        <v>40137587</v>
      </c>
      <c r="AC94" s="123"/>
    </row>
    <row r="95" spans="1:29" x14ac:dyDescent="0.25">
      <c r="A95" s="66"/>
      <c r="H95" s="2"/>
      <c r="L95" s="2"/>
      <c r="M95" s="1000"/>
      <c r="Q95" s="1000"/>
      <c r="U95" s="123"/>
      <c r="Y95" s="123"/>
      <c r="AC95" s="123"/>
    </row>
    <row r="96" spans="1:29" x14ac:dyDescent="0.25">
      <c r="A96" s="66"/>
      <c r="H96" s="2"/>
      <c r="L96" s="2"/>
      <c r="M96" s="1000"/>
      <c r="Q96" s="1000"/>
      <c r="U96" s="123"/>
      <c r="Y96" s="123"/>
      <c r="AC96" s="123"/>
    </row>
    <row r="97" spans="1:29" x14ac:dyDescent="0.25">
      <c r="A97" s="66"/>
      <c r="B97" s="961" t="s">
        <v>25</v>
      </c>
      <c r="C97" s="864" t="s">
        <v>1012</v>
      </c>
      <c r="D97" s="388" t="s">
        <v>479</v>
      </c>
      <c r="H97" s="448"/>
      <c r="L97" s="448"/>
      <c r="M97" s="1081"/>
      <c r="P97" s="448"/>
      <c r="Q97" s="1081"/>
      <c r="U97" s="123"/>
      <c r="Y97" s="123"/>
      <c r="AC97" s="123"/>
    </row>
    <row r="98" spans="1:29" x14ac:dyDescent="0.25">
      <c r="A98" s="66"/>
      <c r="B98" s="990" t="s">
        <v>418</v>
      </c>
      <c r="C98" s="863" t="s">
        <v>823</v>
      </c>
      <c r="D98" s="2">
        <f>41403.67+858.98+1644.9+2285.48+1189.26</f>
        <v>47382.290000000008</v>
      </c>
      <c r="G98" s="83">
        <f t="shared" ref="G98:G108" si="48">IF(D98=0,"0.00%",(H98-D98)/D98)</f>
        <v>1.0081796384260866</v>
      </c>
      <c r="H98" s="2">
        <f>90277.15+55+4820</f>
        <v>95152.15</v>
      </c>
      <c r="K98" s="83">
        <f t="shared" ref="K98:K108" si="49">IF(H98=0,"0.00%",(L98-H98)/H98)</f>
        <v>-0.47452579894411212</v>
      </c>
      <c r="L98" s="2">
        <v>50000</v>
      </c>
      <c r="M98" s="1081"/>
      <c r="O98" s="83">
        <f t="shared" ref="O98:O108" si="50">IF(L98=0,"0.00%",(P98-L98)/L98)</f>
        <v>0</v>
      </c>
      <c r="P98" s="2">
        <f>+(1-$P$97)*L98</f>
        <v>50000</v>
      </c>
      <c r="Q98" s="1081"/>
      <c r="S98" s="129">
        <f t="shared" ref="S98:S108" si="51">IF(P98=0,"0.00%",(T98-P98)/P98)</f>
        <v>2.7300000000000001E-2</v>
      </c>
      <c r="T98" s="2">
        <f>ROUND(P98*(LEFT(U98,5)+1),0)</f>
        <v>51365</v>
      </c>
      <c r="U98" s="36" t="str">
        <f>TEXT('MYP Assumptions'!H75,"0.00%")&amp;", CPI"</f>
        <v>2.73%, CPI</v>
      </c>
      <c r="W98" s="129">
        <f t="shared" ref="W98:W108" si="52">IF(T98=0,"0.00%",(X98-T98)/T98)</f>
        <v>2.7294850579188162E-2</v>
      </c>
      <c r="X98" s="2">
        <f>ROUND(T98*(LEFT(Y98,5)+1),0)</f>
        <v>52767</v>
      </c>
      <c r="Y98" s="36" t="str">
        <f>TEXT('MYP Assumptions'!I75,"0.00%")&amp;", CPI"</f>
        <v>2.73%, CPI</v>
      </c>
      <c r="AA98" s="129">
        <f t="shared" ref="AA98:AA108" si="53">IF(X98=0,"0.00%",(AB98-X98)/X98)</f>
        <v>2.7308734625807796E-2</v>
      </c>
      <c r="AB98" s="2">
        <f>ROUND(X98*(LEFT(AC98,5)+1),0)</f>
        <v>54208</v>
      </c>
      <c r="AC98" s="36" t="str">
        <f>TEXT('MYP Assumptions'!J75,"0.00%")&amp;", CPI"</f>
        <v>2.73%, CPI</v>
      </c>
    </row>
    <row r="99" spans="1:29" x14ac:dyDescent="0.25">
      <c r="A99" s="66"/>
      <c r="B99" s="990" t="s">
        <v>418</v>
      </c>
      <c r="C99" s="863" t="s">
        <v>944</v>
      </c>
      <c r="D99" s="2">
        <f>16759.04+1493.25+1932.15</f>
        <v>20184.440000000002</v>
      </c>
      <c r="G99" s="83">
        <f t="shared" si="48"/>
        <v>-0.32502462292736395</v>
      </c>
      <c r="H99" s="2">
        <f>12674+500+450</f>
        <v>13624</v>
      </c>
      <c r="K99" s="83">
        <f t="shared" si="49"/>
        <v>-4.5801526717557252E-2</v>
      </c>
      <c r="L99" s="2">
        <v>13000</v>
      </c>
      <c r="M99" s="1081"/>
      <c r="O99" s="83">
        <f t="shared" si="50"/>
        <v>0</v>
      </c>
      <c r="P99" s="2">
        <f t="shared" ref="P99:P103" si="54">+(1-$P$97)*L99</f>
        <v>13000</v>
      </c>
      <c r="Q99" s="1081"/>
      <c r="S99" s="129">
        <f t="shared" si="51"/>
        <v>2.7307692307692307E-2</v>
      </c>
      <c r="T99" s="2">
        <f t="shared" ref="T99:T107" si="55">ROUND(P99*(LEFT(U99,5)+1),0)</f>
        <v>13355</v>
      </c>
      <c r="U99" s="36" t="str">
        <f>TEXT('MYP Assumptions'!H75,"0.00%")&amp;", CPI"</f>
        <v>2.73%, CPI</v>
      </c>
      <c r="W99" s="129">
        <f t="shared" si="52"/>
        <v>2.7330587794833397E-2</v>
      </c>
      <c r="X99" s="2">
        <f t="shared" ref="X99:X107" si="56">ROUND(T99*(LEFT(Y99,5)+1),0)</f>
        <v>13720</v>
      </c>
      <c r="Y99" s="36" t="str">
        <f>TEXT('MYP Assumptions'!I75,"0.00%")&amp;", CPI"</f>
        <v>2.73%, CPI</v>
      </c>
      <c r="AA99" s="129">
        <f t="shared" si="53"/>
        <v>2.7332361516034985E-2</v>
      </c>
      <c r="AB99" s="2">
        <f t="shared" ref="AB99:AB107" si="57">ROUND(X99*(LEFT(AC99,5)+1),0)</f>
        <v>14095</v>
      </c>
      <c r="AC99" s="36" t="str">
        <f>TEXT('MYP Assumptions'!J75,"0.00%")&amp;", CPI"</f>
        <v>2.73%, CPI</v>
      </c>
    </row>
    <row r="100" spans="1:29" x14ac:dyDescent="0.25">
      <c r="A100" s="66"/>
      <c r="B100" s="990" t="s">
        <v>418</v>
      </c>
      <c r="C100" s="863" t="s">
        <v>822</v>
      </c>
      <c r="D100" s="2">
        <v>110575.47</v>
      </c>
      <c r="G100" s="83">
        <f t="shared" si="48"/>
        <v>-1.5179406427121686E-2</v>
      </c>
      <c r="H100" s="2">
        <v>108897</v>
      </c>
      <c r="K100" s="83">
        <f t="shared" si="49"/>
        <v>1.0128837341708219E-2</v>
      </c>
      <c r="L100" s="2">
        <v>110000</v>
      </c>
      <c r="M100" s="1081"/>
      <c r="O100" s="83">
        <f t="shared" si="50"/>
        <v>0</v>
      </c>
      <c r="P100" s="2">
        <f t="shared" si="54"/>
        <v>110000</v>
      </c>
      <c r="Q100" s="1081"/>
      <c r="S100" s="129">
        <f t="shared" si="51"/>
        <v>2.7300000000000001E-2</v>
      </c>
      <c r="T100" s="2">
        <f t="shared" si="55"/>
        <v>113003</v>
      </c>
      <c r="U100" s="36" t="str">
        <f>TEXT('MYP Assumptions'!H75,"0.00%")&amp;", CPI"</f>
        <v>2.73%, CPI</v>
      </c>
      <c r="W100" s="129">
        <f t="shared" si="52"/>
        <v>2.7300160172738779E-2</v>
      </c>
      <c r="X100" s="2">
        <f t="shared" si="56"/>
        <v>116088</v>
      </c>
      <c r="Y100" s="36" t="str">
        <f>TEXT('MYP Assumptions'!I75,"0.00%")&amp;", CPI"</f>
        <v>2.73%, CPI</v>
      </c>
      <c r="AA100" s="129">
        <f t="shared" si="53"/>
        <v>2.7298256495072705E-2</v>
      </c>
      <c r="AB100" s="2">
        <f t="shared" si="57"/>
        <v>119257</v>
      </c>
      <c r="AC100" s="36" t="str">
        <f>TEXT('MYP Assumptions'!J75,"0.00%")&amp;", CPI"</f>
        <v>2.73%, CPI</v>
      </c>
    </row>
    <row r="101" spans="1:29" x14ac:dyDescent="0.25">
      <c r="A101" s="66"/>
      <c r="B101" s="990" t="s">
        <v>418</v>
      </c>
      <c r="C101" s="863" t="s">
        <v>824</v>
      </c>
      <c r="D101" s="2">
        <f>65.44+14411.09</f>
        <v>14476.53</v>
      </c>
      <c r="G101" s="83">
        <f t="shared" si="48"/>
        <v>0.80575041118279023</v>
      </c>
      <c r="H101" s="2">
        <f>19860+6281</f>
        <v>26141</v>
      </c>
      <c r="K101" s="83">
        <f t="shared" si="49"/>
        <v>-0.42618874564859799</v>
      </c>
      <c r="L101" s="2">
        <v>15000</v>
      </c>
      <c r="M101" s="1081"/>
      <c r="O101" s="83">
        <f t="shared" si="50"/>
        <v>0</v>
      </c>
      <c r="P101" s="2">
        <f t="shared" si="54"/>
        <v>15000</v>
      </c>
      <c r="Q101" s="1081"/>
      <c r="S101" s="129">
        <f t="shared" si="51"/>
        <v>2.7333333333333334E-2</v>
      </c>
      <c r="T101" s="2">
        <f t="shared" si="55"/>
        <v>15410</v>
      </c>
      <c r="U101" s="36" t="str">
        <f>TEXT('MYP Assumptions'!H75,"0.00%")&amp;", CPI"</f>
        <v>2.73%, CPI</v>
      </c>
      <c r="W101" s="129">
        <f t="shared" si="52"/>
        <v>2.7319922128487995E-2</v>
      </c>
      <c r="X101" s="2">
        <f t="shared" si="56"/>
        <v>15831</v>
      </c>
      <c r="Y101" s="36" t="str">
        <f>TEXT('MYP Assumptions'!I75,"0.00%")&amp;", CPI"</f>
        <v>2.73%, CPI</v>
      </c>
      <c r="AA101" s="129">
        <f t="shared" si="53"/>
        <v>2.7288231949971573E-2</v>
      </c>
      <c r="AB101" s="2">
        <f t="shared" si="57"/>
        <v>16263</v>
      </c>
      <c r="AC101" s="36" t="str">
        <f>TEXT('MYP Assumptions'!J75,"0.00%")&amp;", CPI"</f>
        <v>2.73%, CPI</v>
      </c>
    </row>
    <row r="102" spans="1:29" x14ac:dyDescent="0.25">
      <c r="A102" s="66"/>
      <c r="B102" s="990"/>
      <c r="D102" s="2">
        <v>0</v>
      </c>
      <c r="G102" s="83" t="str">
        <f t="shared" si="48"/>
        <v>0.00%</v>
      </c>
      <c r="H102" s="535">
        <v>0</v>
      </c>
      <c r="I102" s="975"/>
      <c r="J102" s="770"/>
      <c r="K102" s="2001" t="str">
        <f t="shared" si="49"/>
        <v>0.00%</v>
      </c>
      <c r="L102" s="535">
        <v>0</v>
      </c>
      <c r="M102" s="1585" t="s">
        <v>1019</v>
      </c>
      <c r="N102" s="535"/>
      <c r="O102" s="2001" t="str">
        <f t="shared" si="50"/>
        <v>0.00%</v>
      </c>
      <c r="P102" s="535">
        <f t="shared" si="54"/>
        <v>0</v>
      </c>
      <c r="Q102" s="2037" t="s">
        <v>1020</v>
      </c>
      <c r="S102" s="129" t="str">
        <f t="shared" si="51"/>
        <v>0.00%</v>
      </c>
      <c r="T102" s="2">
        <f t="shared" si="55"/>
        <v>0</v>
      </c>
      <c r="U102" s="36" t="str">
        <f>TEXT('MYP Assumptions'!H75,"0.00%")&amp;", CPI"</f>
        <v>2.73%, CPI</v>
      </c>
      <c r="W102" s="129" t="str">
        <f t="shared" si="52"/>
        <v>0.00%</v>
      </c>
      <c r="X102" s="2">
        <f t="shared" si="56"/>
        <v>0</v>
      </c>
      <c r="Y102" s="36" t="str">
        <f>TEXT('MYP Assumptions'!I75,"0.00%")&amp;", CPI"</f>
        <v>2.73%, CPI</v>
      </c>
      <c r="AA102" s="129" t="str">
        <f t="shared" si="53"/>
        <v>0.00%</v>
      </c>
      <c r="AB102" s="2">
        <f t="shared" si="57"/>
        <v>0</v>
      </c>
      <c r="AC102" s="36" t="str">
        <f>TEXT('MYP Assumptions'!J75,"0.00%")&amp;", CPI"</f>
        <v>2.73%, CPI</v>
      </c>
    </row>
    <row r="103" spans="1:29" x14ac:dyDescent="0.25">
      <c r="A103" s="66"/>
      <c r="B103" s="990"/>
      <c r="D103" s="2">
        <v>0</v>
      </c>
      <c r="G103" s="83" t="str">
        <f t="shared" si="48"/>
        <v>0.00%</v>
      </c>
      <c r="H103" s="2">
        <v>0</v>
      </c>
      <c r="I103" s="975"/>
      <c r="K103" s="83" t="str">
        <f t="shared" si="49"/>
        <v>0.00%</v>
      </c>
      <c r="L103" s="2">
        <f t="shared" ref="L103" si="58">+(1-$L$97)*H103</f>
        <v>0</v>
      </c>
      <c r="M103" s="2038" t="s">
        <v>1037</v>
      </c>
      <c r="O103" s="83" t="str">
        <f t="shared" si="50"/>
        <v>0.00%</v>
      </c>
      <c r="P103" s="2">
        <f t="shared" si="54"/>
        <v>0</v>
      </c>
      <c r="Q103" s="2038" t="s">
        <v>1037</v>
      </c>
      <c r="S103" s="129" t="str">
        <f t="shared" si="51"/>
        <v>0.00%</v>
      </c>
      <c r="T103" s="2">
        <f t="shared" si="55"/>
        <v>0</v>
      </c>
      <c r="U103" s="36" t="str">
        <f>TEXT('MYP Assumptions'!H75,"0.00%")&amp;", CPI"</f>
        <v>2.73%, CPI</v>
      </c>
      <c r="W103" s="129" t="str">
        <f t="shared" si="52"/>
        <v>0.00%</v>
      </c>
      <c r="X103" s="2">
        <f t="shared" si="56"/>
        <v>0</v>
      </c>
      <c r="Y103" s="36" t="str">
        <f>TEXT('MYP Assumptions'!I75,"0.00%")&amp;", CPI"</f>
        <v>2.73%, CPI</v>
      </c>
      <c r="AA103" s="129" t="str">
        <f t="shared" si="53"/>
        <v>0.00%</v>
      </c>
      <c r="AB103" s="2">
        <f t="shared" si="57"/>
        <v>0</v>
      </c>
      <c r="AC103" s="36" t="str">
        <f>TEXT('MYP Assumptions'!J75,"0.00%")&amp;", CPI"</f>
        <v>2.73%, CPI</v>
      </c>
    </row>
    <row r="104" spans="1:29" x14ac:dyDescent="0.25">
      <c r="A104" s="66"/>
      <c r="B104" s="990"/>
      <c r="G104" s="83"/>
      <c r="H104" s="2"/>
      <c r="K104" s="83"/>
      <c r="L104" s="2"/>
      <c r="M104" s="1081"/>
      <c r="O104" s="83"/>
      <c r="Q104" s="1081"/>
      <c r="S104" s="129"/>
      <c r="U104" s="36"/>
      <c r="W104" s="129"/>
      <c r="Y104" s="36"/>
      <c r="AA104" s="129"/>
      <c r="AC104" s="36"/>
    </row>
    <row r="105" spans="1:29" hidden="1" x14ac:dyDescent="0.25">
      <c r="A105" s="66"/>
      <c r="B105" s="990"/>
      <c r="D105" s="2">
        <v>0</v>
      </c>
      <c r="G105" s="83" t="str">
        <f t="shared" si="48"/>
        <v>0.00%</v>
      </c>
      <c r="H105" s="2">
        <f t="shared" ref="H105:H107" si="59">ROUND(D105*(LEFT(I105,5)+1),0)</f>
        <v>0</v>
      </c>
      <c r="I105" s="871" t="str">
        <f>TEXT('MYP Assumptions'!$E$75,"0.00%")&amp;", CPI"</f>
        <v>3.42%, CPI</v>
      </c>
      <c r="K105" s="83" t="str">
        <f t="shared" si="49"/>
        <v>0.00%</v>
      </c>
      <c r="L105" s="2">
        <f t="shared" ref="L105:L107" si="60">+(1-L104)*H105</f>
        <v>0</v>
      </c>
      <c r="M105" s="1081" t="str">
        <f t="shared" ref="M105:M107" si="61">TEXT($L$97,"0.00%")&amp;"   reduction"</f>
        <v>0.00%   reduction</v>
      </c>
      <c r="O105" s="83" t="str">
        <f t="shared" si="50"/>
        <v>0.00%</v>
      </c>
      <c r="P105" s="2">
        <f t="shared" ref="P105:P107" si="62">ROUND(L105*(LEFT(Q105,5)+1),0)</f>
        <v>0</v>
      </c>
      <c r="Q105" s="1081" t="str">
        <f>TEXT('MYP Assumptions'!$G$75,"0.00%")&amp;", CPI"</f>
        <v>3.02%, CPI</v>
      </c>
      <c r="S105" s="129"/>
      <c r="U105" s="36"/>
      <c r="W105" s="129"/>
      <c r="Y105" s="36"/>
      <c r="AA105" s="129"/>
      <c r="AC105" s="36"/>
    </row>
    <row r="106" spans="1:29" hidden="1" x14ac:dyDescent="0.25">
      <c r="A106" s="66"/>
      <c r="B106" s="990"/>
      <c r="G106" s="83" t="str">
        <f t="shared" si="48"/>
        <v>0.00%</v>
      </c>
      <c r="H106" s="2">
        <f t="shared" si="59"/>
        <v>0</v>
      </c>
      <c r="I106" s="871" t="str">
        <f>TEXT('MYP Assumptions'!$E$75,"0.00%")&amp;", CPI"</f>
        <v>3.42%, CPI</v>
      </c>
      <c r="K106" s="83" t="str">
        <f t="shared" si="49"/>
        <v>0.00%</v>
      </c>
      <c r="L106" s="2">
        <f t="shared" si="60"/>
        <v>0</v>
      </c>
      <c r="M106" s="1081" t="str">
        <f t="shared" si="61"/>
        <v>0.00%   reduction</v>
      </c>
      <c r="O106" s="83" t="str">
        <f t="shared" si="50"/>
        <v>0.00%</v>
      </c>
      <c r="P106" s="2">
        <f t="shared" si="62"/>
        <v>0</v>
      </c>
      <c r="Q106" s="1081" t="str">
        <f>TEXT('MYP Assumptions'!$G$75,"0.00%")&amp;", CPI"</f>
        <v>3.02%, CPI</v>
      </c>
      <c r="S106" s="129"/>
      <c r="U106" s="36"/>
      <c r="W106" s="129"/>
      <c r="Y106" s="36"/>
      <c r="AA106" s="129"/>
      <c r="AC106" s="36"/>
    </row>
    <row r="107" spans="1:29" hidden="1" x14ac:dyDescent="0.25">
      <c r="A107" s="66"/>
      <c r="B107" s="990"/>
      <c r="G107" s="83" t="str">
        <f t="shared" si="48"/>
        <v>0.00%</v>
      </c>
      <c r="H107" s="2">
        <f t="shared" si="59"/>
        <v>0</v>
      </c>
      <c r="I107" s="871" t="str">
        <f>TEXT('MYP Assumptions'!$E$75,"0.00%")&amp;", CPI"</f>
        <v>3.42%, CPI</v>
      </c>
      <c r="K107" s="83" t="str">
        <f t="shared" si="49"/>
        <v>0.00%</v>
      </c>
      <c r="L107" s="2">
        <f t="shared" si="60"/>
        <v>0</v>
      </c>
      <c r="M107" s="1081" t="str">
        <f t="shared" si="61"/>
        <v>0.00%   reduction</v>
      </c>
      <c r="O107" s="83" t="str">
        <f t="shared" si="50"/>
        <v>0.00%</v>
      </c>
      <c r="P107" s="2">
        <f t="shared" si="62"/>
        <v>0</v>
      </c>
      <c r="Q107" s="1081" t="str">
        <f>TEXT('MYP Assumptions'!$G$75,"0.00%")&amp;", CPI"</f>
        <v>3.02%, CPI</v>
      </c>
      <c r="S107" s="129" t="str">
        <f t="shared" si="51"/>
        <v>0.00%</v>
      </c>
      <c r="T107" s="2">
        <f t="shared" si="55"/>
        <v>0</v>
      </c>
      <c r="U107" s="36" t="str">
        <f>TEXT('MYP Assumptions'!H75,"0.00%")&amp;", CPI"</f>
        <v>2.73%, CPI</v>
      </c>
      <c r="W107" s="129" t="str">
        <f t="shared" si="52"/>
        <v>0.00%</v>
      </c>
      <c r="X107" s="2">
        <f t="shared" si="56"/>
        <v>0</v>
      </c>
      <c r="Y107" s="36" t="str">
        <f>TEXT('MYP Assumptions'!I75,"0.00%")&amp;", CPI"</f>
        <v>2.73%, CPI</v>
      </c>
      <c r="AA107" s="129" t="str">
        <f t="shared" si="53"/>
        <v>0.00%</v>
      </c>
      <c r="AB107" s="2">
        <f t="shared" si="57"/>
        <v>0</v>
      </c>
      <c r="AC107" s="36" t="str">
        <f>TEXT('MYP Assumptions'!J75,"0.00%")&amp;", CPI"</f>
        <v>2.73%, CPI</v>
      </c>
    </row>
    <row r="108" spans="1:29" x14ac:dyDescent="0.25">
      <c r="A108" s="29"/>
      <c r="B108" s="863"/>
      <c r="D108" s="8">
        <f>SUM(D98:D107)</f>
        <v>192618.73</v>
      </c>
      <c r="G108" s="83">
        <f t="shared" si="48"/>
        <v>0.26578630229780864</v>
      </c>
      <c r="H108" s="8">
        <f>SUM(H98:H107)</f>
        <v>243814.15</v>
      </c>
      <c r="I108" s="1292">
        <f>+H108-D108</f>
        <v>51195.419999999984</v>
      </c>
      <c r="J108" s="29"/>
      <c r="K108" s="83">
        <f t="shared" si="49"/>
        <v>-0.22892088092508164</v>
      </c>
      <c r="L108" s="8">
        <f>SUM(L98:L107)</f>
        <v>188000</v>
      </c>
      <c r="M108" s="1292">
        <f>+L108-H108</f>
        <v>-55814.149999999994</v>
      </c>
      <c r="O108" s="83">
        <f t="shared" si="50"/>
        <v>0</v>
      </c>
      <c r="P108" s="8">
        <f>SUM(P98:P107)</f>
        <v>188000</v>
      </c>
      <c r="Q108" s="1292">
        <f>+P108-L108</f>
        <v>0</v>
      </c>
      <c r="S108" s="129">
        <f t="shared" si="51"/>
        <v>2.7303191489361701E-2</v>
      </c>
      <c r="T108" s="8">
        <f>SUM(T98:T107)</f>
        <v>193133</v>
      </c>
      <c r="U108" s="123"/>
      <c r="W108" s="129">
        <f t="shared" si="52"/>
        <v>2.7302428896149287E-2</v>
      </c>
      <c r="X108" s="8">
        <f>SUM(X98:X107)</f>
        <v>198406</v>
      </c>
      <c r="Y108" s="123"/>
      <c r="AA108" s="129">
        <f t="shared" si="53"/>
        <v>2.7302601735834601E-2</v>
      </c>
      <c r="AB108" s="8">
        <f>SUM(AB98:AB107)</f>
        <v>203823</v>
      </c>
      <c r="AC108" s="123"/>
    </row>
    <row r="109" spans="1:29" x14ac:dyDescent="0.25">
      <c r="A109" s="66"/>
      <c r="H109" s="2"/>
      <c r="L109" s="2"/>
      <c r="M109" s="1000"/>
      <c r="Q109" s="1000"/>
      <c r="U109" s="123"/>
      <c r="Y109" s="123"/>
      <c r="AC109" s="123"/>
    </row>
    <row r="110" spans="1:29" s="6" customFormat="1" x14ac:dyDescent="0.25">
      <c r="A110" s="57"/>
      <c r="B110" s="986" t="s">
        <v>16</v>
      </c>
      <c r="C110" s="864"/>
      <c r="E110" s="864"/>
      <c r="G110" s="373"/>
      <c r="I110" s="864"/>
      <c r="J110" s="57"/>
      <c r="K110" s="380"/>
      <c r="M110" s="1001"/>
      <c r="O110" s="380"/>
      <c r="Q110" s="1001"/>
      <c r="R110" s="329"/>
      <c r="U110" s="128"/>
      <c r="Y110" s="128"/>
      <c r="AC110" s="128"/>
    </row>
    <row r="111" spans="1:29" x14ac:dyDescent="0.25">
      <c r="A111" s="66"/>
      <c r="B111" s="990" t="s">
        <v>421</v>
      </c>
      <c r="C111" s="863" t="s">
        <v>939</v>
      </c>
      <c r="D111" s="2">
        <f>524.65+75</f>
        <v>599.65</v>
      </c>
      <c r="G111" s="83">
        <f t="shared" ref="G111:G116" si="63">IF(D111=0,"0.00%",(H111-D111)/D111)</f>
        <v>5.1952805803385305</v>
      </c>
      <c r="H111" s="2">
        <f>1565+100+2050</f>
        <v>3715</v>
      </c>
      <c r="K111" s="83">
        <f t="shared" ref="K111:K148" si="64">IF(H111=0,"0.00%",(L111-H111)/H111)</f>
        <v>-0.79811574697173615</v>
      </c>
      <c r="L111" s="2">
        <v>750</v>
      </c>
      <c r="M111" s="1081"/>
      <c r="O111" s="83">
        <f t="shared" ref="O111:O148" si="65">IF(L111=0,"0.00%",(P111-L111)/L111)</f>
        <v>0</v>
      </c>
      <c r="P111" s="2">
        <f>+L111</f>
        <v>750</v>
      </c>
      <c r="Q111" s="1081"/>
      <c r="S111" s="129">
        <f t="shared" ref="S111:S148" si="66">IF(P111=0,"0.00%",(T111-P111)/P111)</f>
        <v>2.6666666666666668E-2</v>
      </c>
      <c r="T111" s="2">
        <f>ROUND(P111*(LEFT(U111,5)+1),0)</f>
        <v>770</v>
      </c>
      <c r="U111" s="36" t="str">
        <f>TEXT('MYP Assumptions'!H75,"0.00%")&amp;", CPI"</f>
        <v>2.73%, CPI</v>
      </c>
      <c r="W111" s="129">
        <f t="shared" ref="W111:W148" si="67">IF(T111=0,"0.00%",(X111-T111)/T111)</f>
        <v>2.7272727272727271E-2</v>
      </c>
      <c r="X111" s="2">
        <f>ROUND(T111*(LEFT(Y111,5)+1),0)</f>
        <v>791</v>
      </c>
      <c r="Y111" s="36" t="str">
        <f>TEXT('MYP Assumptions'!I75,"0.00%")&amp;", CPI"</f>
        <v>2.73%, CPI</v>
      </c>
      <c r="AA111" s="129">
        <f t="shared" ref="AA111:AA148" si="68">IF(X111=0,"0.00%",(AB111-X111)/X111)</f>
        <v>2.7812895069532238E-2</v>
      </c>
      <c r="AB111" s="2">
        <f>ROUND(X111*(LEFT(AC111,5)+1),0)</f>
        <v>813</v>
      </c>
      <c r="AC111" s="36" t="str">
        <f>TEXT('MYP Assumptions'!J75,"0.00%")&amp;", CPI"</f>
        <v>2.73%, CPI</v>
      </c>
    </row>
    <row r="112" spans="1:29" x14ac:dyDescent="0.25">
      <c r="A112" s="66"/>
      <c r="B112" s="990" t="s">
        <v>482</v>
      </c>
      <c r="C112" s="863" t="s">
        <v>433</v>
      </c>
      <c r="D112" s="2">
        <v>240348.15</v>
      </c>
      <c r="G112" s="83">
        <f t="shared" si="63"/>
        <v>8.46723804614265E-2</v>
      </c>
      <c r="H112" s="2">
        <v>260699</v>
      </c>
      <c r="I112" s="1079"/>
      <c r="K112" s="83">
        <f t="shared" si="64"/>
        <v>3.3498402372084284E-2</v>
      </c>
      <c r="L112" s="2">
        <f t="shared" ref="L112:L121" si="69">ROUND(H112*(LEFT(M112,5)+1),0)</f>
        <v>269432</v>
      </c>
      <c r="M112" s="1081" t="str">
        <f>TEXT('MYP Assumptions'!F75,"0.00%")&amp;", CPI"</f>
        <v>3.35%, CPI</v>
      </c>
      <c r="O112" s="83">
        <f t="shared" si="65"/>
        <v>3.0200570088185517E-2</v>
      </c>
      <c r="P112" s="2">
        <f t="shared" ref="P112:P121" si="70">ROUND(L112*(LEFT(Q112,5)+1),0)</f>
        <v>277569</v>
      </c>
      <c r="Q112" s="1081" t="str">
        <f>TEXT('MYP Assumptions'!G75,"0.00%")&amp;", CPI"</f>
        <v>3.02%, CPI</v>
      </c>
      <c r="S112" s="129">
        <f t="shared" si="66"/>
        <v>2.7301319671865373E-2</v>
      </c>
      <c r="T112" s="2">
        <f t="shared" ref="T112:T122" si="71">ROUND(P112*(LEFT(U112,5)+1),0)</f>
        <v>285147</v>
      </c>
      <c r="U112" s="36" t="str">
        <f>TEXT('MYP Assumptions'!H75,"0.00%")&amp;", CPI"</f>
        <v>2.73%, CPI</v>
      </c>
      <c r="W112" s="129">
        <f t="shared" si="67"/>
        <v>2.7301707540321307E-2</v>
      </c>
      <c r="X112" s="2">
        <f t="shared" ref="X112:X122" si="72">ROUND(T112*(LEFT(Y112,5)+1),0)</f>
        <v>292932</v>
      </c>
      <c r="Y112" s="36" t="str">
        <f>TEXT('MYP Assumptions'!I75,"0.00%")&amp;", CPI"</f>
        <v>2.73%, CPI</v>
      </c>
      <c r="AA112" s="129">
        <f t="shared" si="68"/>
        <v>2.7299851159996176E-2</v>
      </c>
      <c r="AB112" s="2">
        <f t="shared" ref="AB112:AB122" si="73">ROUND(X112*(LEFT(AC112,5)+1),0)</f>
        <v>300929</v>
      </c>
      <c r="AC112" s="36" t="str">
        <f>TEXT('MYP Assumptions'!J75,"0.00%")&amp;", CPI"</f>
        <v>2.73%, CPI</v>
      </c>
    </row>
    <row r="113" spans="1:29" x14ac:dyDescent="0.25">
      <c r="A113" s="66"/>
      <c r="B113" s="990" t="s">
        <v>483</v>
      </c>
      <c r="C113" s="863" t="s">
        <v>487</v>
      </c>
      <c r="D113" s="2">
        <v>274218.65999999997</v>
      </c>
      <c r="G113" s="83">
        <f t="shared" si="63"/>
        <v>-6.4615077617256156E-2</v>
      </c>
      <c r="H113" s="2">
        <v>256500</v>
      </c>
      <c r="K113" s="83">
        <f t="shared" si="64"/>
        <v>3.3500974658869392E-2</v>
      </c>
      <c r="L113" s="2">
        <f t="shared" si="69"/>
        <v>265093</v>
      </c>
      <c r="M113" s="1081" t="str">
        <f>TEXT('MYP Assumptions'!F75,"0.00%")&amp;", CPI"</f>
        <v>3.35%, CPI</v>
      </c>
      <c r="O113" s="83">
        <f t="shared" si="65"/>
        <v>3.0200722010766033E-2</v>
      </c>
      <c r="P113" s="2">
        <f t="shared" si="70"/>
        <v>273099</v>
      </c>
      <c r="Q113" s="1081" t="str">
        <f>TEXT('MYP Assumptions'!G75,"0.00%")&amp;", CPI"</f>
        <v>3.02%, CPI</v>
      </c>
      <c r="S113" s="129">
        <f t="shared" si="66"/>
        <v>2.7301454783796354E-2</v>
      </c>
      <c r="T113" s="2">
        <f t="shared" si="71"/>
        <v>280555</v>
      </c>
      <c r="U113" s="36" t="str">
        <f>TEXT('MYP Assumptions'!H75,"0.00%")&amp;", CPI"</f>
        <v>2.73%, CPI</v>
      </c>
      <c r="W113" s="129">
        <f t="shared" si="67"/>
        <v>2.729945999893069E-2</v>
      </c>
      <c r="X113" s="2">
        <f t="shared" si="72"/>
        <v>288214</v>
      </c>
      <c r="Y113" s="36" t="str">
        <f>TEXT('MYP Assumptions'!I75,"0.00%")&amp;", CPI"</f>
        <v>2.73%, CPI</v>
      </c>
      <c r="AA113" s="129">
        <f t="shared" si="68"/>
        <v>2.7299159652202878E-2</v>
      </c>
      <c r="AB113" s="2">
        <f t="shared" si="73"/>
        <v>296082</v>
      </c>
      <c r="AC113" s="36" t="str">
        <f>TEXT('MYP Assumptions'!J75,"0.00%")&amp;", CPI"</f>
        <v>2.73%, CPI</v>
      </c>
    </row>
    <row r="114" spans="1:29" x14ac:dyDescent="0.25">
      <c r="A114" s="66"/>
      <c r="B114" s="990" t="s">
        <v>484</v>
      </c>
      <c r="C114" s="863" t="s">
        <v>488</v>
      </c>
      <c r="D114" s="2">
        <v>64756.160000000003</v>
      </c>
      <c r="G114" s="83">
        <f t="shared" si="63"/>
        <v>4.0827621650202796E-2</v>
      </c>
      <c r="H114" s="2">
        <v>67400</v>
      </c>
      <c r="K114" s="83">
        <f t="shared" si="64"/>
        <v>3.3501483679525219E-2</v>
      </c>
      <c r="L114" s="2">
        <f>ROUND(H114*(LEFT(M114,5)+1),0)</f>
        <v>69658</v>
      </c>
      <c r="M114" s="1081" t="str">
        <f>TEXT('MYP Assumptions'!F75,"0.00%")&amp;", CPI"</f>
        <v>3.35%, CPI</v>
      </c>
      <c r="O114" s="83">
        <f t="shared" si="65"/>
        <v>3.0204714462086193E-2</v>
      </c>
      <c r="P114" s="2">
        <f t="shared" si="70"/>
        <v>71762</v>
      </c>
      <c r="Q114" s="1081" t="str">
        <f>TEXT('MYP Assumptions'!G75,"0.00%")&amp;", CPI"</f>
        <v>3.02%, CPI</v>
      </c>
      <c r="S114" s="129">
        <f t="shared" si="66"/>
        <v>2.729857027396115E-2</v>
      </c>
      <c r="T114" s="2">
        <f t="shared" si="71"/>
        <v>73721</v>
      </c>
      <c r="U114" s="36" t="str">
        <f>TEXT('MYP Assumptions'!H75,"0.00%")&amp;", CPI"</f>
        <v>2.73%, CPI</v>
      </c>
      <c r="W114" s="129">
        <f t="shared" si="67"/>
        <v>2.7305652392127074E-2</v>
      </c>
      <c r="X114" s="2">
        <f t="shared" si="72"/>
        <v>75734</v>
      </c>
      <c r="Y114" s="36" t="str">
        <f>TEXT('MYP Assumptions'!I75,"0.00%")&amp;", CPI"</f>
        <v>2.73%, CPI</v>
      </c>
      <c r="AA114" s="129">
        <f t="shared" si="68"/>
        <v>2.7306097657591042E-2</v>
      </c>
      <c r="AB114" s="2">
        <f t="shared" si="73"/>
        <v>77802</v>
      </c>
      <c r="AC114" s="36" t="str">
        <f>TEXT('MYP Assumptions'!J75,"0.00%")&amp;", CPI"</f>
        <v>2.73%, CPI</v>
      </c>
    </row>
    <row r="115" spans="1:29" x14ac:dyDescent="0.25">
      <c r="A115" s="66"/>
      <c r="B115" s="990" t="s">
        <v>485</v>
      </c>
      <c r="C115" s="863" t="s">
        <v>489</v>
      </c>
      <c r="D115" s="2">
        <v>792391.93</v>
      </c>
      <c r="G115" s="83">
        <f t="shared" si="63"/>
        <v>-8.6976277004739942E-3</v>
      </c>
      <c r="H115" s="2">
        <v>785500</v>
      </c>
      <c r="K115" s="83">
        <f t="shared" si="64"/>
        <v>0</v>
      </c>
      <c r="L115" s="2">
        <f>+H115</f>
        <v>785500</v>
      </c>
      <c r="M115" s="1081" t="s">
        <v>1015</v>
      </c>
      <c r="O115" s="83">
        <f t="shared" si="65"/>
        <v>0</v>
      </c>
      <c r="P115" s="2">
        <f>+L115</f>
        <v>785500</v>
      </c>
      <c r="Q115" s="1081" t="s">
        <v>1015</v>
      </c>
      <c r="S115" s="129">
        <f t="shared" si="66"/>
        <v>2.7299809038828771E-2</v>
      </c>
      <c r="T115" s="2">
        <f t="shared" si="71"/>
        <v>806944</v>
      </c>
      <c r="U115" s="36" t="str">
        <f>TEXT('MYP Assumptions'!H75,"0.00%")&amp;", CPI"</f>
        <v>2.73%, CPI</v>
      </c>
      <c r="W115" s="129">
        <f t="shared" si="67"/>
        <v>2.7300531387556014E-2</v>
      </c>
      <c r="X115" s="2">
        <f t="shared" si="72"/>
        <v>828974</v>
      </c>
      <c r="Y115" s="36" t="str">
        <f>TEXT('MYP Assumptions'!I75,"0.00%")&amp;", CPI"</f>
        <v>2.73%, CPI</v>
      </c>
      <c r="AA115" s="129">
        <f t="shared" si="68"/>
        <v>2.7300011821842423E-2</v>
      </c>
      <c r="AB115" s="2">
        <f t="shared" si="73"/>
        <v>851605</v>
      </c>
      <c r="AC115" s="36" t="str">
        <f>TEXT('MYP Assumptions'!J75,"0.00%")&amp;", CPI"</f>
        <v>2.73%, CPI</v>
      </c>
    </row>
    <row r="116" spans="1:29" x14ac:dyDescent="0.25">
      <c r="A116" s="66"/>
      <c r="B116" s="990" t="s">
        <v>486</v>
      </c>
      <c r="C116" s="863" t="s">
        <v>490</v>
      </c>
      <c r="D116" s="2">
        <v>108844.66</v>
      </c>
      <c r="G116" s="83">
        <f t="shared" si="63"/>
        <v>-3.3328782505269466E-2</v>
      </c>
      <c r="H116" s="2">
        <v>105217</v>
      </c>
      <c r="K116" s="83">
        <f t="shared" si="64"/>
        <v>3.3502190710626607E-2</v>
      </c>
      <c r="L116" s="2">
        <f t="shared" si="69"/>
        <v>108742</v>
      </c>
      <c r="M116" s="1081" t="str">
        <f>TEXT('MYP Assumptions'!F75,"0.00%")&amp;", CPI"</f>
        <v>3.35%, CPI</v>
      </c>
      <c r="O116" s="83">
        <f t="shared" si="65"/>
        <v>3.0199922752938146E-2</v>
      </c>
      <c r="P116" s="2">
        <f t="shared" si="70"/>
        <v>112026</v>
      </c>
      <c r="Q116" s="1081" t="str">
        <f>TEXT('MYP Assumptions'!G75,"0.00%")&amp;", CPI"</f>
        <v>3.02%, CPI</v>
      </c>
      <c r="S116" s="129">
        <f t="shared" si="66"/>
        <v>2.7297234570546124E-2</v>
      </c>
      <c r="T116" s="2">
        <f t="shared" si="71"/>
        <v>115084</v>
      </c>
      <c r="U116" s="36" t="str">
        <f>TEXT('MYP Assumptions'!H75,"0.00%")&amp;", CPI"</f>
        <v>2.73%, CPI</v>
      </c>
      <c r="W116" s="129">
        <f t="shared" si="67"/>
        <v>2.7301796948316012E-2</v>
      </c>
      <c r="X116" s="2">
        <f t="shared" si="72"/>
        <v>118226</v>
      </c>
      <c r="Y116" s="36" t="str">
        <f>TEXT('MYP Assumptions'!I75,"0.00%")&amp;", CPI"</f>
        <v>2.73%, CPI</v>
      </c>
      <c r="AA116" s="129">
        <f t="shared" si="68"/>
        <v>2.73036387934972E-2</v>
      </c>
      <c r="AB116" s="2">
        <f t="shared" si="73"/>
        <v>121454</v>
      </c>
      <c r="AC116" s="36" t="str">
        <f>TEXT('MYP Assumptions'!J75,"0.00%")&amp;", CPI"</f>
        <v>2.73%, CPI</v>
      </c>
    </row>
    <row r="117" spans="1:29" x14ac:dyDescent="0.25">
      <c r="A117" s="66"/>
      <c r="B117" s="990" t="s">
        <v>494</v>
      </c>
      <c r="C117" s="863" t="s">
        <v>491</v>
      </c>
      <c r="D117" s="2">
        <v>3363.33</v>
      </c>
      <c r="G117" s="83">
        <f>IF(D117=0,"0.00%",(H117-D117)/D117)</f>
        <v>-8.1267672217712777E-2</v>
      </c>
      <c r="H117" s="2">
        <v>3090</v>
      </c>
      <c r="K117" s="83">
        <f t="shared" si="64"/>
        <v>3.3656957928802592E-2</v>
      </c>
      <c r="L117" s="2">
        <f t="shared" si="69"/>
        <v>3194</v>
      </c>
      <c r="M117" s="1081" t="str">
        <f>TEXT('MYP Assumptions'!F75,"0.00%")&amp;", CPI"</f>
        <v>3.35%, CPI</v>
      </c>
      <c r="O117" s="83">
        <f t="shared" si="65"/>
        <v>3.0056355666875392E-2</v>
      </c>
      <c r="P117" s="2">
        <f t="shared" si="70"/>
        <v>3290</v>
      </c>
      <c r="Q117" s="1081" t="str">
        <f>TEXT('MYP Assumptions'!G75,"0.00%")&amp;", CPI"</f>
        <v>3.02%, CPI</v>
      </c>
      <c r="S117" s="129">
        <f t="shared" si="66"/>
        <v>2.7355623100303952E-2</v>
      </c>
      <c r="T117" s="2">
        <f t="shared" si="71"/>
        <v>3380</v>
      </c>
      <c r="U117" s="36" t="str">
        <f>TEXT('MYP Assumptions'!H75,"0.00%")&amp;", CPI"</f>
        <v>2.73%, CPI</v>
      </c>
      <c r="W117" s="129">
        <f t="shared" si="67"/>
        <v>2.7218934911242602E-2</v>
      </c>
      <c r="X117" s="2">
        <f t="shared" si="72"/>
        <v>3472</v>
      </c>
      <c r="Y117" s="36" t="str">
        <f>TEXT('MYP Assumptions'!I75,"0.00%")&amp;", CPI"</f>
        <v>2.73%, CPI</v>
      </c>
      <c r="AA117" s="129">
        <f t="shared" si="68"/>
        <v>2.7361751152073732E-2</v>
      </c>
      <c r="AB117" s="2">
        <f t="shared" si="73"/>
        <v>3567</v>
      </c>
      <c r="AC117" s="36" t="str">
        <f>TEXT('MYP Assumptions'!J75,"0.00%")&amp;", CPI"</f>
        <v>2.73%, CPI</v>
      </c>
    </row>
    <row r="118" spans="1:29" x14ac:dyDescent="0.25">
      <c r="A118" s="66"/>
      <c r="B118" s="990" t="s">
        <v>495</v>
      </c>
      <c r="C118" s="863" t="s">
        <v>492</v>
      </c>
      <c r="D118" s="2">
        <v>38996.32</v>
      </c>
      <c r="G118" s="83">
        <f t="shared" ref="G118:G148" si="74">IF(D118=0,"0.00%",(H118-D118)/D118)</f>
        <v>-0.26659746355553549</v>
      </c>
      <c r="H118" s="2">
        <v>28600</v>
      </c>
      <c r="K118" s="83">
        <f t="shared" si="64"/>
        <v>3.3496503496503495E-2</v>
      </c>
      <c r="L118" s="2">
        <f t="shared" si="69"/>
        <v>29558</v>
      </c>
      <c r="M118" s="1081" t="str">
        <f>TEXT('MYP Assumptions'!F75,"0.00%")&amp;", CPI"</f>
        <v>3.35%, CPI</v>
      </c>
      <c r="O118" s="83">
        <f t="shared" si="65"/>
        <v>3.0211786995060559E-2</v>
      </c>
      <c r="P118" s="2">
        <f t="shared" si="70"/>
        <v>30451</v>
      </c>
      <c r="Q118" s="1081" t="str">
        <f>TEXT('MYP Assumptions'!G75,"0.00%")&amp;", CPI"</f>
        <v>3.02%, CPI</v>
      </c>
      <c r="S118" s="129">
        <f t="shared" si="66"/>
        <v>2.7289744179173098E-2</v>
      </c>
      <c r="T118" s="2">
        <f t="shared" si="71"/>
        <v>31282</v>
      </c>
      <c r="U118" s="36" t="str">
        <f>TEXT('MYP Assumptions'!H75,"0.00%")&amp;", CPI"</f>
        <v>2.73%, CPI</v>
      </c>
      <c r="W118" s="129">
        <f t="shared" si="67"/>
        <v>2.7300044754171728E-2</v>
      </c>
      <c r="X118" s="2">
        <f t="shared" si="72"/>
        <v>32136</v>
      </c>
      <c r="Y118" s="36" t="str">
        <f>TEXT('MYP Assumptions'!I75,"0.00%")&amp;", CPI"</f>
        <v>2.73%, CPI</v>
      </c>
      <c r="AA118" s="129">
        <f t="shared" si="68"/>
        <v>2.7290266367936272E-2</v>
      </c>
      <c r="AB118" s="2">
        <f t="shared" si="73"/>
        <v>33013</v>
      </c>
      <c r="AC118" s="36" t="str">
        <f>TEXT('MYP Assumptions'!J75,"0.00%")&amp;", CPI"</f>
        <v>2.73%, CPI</v>
      </c>
    </row>
    <row r="119" spans="1:29" x14ac:dyDescent="0.25">
      <c r="A119" s="66"/>
      <c r="B119" s="990" t="s">
        <v>496</v>
      </c>
      <c r="C119" s="863" t="s">
        <v>493</v>
      </c>
      <c r="D119" s="2">
        <v>130569.94</v>
      </c>
      <c r="G119" s="83">
        <f t="shared" si="74"/>
        <v>1.0028346493840772</v>
      </c>
      <c r="H119" s="2">
        <v>261510</v>
      </c>
      <c r="K119" s="83">
        <f t="shared" si="64"/>
        <v>3.350158693740201E-2</v>
      </c>
      <c r="L119" s="2">
        <f t="shared" si="69"/>
        <v>270271</v>
      </c>
      <c r="M119" s="1081" t="str">
        <f>TEXT('MYP Assumptions'!F75,"0.00%")&amp;", CPI"</f>
        <v>3.35%, CPI</v>
      </c>
      <c r="O119" s="83">
        <f t="shared" si="65"/>
        <v>3.0199318461840152E-2</v>
      </c>
      <c r="P119" s="2">
        <f t="shared" si="70"/>
        <v>278433</v>
      </c>
      <c r="Q119" s="1081" t="str">
        <f>TEXT('MYP Assumptions'!G75,"0.00%")&amp;", CPI"</f>
        <v>3.02%, CPI</v>
      </c>
      <c r="S119" s="129">
        <f t="shared" si="66"/>
        <v>2.7299206631397857E-2</v>
      </c>
      <c r="T119" s="2">
        <f t="shared" si="71"/>
        <v>286034</v>
      </c>
      <c r="U119" s="36" t="str">
        <f>TEXT('MYP Assumptions'!H75,"0.00%")&amp;", CPI"</f>
        <v>2.73%, CPI</v>
      </c>
      <c r="W119" s="129">
        <f t="shared" si="67"/>
        <v>2.7300950236685148E-2</v>
      </c>
      <c r="X119" s="2">
        <f t="shared" si="72"/>
        <v>293843</v>
      </c>
      <c r="Y119" s="36" t="str">
        <f>TEXT('MYP Assumptions'!I75,"0.00%")&amp;", CPI"</f>
        <v>2.73%, CPI</v>
      </c>
      <c r="AA119" s="129">
        <f t="shared" si="68"/>
        <v>2.7300293013616115E-2</v>
      </c>
      <c r="AB119" s="2">
        <f t="shared" si="73"/>
        <v>301865</v>
      </c>
      <c r="AC119" s="36" t="str">
        <f>TEXT('MYP Assumptions'!J75,"0.00%")&amp;", CPI"</f>
        <v>2.73%, CPI</v>
      </c>
    </row>
    <row r="120" spans="1:29" x14ac:dyDescent="0.25">
      <c r="A120" s="66"/>
      <c r="B120" s="990" t="s">
        <v>497</v>
      </c>
      <c r="C120" s="863" t="s">
        <v>945</v>
      </c>
      <c r="D120" s="2">
        <f>3958.44+131.61</f>
        <v>4090.05</v>
      </c>
      <c r="G120" s="83">
        <f t="shared" si="74"/>
        <v>0.24692852165621443</v>
      </c>
      <c r="H120" s="2">
        <f>4150+950</f>
        <v>5100</v>
      </c>
      <c r="K120" s="83">
        <f t="shared" si="64"/>
        <v>3.3529411764705884E-2</v>
      </c>
      <c r="L120" s="2">
        <f t="shared" si="69"/>
        <v>5271</v>
      </c>
      <c r="M120" s="1081" t="str">
        <f>TEXT('MYP Assumptions'!F75,"0.00%")&amp;", CPI"</f>
        <v>3.35%, CPI</v>
      </c>
      <c r="O120" s="83">
        <f t="shared" si="65"/>
        <v>3.016505406943654E-2</v>
      </c>
      <c r="P120" s="2">
        <f t="shared" si="70"/>
        <v>5430</v>
      </c>
      <c r="Q120" s="1081" t="str">
        <f>TEXT('MYP Assumptions'!G75,"0.00%")&amp;", CPI"</f>
        <v>3.02%, CPI</v>
      </c>
      <c r="S120" s="129">
        <f t="shared" si="66"/>
        <v>2.7255985267034991E-2</v>
      </c>
      <c r="T120" s="2">
        <f t="shared" si="71"/>
        <v>5578</v>
      </c>
      <c r="U120" s="36" t="str">
        <f>TEXT('MYP Assumptions'!H75,"0.00%")&amp;", CPI"</f>
        <v>2.73%, CPI</v>
      </c>
      <c r="W120" s="129">
        <f t="shared" si="67"/>
        <v>2.7249910362136965E-2</v>
      </c>
      <c r="X120" s="2">
        <f t="shared" si="72"/>
        <v>5730</v>
      </c>
      <c r="Y120" s="36" t="str">
        <f>TEXT('MYP Assumptions'!I75,"0.00%")&amp;", CPI"</f>
        <v>2.73%, CPI</v>
      </c>
      <c r="AA120" s="129">
        <f t="shared" si="68"/>
        <v>2.7225130890052355E-2</v>
      </c>
      <c r="AB120" s="2">
        <f t="shared" si="73"/>
        <v>5886</v>
      </c>
      <c r="AC120" s="36" t="str">
        <f>TEXT('MYP Assumptions'!J75,"0.00%")&amp;", CPI"</f>
        <v>2.73%, CPI</v>
      </c>
    </row>
    <row r="121" spans="1:29" x14ac:dyDescent="0.25">
      <c r="A121" s="66"/>
      <c r="B121" s="990" t="s">
        <v>498</v>
      </c>
      <c r="C121" s="863" t="s">
        <v>440</v>
      </c>
      <c r="D121" s="2">
        <v>336.59</v>
      </c>
      <c r="G121" s="83">
        <f t="shared" si="74"/>
        <v>6.4541727324044089</v>
      </c>
      <c r="H121" s="2">
        <v>2509</v>
      </c>
      <c r="K121" s="83">
        <f t="shared" si="64"/>
        <v>3.3479473893981669E-2</v>
      </c>
      <c r="L121" s="2">
        <f t="shared" si="69"/>
        <v>2593</v>
      </c>
      <c r="M121" s="1081" t="str">
        <f>TEXT('MYP Assumptions'!F75,"0.00%")&amp;", CPI"</f>
        <v>3.35%, CPI</v>
      </c>
      <c r="O121" s="83">
        <f t="shared" si="65"/>
        <v>3.008098727342846E-2</v>
      </c>
      <c r="P121" s="2">
        <f t="shared" si="70"/>
        <v>2671</v>
      </c>
      <c r="Q121" s="1081" t="str">
        <f>TEXT('MYP Assumptions'!G75,"0.00%")&amp;", CPI"</f>
        <v>3.02%, CPI</v>
      </c>
      <c r="S121" s="129">
        <f t="shared" si="66"/>
        <v>2.7330587794833397E-2</v>
      </c>
      <c r="T121" s="2">
        <f t="shared" si="71"/>
        <v>2744</v>
      </c>
      <c r="U121" s="36" t="str">
        <f>TEXT('MYP Assumptions'!H75,"0.00%")&amp;", CPI"</f>
        <v>2.73%, CPI</v>
      </c>
      <c r="W121" s="129">
        <f t="shared" si="67"/>
        <v>2.7332361516034985E-2</v>
      </c>
      <c r="X121" s="2">
        <f t="shared" si="72"/>
        <v>2819</v>
      </c>
      <c r="Y121" s="36" t="str">
        <f>TEXT('MYP Assumptions'!I75,"0.00%")&amp;", CPI"</f>
        <v>2.73%, CPI</v>
      </c>
      <c r="AA121" s="129">
        <f t="shared" si="68"/>
        <v>2.7314650585313942E-2</v>
      </c>
      <c r="AB121" s="2">
        <f t="shared" si="73"/>
        <v>2896</v>
      </c>
      <c r="AC121" s="36" t="str">
        <f>TEXT('MYP Assumptions'!J75,"0.00%")&amp;", CPI"</f>
        <v>2.73%, CPI</v>
      </c>
    </row>
    <row r="122" spans="1:29" x14ac:dyDescent="0.25">
      <c r="A122" s="66"/>
      <c r="B122" s="990" t="s">
        <v>128</v>
      </c>
      <c r="C122" s="863" t="s">
        <v>129</v>
      </c>
      <c r="D122" s="390">
        <v>3903.07</v>
      </c>
      <c r="G122" s="83">
        <f t="shared" si="74"/>
        <v>0.50240707955532438</v>
      </c>
      <c r="H122" s="2">
        <v>5864</v>
      </c>
      <c r="K122" s="83">
        <f t="shared" si="64"/>
        <v>3.3424283765347888E-2</v>
      </c>
      <c r="L122" s="2">
        <f>ROUND(H122*(LEFT($M$122,5)+1),0)</f>
        <v>6060</v>
      </c>
      <c r="M122" s="1081" t="str">
        <f>TEXT('MYP Assumptions'!$F$75,"0.00%")&amp;", CPI"</f>
        <v>3.35%, CPI</v>
      </c>
      <c r="O122" s="83">
        <f t="shared" si="65"/>
        <v>3.0198019801980197E-2</v>
      </c>
      <c r="P122" s="2">
        <f>ROUND(L122*(LEFT($Q$122,5)+1),0)</f>
        <v>6243</v>
      </c>
      <c r="Q122" s="1081" t="str">
        <f>TEXT('MYP Assumptions'!$G$75,"0.00%")&amp;", CPI"</f>
        <v>3.02%, CPI</v>
      </c>
      <c r="S122" s="129">
        <f t="shared" si="66"/>
        <v>2.7230498157936888E-2</v>
      </c>
      <c r="T122" s="2">
        <f t="shared" si="71"/>
        <v>6413</v>
      </c>
      <c r="U122" s="36" t="str">
        <f>TEXT('MYP Assumptions'!H75,"0.00%")&amp;", CPI"</f>
        <v>2.73%, CPI</v>
      </c>
      <c r="W122" s="129">
        <f t="shared" si="67"/>
        <v>2.7288320598783722E-2</v>
      </c>
      <c r="X122" s="2">
        <f t="shared" si="72"/>
        <v>6588</v>
      </c>
      <c r="Y122" s="36" t="str">
        <f>TEXT('MYP Assumptions'!I75,"0.00%")&amp;", CPI"</f>
        <v>2.73%, CPI</v>
      </c>
      <c r="AA122" s="129">
        <f t="shared" si="68"/>
        <v>2.7322404371584699E-2</v>
      </c>
      <c r="AB122" s="2">
        <f t="shared" si="73"/>
        <v>6768</v>
      </c>
      <c r="AC122" s="36" t="str">
        <f>TEXT('MYP Assumptions'!J75,"0.00%")&amp;", CPI"</f>
        <v>2.73%, CPI</v>
      </c>
    </row>
    <row r="123" spans="1:29" x14ac:dyDescent="0.25">
      <c r="A123" s="66"/>
      <c r="B123" s="990" t="s">
        <v>499</v>
      </c>
      <c r="C123" s="863" t="s">
        <v>514</v>
      </c>
      <c r="D123" s="390">
        <v>-144.68</v>
      </c>
      <c r="G123" s="83">
        <f t="shared" ref="G123:G141" si="75">IF(D123=0,"0.00%",(H123-D123)/D123)</f>
        <v>-0.58529167818634231</v>
      </c>
      <c r="H123" s="2">
        <v>-60</v>
      </c>
      <c r="K123" s="83">
        <f t="shared" ref="K123:K141" si="76">IF(H123=0,"0.00%",(L123-H123)/H123)</f>
        <v>0</v>
      </c>
      <c r="L123" s="2">
        <f>+H123</f>
        <v>-60</v>
      </c>
      <c r="M123" s="1081" t="s">
        <v>174</v>
      </c>
      <c r="O123" s="83">
        <f t="shared" ref="O123:O141" si="77">IF(L123=0,"0.00%",(P123-L123)/L123)</f>
        <v>0</v>
      </c>
      <c r="P123" s="2">
        <f>+L123</f>
        <v>-60</v>
      </c>
      <c r="Q123" s="1081" t="s">
        <v>174</v>
      </c>
      <c r="S123" s="129"/>
      <c r="U123" s="36"/>
      <c r="W123" s="129"/>
      <c r="Y123" s="36"/>
      <c r="AA123" s="129"/>
      <c r="AC123" s="36"/>
    </row>
    <row r="124" spans="1:29" x14ac:dyDescent="0.25">
      <c r="A124" s="66"/>
      <c r="B124" s="990" t="s">
        <v>11</v>
      </c>
      <c r="C124" s="863" t="s">
        <v>424</v>
      </c>
      <c r="D124" s="390">
        <v>3199.9</v>
      </c>
      <c r="G124" s="83">
        <f t="shared" si="75"/>
        <v>-1</v>
      </c>
      <c r="H124" s="2">
        <v>0</v>
      </c>
      <c r="K124" s="83" t="str">
        <f t="shared" si="76"/>
        <v>0.00%</v>
      </c>
      <c r="L124" s="2">
        <f t="shared" ref="L124:L137" si="78">ROUND(H124*(LEFT($M$122,5)+1),0)</f>
        <v>0</v>
      </c>
      <c r="M124" s="1081" t="str">
        <f>TEXT('MYP Assumptions'!$F$75,"0.00%")&amp;", CPI"</f>
        <v>3.35%, CPI</v>
      </c>
      <c r="O124" s="83" t="str">
        <f t="shared" si="77"/>
        <v>0.00%</v>
      </c>
      <c r="P124" s="2">
        <f t="shared" ref="P124:P137" si="79">ROUND(L124*(LEFT($Q$122,5)+1),0)</f>
        <v>0</v>
      </c>
      <c r="Q124" s="1081" t="str">
        <f>TEXT('MYP Assumptions'!$G$75,"0.00%")&amp;", CPI"</f>
        <v>3.02%, CPI</v>
      </c>
      <c r="S124" s="129"/>
      <c r="U124" s="36"/>
      <c r="W124" s="129"/>
      <c r="Y124" s="36"/>
      <c r="AA124" s="129"/>
      <c r="AC124" s="36"/>
    </row>
    <row r="125" spans="1:29" x14ac:dyDescent="0.25">
      <c r="A125" s="66"/>
      <c r="B125" s="990" t="s">
        <v>120</v>
      </c>
      <c r="C125" s="863" t="s">
        <v>425</v>
      </c>
      <c r="D125" s="390">
        <v>1013.05</v>
      </c>
      <c r="G125" s="83">
        <f t="shared" si="75"/>
        <v>-0.17773061546814073</v>
      </c>
      <c r="H125" s="2">
        <v>833</v>
      </c>
      <c r="K125" s="83">
        <f t="shared" si="76"/>
        <v>3.3613445378151259E-2</v>
      </c>
      <c r="L125" s="2">
        <f t="shared" si="78"/>
        <v>861</v>
      </c>
      <c r="M125" s="1081" t="str">
        <f>TEXT('MYP Assumptions'!$F$75,"0.00%")&amp;", CPI"</f>
        <v>3.35%, CPI</v>
      </c>
      <c r="O125" s="83">
        <f t="shared" si="77"/>
        <v>3.0197444831591175E-2</v>
      </c>
      <c r="P125" s="2">
        <f t="shared" si="79"/>
        <v>887</v>
      </c>
      <c r="Q125" s="1081" t="str">
        <f>TEXT('MYP Assumptions'!$G$75,"0.00%")&amp;", CPI"</f>
        <v>3.02%, CPI</v>
      </c>
      <c r="S125" s="129"/>
      <c r="U125" s="36"/>
      <c r="W125" s="129"/>
      <c r="Y125" s="36"/>
      <c r="AA125" s="129"/>
      <c r="AC125" s="36"/>
    </row>
    <row r="126" spans="1:29" x14ac:dyDescent="0.25">
      <c r="A126" s="66"/>
      <c r="B126" s="990" t="s">
        <v>500</v>
      </c>
      <c r="C126" s="863" t="s">
        <v>515</v>
      </c>
      <c r="D126" s="390">
        <v>-12000</v>
      </c>
      <c r="G126" s="83">
        <f t="shared" si="75"/>
        <v>0</v>
      </c>
      <c r="H126" s="2">
        <v>-12000</v>
      </c>
      <c r="K126" s="83">
        <f t="shared" si="76"/>
        <v>3.3500000000000002E-2</v>
      </c>
      <c r="L126" s="2">
        <f t="shared" si="78"/>
        <v>-12402</v>
      </c>
      <c r="M126" s="1081" t="str">
        <f>TEXT('MYP Assumptions'!$F$75,"0.00%")&amp;", CPI"</f>
        <v>3.35%, CPI</v>
      </c>
      <c r="O126" s="83">
        <f t="shared" si="77"/>
        <v>3.023705853894533E-2</v>
      </c>
      <c r="P126" s="2">
        <f t="shared" si="79"/>
        <v>-12777</v>
      </c>
      <c r="Q126" s="1081" t="str">
        <f>TEXT('MYP Assumptions'!$G$75,"0.00%")&amp;", CPI"</f>
        <v>3.02%, CPI</v>
      </c>
      <c r="S126" s="129"/>
      <c r="U126" s="36"/>
      <c r="W126" s="129"/>
      <c r="Y126" s="36"/>
      <c r="AA126" s="129"/>
      <c r="AC126" s="36"/>
    </row>
    <row r="127" spans="1:29" x14ac:dyDescent="0.25">
      <c r="A127" s="66"/>
      <c r="B127" s="990" t="s">
        <v>501</v>
      </c>
      <c r="C127" s="863" t="s">
        <v>516</v>
      </c>
      <c r="D127" s="390">
        <v>-3129.75</v>
      </c>
      <c r="G127" s="83">
        <f t="shared" si="75"/>
        <v>0.11830018372074447</v>
      </c>
      <c r="H127" s="2">
        <v>-3500</v>
      </c>
      <c r="K127" s="83">
        <f t="shared" si="76"/>
        <v>3.3428571428571426E-2</v>
      </c>
      <c r="L127" s="2">
        <f t="shared" si="78"/>
        <v>-3617</v>
      </c>
      <c r="M127" s="1081" t="str">
        <f>TEXT('MYP Assumptions'!$F$75,"0.00%")&amp;", CPI"</f>
        <v>3.35%, CPI</v>
      </c>
      <c r="O127" s="83">
        <f t="shared" si="77"/>
        <v>3.0135471385125796E-2</v>
      </c>
      <c r="P127" s="2">
        <f t="shared" si="79"/>
        <v>-3726</v>
      </c>
      <c r="Q127" s="1081" t="str">
        <f>TEXT('MYP Assumptions'!$G$75,"0.00%")&amp;", CPI"</f>
        <v>3.02%, CPI</v>
      </c>
      <c r="S127" s="129"/>
      <c r="U127" s="36"/>
      <c r="W127" s="129"/>
      <c r="Y127" s="36"/>
      <c r="AA127" s="129"/>
      <c r="AC127" s="36"/>
    </row>
    <row r="128" spans="1:29" x14ac:dyDescent="0.25">
      <c r="A128" s="66"/>
      <c r="B128" s="990" t="s">
        <v>502</v>
      </c>
      <c r="C128" s="863" t="s">
        <v>517</v>
      </c>
      <c r="D128" s="390">
        <v>4669.21</v>
      </c>
      <c r="G128" s="83">
        <f t="shared" si="75"/>
        <v>7.0844960924867362E-2</v>
      </c>
      <c r="H128" s="2">
        <v>5000</v>
      </c>
      <c r="K128" s="83">
        <f t="shared" si="76"/>
        <v>3.3599999999999998E-2</v>
      </c>
      <c r="L128" s="2">
        <f t="shared" si="78"/>
        <v>5168</v>
      </c>
      <c r="M128" s="1081" t="str">
        <f>TEXT('MYP Assumptions'!$F$75,"0.00%")&amp;", CPI"</f>
        <v>3.35%, CPI</v>
      </c>
      <c r="O128" s="83">
        <f t="shared" si="77"/>
        <v>3.018575851393189E-2</v>
      </c>
      <c r="P128" s="2">
        <f t="shared" si="79"/>
        <v>5324</v>
      </c>
      <c r="Q128" s="1081" t="str">
        <f>TEXT('MYP Assumptions'!$G$75,"0.00%")&amp;", CPI"</f>
        <v>3.02%, CPI</v>
      </c>
      <c r="S128" s="129"/>
      <c r="U128" s="36"/>
      <c r="W128" s="129"/>
      <c r="Y128" s="36"/>
      <c r="AA128" s="129"/>
      <c r="AC128" s="36"/>
    </row>
    <row r="129" spans="1:29" x14ac:dyDescent="0.25">
      <c r="A129" s="66"/>
      <c r="B129" s="990" t="s">
        <v>503</v>
      </c>
      <c r="C129" s="863" t="s">
        <v>518</v>
      </c>
      <c r="D129" s="390">
        <v>113572.03</v>
      </c>
      <c r="G129" s="83">
        <f t="shared" si="75"/>
        <v>0.14464802645510519</v>
      </c>
      <c r="H129" s="2">
        <v>130000</v>
      </c>
      <c r="K129" s="83">
        <f t="shared" si="76"/>
        <v>0</v>
      </c>
      <c r="L129" s="2">
        <f>+H129</f>
        <v>130000</v>
      </c>
      <c r="M129" s="1081"/>
      <c r="O129" s="83">
        <f t="shared" si="77"/>
        <v>0</v>
      </c>
      <c r="P129" s="2">
        <f>+L129</f>
        <v>130000</v>
      </c>
      <c r="Q129" s="1081"/>
      <c r="S129" s="129"/>
      <c r="U129" s="36"/>
      <c r="W129" s="129"/>
      <c r="Y129" s="36"/>
      <c r="AA129" s="129"/>
      <c r="AC129" s="36"/>
    </row>
    <row r="130" spans="1:29" x14ac:dyDescent="0.25">
      <c r="A130" s="66"/>
      <c r="B130" s="990" t="s">
        <v>504</v>
      </c>
      <c r="C130" s="863" t="s">
        <v>519</v>
      </c>
      <c r="D130" s="390">
        <v>16527.5</v>
      </c>
      <c r="G130" s="83">
        <f t="shared" si="75"/>
        <v>0.7289366207835426</v>
      </c>
      <c r="H130" s="2">
        <v>28575</v>
      </c>
      <c r="K130" s="83">
        <f t="shared" si="76"/>
        <v>3.3490813648293961E-2</v>
      </c>
      <c r="L130" s="2">
        <f t="shared" ref="L130" si="80">ROUND(H130*(LEFT($M$122,5)+1),0)</f>
        <v>29532</v>
      </c>
      <c r="M130" s="1081" t="str">
        <f>TEXT('MYP Assumptions'!$F$75,"0.00%")&amp;", CPI"</f>
        <v>3.35%, CPI</v>
      </c>
      <c r="O130" s="83">
        <f t="shared" si="77"/>
        <v>3.0204523906271163E-2</v>
      </c>
      <c r="P130" s="2">
        <f t="shared" ref="P130" si="81">ROUND(L130*(LEFT($Q$122,5)+1),0)</f>
        <v>30424</v>
      </c>
      <c r="Q130" s="1081" t="str">
        <f>TEXT('MYP Assumptions'!$G$75,"0.00%")&amp;", CPI"</f>
        <v>3.02%, CPI</v>
      </c>
      <c r="S130" s="129"/>
      <c r="U130" s="36"/>
      <c r="W130" s="129"/>
      <c r="Y130" s="36"/>
      <c r="AA130" s="129"/>
      <c r="AC130" s="36"/>
    </row>
    <row r="131" spans="1:29" x14ac:dyDescent="0.25">
      <c r="A131" s="66"/>
      <c r="B131" s="990" t="s">
        <v>126</v>
      </c>
      <c r="C131" s="863" t="s">
        <v>520</v>
      </c>
      <c r="D131" s="390">
        <v>485</v>
      </c>
      <c r="G131" s="83">
        <f t="shared" si="75"/>
        <v>-1</v>
      </c>
      <c r="H131" s="2">
        <v>0</v>
      </c>
      <c r="K131" s="83" t="str">
        <f t="shared" si="76"/>
        <v>0.00%</v>
      </c>
      <c r="L131" s="2">
        <f t="shared" si="78"/>
        <v>0</v>
      </c>
      <c r="M131" s="1081"/>
      <c r="O131" s="83" t="str">
        <f t="shared" si="77"/>
        <v>0.00%</v>
      </c>
      <c r="P131" s="2">
        <f t="shared" si="79"/>
        <v>0</v>
      </c>
      <c r="Q131" s="1081"/>
      <c r="S131" s="129"/>
      <c r="U131" s="36"/>
      <c r="W131" s="129"/>
      <c r="Y131" s="36"/>
      <c r="AA131" s="129"/>
      <c r="AC131" s="36"/>
    </row>
    <row r="132" spans="1:29" x14ac:dyDescent="0.25">
      <c r="A132" s="66"/>
      <c r="B132" s="990" t="s">
        <v>9</v>
      </c>
      <c r="C132" s="863" t="s">
        <v>8</v>
      </c>
      <c r="D132" s="390">
        <v>3660</v>
      </c>
      <c r="G132" s="83">
        <f t="shared" si="75"/>
        <v>23.313934426229508</v>
      </c>
      <c r="H132" s="2">
        <v>88989</v>
      </c>
      <c r="K132" s="83">
        <f t="shared" si="76"/>
        <v>-0.95617435862859457</v>
      </c>
      <c r="L132" s="2">
        <v>3900</v>
      </c>
      <c r="M132" s="1081"/>
      <c r="O132" s="83">
        <f t="shared" si="77"/>
        <v>0</v>
      </c>
      <c r="P132" s="2">
        <f>+L132</f>
        <v>3900</v>
      </c>
      <c r="Q132" s="1081"/>
      <c r="S132" s="129"/>
      <c r="U132" s="36"/>
      <c r="W132" s="129"/>
      <c r="Y132" s="36"/>
      <c r="AA132" s="129"/>
      <c r="AC132" s="36"/>
    </row>
    <row r="133" spans="1:29" x14ac:dyDescent="0.25">
      <c r="A133" s="66"/>
      <c r="B133" s="990" t="s">
        <v>122</v>
      </c>
      <c r="C133" s="863" t="s">
        <v>123</v>
      </c>
      <c r="D133" s="390">
        <v>39733.57</v>
      </c>
      <c r="G133" s="83">
        <f t="shared" si="75"/>
        <v>-0.12253039432399353</v>
      </c>
      <c r="H133" s="2">
        <v>34865</v>
      </c>
      <c r="K133" s="83">
        <f t="shared" si="76"/>
        <v>-0.13953821884411302</v>
      </c>
      <c r="L133" s="2">
        <v>30000</v>
      </c>
      <c r="M133" s="1081"/>
      <c r="O133" s="83">
        <f t="shared" si="77"/>
        <v>0</v>
      </c>
      <c r="P133" s="2">
        <f>+L133</f>
        <v>30000</v>
      </c>
      <c r="Q133" s="1081"/>
      <c r="S133" s="129"/>
      <c r="U133" s="36"/>
      <c r="W133" s="129"/>
      <c r="Y133" s="36"/>
      <c r="AA133" s="129"/>
      <c r="AC133" s="36"/>
    </row>
    <row r="134" spans="1:29" x14ac:dyDescent="0.25">
      <c r="A134" s="66"/>
      <c r="B134" s="990" t="s">
        <v>505</v>
      </c>
      <c r="C134" s="863" t="s">
        <v>426</v>
      </c>
      <c r="D134" s="390">
        <v>5356.95</v>
      </c>
      <c r="G134" s="83">
        <f t="shared" si="75"/>
        <v>-6.6633065457023091E-2</v>
      </c>
      <c r="H134" s="2">
        <v>5000</v>
      </c>
      <c r="K134" s="83">
        <f t="shared" si="76"/>
        <v>0</v>
      </c>
      <c r="L134" s="2">
        <f>+H134</f>
        <v>5000</v>
      </c>
      <c r="M134" s="1081"/>
      <c r="O134" s="83">
        <f t="shared" si="77"/>
        <v>0</v>
      </c>
      <c r="P134" s="2">
        <f>+L134</f>
        <v>5000</v>
      </c>
      <c r="Q134" s="1081"/>
      <c r="S134" s="129"/>
      <c r="U134" s="36"/>
      <c r="W134" s="129"/>
      <c r="Y134" s="36"/>
      <c r="AA134" s="129"/>
      <c r="AC134" s="36"/>
    </row>
    <row r="135" spans="1:29" x14ac:dyDescent="0.25">
      <c r="A135" s="66"/>
      <c r="B135" s="990" t="s">
        <v>7</v>
      </c>
      <c r="C135" s="863" t="s">
        <v>6</v>
      </c>
      <c r="D135" s="390">
        <v>113210.67</v>
      </c>
      <c r="G135" s="83">
        <f t="shared" si="75"/>
        <v>-8.1535335847760626E-2</v>
      </c>
      <c r="H135" s="2">
        <v>103980</v>
      </c>
      <c r="K135" s="83">
        <f t="shared" si="76"/>
        <v>-8.6362762069628771E-2</v>
      </c>
      <c r="L135" s="2">
        <v>95000</v>
      </c>
      <c r="M135" s="1081"/>
      <c r="O135" s="83">
        <f t="shared" si="77"/>
        <v>0</v>
      </c>
      <c r="P135" s="2">
        <f>+L135</f>
        <v>95000</v>
      </c>
      <c r="Q135" s="1081"/>
      <c r="S135" s="129"/>
      <c r="U135" s="36"/>
      <c r="W135" s="129"/>
      <c r="Y135" s="36"/>
      <c r="AA135" s="129"/>
      <c r="AC135" s="36"/>
    </row>
    <row r="136" spans="1:29" x14ac:dyDescent="0.25">
      <c r="A136" s="66"/>
      <c r="B136" s="990" t="s">
        <v>5</v>
      </c>
      <c r="C136" s="863" t="s">
        <v>4</v>
      </c>
      <c r="D136" s="390">
        <v>87478.34</v>
      </c>
      <c r="G136" s="83">
        <f t="shared" si="75"/>
        <v>7.6129245250881578E-2</v>
      </c>
      <c r="H136" s="2">
        <v>94138</v>
      </c>
      <c r="K136" s="83">
        <f t="shared" si="76"/>
        <v>-0.20329728696169452</v>
      </c>
      <c r="L136" s="2">
        <v>75000</v>
      </c>
      <c r="M136" s="1081"/>
      <c r="O136" s="83">
        <f t="shared" si="77"/>
        <v>0</v>
      </c>
      <c r="P136" s="2">
        <f>+L136</f>
        <v>75000</v>
      </c>
      <c r="Q136" s="1081"/>
      <c r="S136" s="129"/>
      <c r="U136" s="36"/>
      <c r="W136" s="129"/>
      <c r="Y136" s="36"/>
      <c r="AA136" s="129"/>
      <c r="AC136" s="36"/>
    </row>
    <row r="137" spans="1:29" x14ac:dyDescent="0.25">
      <c r="A137" s="66"/>
      <c r="B137" s="990">
        <v>5817</v>
      </c>
      <c r="C137" s="863" t="s">
        <v>265</v>
      </c>
      <c r="D137" s="390">
        <v>2476.9</v>
      </c>
      <c r="G137" s="83">
        <f t="shared" si="75"/>
        <v>-1</v>
      </c>
      <c r="H137" s="2">
        <v>0</v>
      </c>
      <c r="K137" s="83" t="str">
        <f t="shared" si="76"/>
        <v>0.00%</v>
      </c>
      <c r="L137" s="2">
        <f t="shared" si="78"/>
        <v>0</v>
      </c>
      <c r="M137" s="1081"/>
      <c r="O137" s="83" t="str">
        <f t="shared" si="77"/>
        <v>0.00%</v>
      </c>
      <c r="P137" s="2">
        <f t="shared" si="79"/>
        <v>0</v>
      </c>
      <c r="Q137" s="1081"/>
      <c r="S137" s="129"/>
      <c r="U137" s="36"/>
      <c r="W137" s="129"/>
      <c r="Y137" s="36"/>
      <c r="AA137" s="129"/>
      <c r="AC137" s="36"/>
    </row>
    <row r="138" spans="1:29" x14ac:dyDescent="0.25">
      <c r="A138" s="66"/>
      <c r="B138" s="990" t="s">
        <v>506</v>
      </c>
      <c r="C138" s="863" t="s">
        <v>521</v>
      </c>
      <c r="D138" s="390">
        <v>507.96</v>
      </c>
      <c r="G138" s="83">
        <f t="shared" si="75"/>
        <v>3.1577289550358337E-2</v>
      </c>
      <c r="H138" s="2">
        <v>524</v>
      </c>
      <c r="K138" s="83">
        <f t="shared" si="76"/>
        <v>-4.5801526717557252E-2</v>
      </c>
      <c r="L138" s="2">
        <v>500</v>
      </c>
      <c r="M138" s="1081"/>
      <c r="O138" s="83">
        <f t="shared" si="77"/>
        <v>0</v>
      </c>
      <c r="P138" s="2">
        <f>+L138</f>
        <v>500</v>
      </c>
      <c r="Q138" s="1081"/>
      <c r="S138" s="129"/>
      <c r="U138" s="36"/>
      <c r="W138" s="129"/>
      <c r="Y138" s="36"/>
      <c r="AA138" s="129"/>
      <c r="AC138" s="36"/>
    </row>
    <row r="139" spans="1:29" x14ac:dyDescent="0.25">
      <c r="A139" s="66"/>
      <c r="B139" s="990" t="s">
        <v>507</v>
      </c>
      <c r="C139" s="863" t="s">
        <v>522</v>
      </c>
      <c r="D139" s="390">
        <v>22750</v>
      </c>
      <c r="G139" s="83">
        <f t="shared" si="75"/>
        <v>-0.56043956043956045</v>
      </c>
      <c r="H139" s="2">
        <v>10000</v>
      </c>
      <c r="K139" s="83">
        <f t="shared" si="76"/>
        <v>0</v>
      </c>
      <c r="L139" s="2">
        <f>+H139</f>
        <v>10000</v>
      </c>
      <c r="M139" s="1081"/>
      <c r="O139" s="83">
        <f t="shared" si="77"/>
        <v>0</v>
      </c>
      <c r="P139" s="2">
        <f>+L139</f>
        <v>10000</v>
      </c>
      <c r="Q139" s="1081"/>
      <c r="S139" s="129"/>
      <c r="U139" s="36"/>
      <c r="W139" s="129"/>
      <c r="Y139" s="36"/>
      <c r="AA139" s="129"/>
      <c r="AC139" s="36"/>
    </row>
    <row r="140" spans="1:29" x14ac:dyDescent="0.25">
      <c r="A140" s="66"/>
      <c r="B140" s="990" t="s">
        <v>508</v>
      </c>
      <c r="C140" s="863" t="s">
        <v>523</v>
      </c>
      <c r="D140" s="390">
        <v>94304.03</v>
      </c>
      <c r="G140" s="83">
        <f t="shared" si="75"/>
        <v>-0.68187997904225306</v>
      </c>
      <c r="H140" s="2">
        <v>30000</v>
      </c>
      <c r="K140" s="83">
        <f t="shared" si="76"/>
        <v>0</v>
      </c>
      <c r="L140" s="2">
        <f>+H140</f>
        <v>30000</v>
      </c>
      <c r="M140" s="1081"/>
      <c r="O140" s="83">
        <f t="shared" si="77"/>
        <v>0</v>
      </c>
      <c r="P140" s="2">
        <f>+L140</f>
        <v>30000</v>
      </c>
      <c r="Q140" s="1081"/>
      <c r="S140" s="129"/>
      <c r="U140" s="36"/>
      <c r="W140" s="129"/>
      <c r="Y140" s="36"/>
      <c r="AA140" s="129"/>
      <c r="AC140" s="36"/>
    </row>
    <row r="141" spans="1:29" x14ac:dyDescent="0.25">
      <c r="A141" s="66"/>
      <c r="B141" s="990" t="s">
        <v>509</v>
      </c>
      <c r="C141" s="863" t="s">
        <v>524</v>
      </c>
      <c r="D141" s="390">
        <v>10040</v>
      </c>
      <c r="G141" s="83">
        <f t="shared" si="75"/>
        <v>-3.047808764940239E-2</v>
      </c>
      <c r="H141" s="2">
        <v>9734</v>
      </c>
      <c r="K141" s="83">
        <f t="shared" si="76"/>
        <v>0</v>
      </c>
      <c r="L141" s="2">
        <f>+H141</f>
        <v>9734</v>
      </c>
      <c r="M141" s="1081"/>
      <c r="O141" s="83">
        <f t="shared" si="77"/>
        <v>0</v>
      </c>
      <c r="P141" s="2">
        <f>+L141</f>
        <v>9734</v>
      </c>
      <c r="Q141" s="1081"/>
      <c r="S141" s="129"/>
      <c r="U141" s="36"/>
      <c r="W141" s="129"/>
      <c r="Y141" s="36"/>
      <c r="AA141" s="129"/>
      <c r="AC141" s="36"/>
    </row>
    <row r="142" spans="1:29" x14ac:dyDescent="0.25">
      <c r="A142" s="66"/>
      <c r="B142" s="990" t="s">
        <v>510</v>
      </c>
      <c r="C142" s="863" t="s">
        <v>525</v>
      </c>
      <c r="D142" s="390">
        <v>20428.04</v>
      </c>
      <c r="G142" s="83">
        <f t="shared" ref="G142:G146" si="82">IF(D142=0,"0.00%",(H142-D142)/D142)</f>
        <v>-0.15351644112699997</v>
      </c>
      <c r="H142" s="2">
        <v>17292</v>
      </c>
      <c r="K142" s="83">
        <f t="shared" ref="K142:K147" si="83">IF(H142=0,"0.00%",(L142-H142)/H142)</f>
        <v>0</v>
      </c>
      <c r="L142" s="2">
        <f t="shared" ref="L142:L145" si="84">+H142</f>
        <v>17292</v>
      </c>
      <c r="M142" s="1081"/>
      <c r="O142" s="83">
        <f t="shared" ref="O142:O147" si="85">IF(L142=0,"0.00%",(P142-L142)/L142)</f>
        <v>0</v>
      </c>
      <c r="P142" s="2">
        <f t="shared" ref="P142:P146" si="86">+L142</f>
        <v>17292</v>
      </c>
      <c r="Q142" s="1081"/>
      <c r="S142" s="129"/>
      <c r="U142" s="36"/>
      <c r="W142" s="129"/>
      <c r="Y142" s="36"/>
      <c r="AA142" s="129"/>
      <c r="AC142" s="36"/>
    </row>
    <row r="143" spans="1:29" x14ac:dyDescent="0.25">
      <c r="A143" s="66"/>
      <c r="B143" s="990" t="s">
        <v>511</v>
      </c>
      <c r="C143" s="863" t="s">
        <v>526</v>
      </c>
      <c r="D143" s="390">
        <v>10000</v>
      </c>
      <c r="G143" s="83">
        <f t="shared" si="82"/>
        <v>0</v>
      </c>
      <c r="H143" s="2">
        <v>10000</v>
      </c>
      <c r="K143" s="83">
        <f t="shared" si="83"/>
        <v>0</v>
      </c>
      <c r="L143" s="2">
        <f t="shared" si="84"/>
        <v>10000</v>
      </c>
      <c r="M143" s="1081"/>
      <c r="O143" s="83">
        <f t="shared" si="85"/>
        <v>0</v>
      </c>
      <c r="P143" s="2">
        <f t="shared" si="86"/>
        <v>10000</v>
      </c>
      <c r="Q143" s="1081"/>
      <c r="S143" s="129"/>
      <c r="U143" s="36"/>
      <c r="W143" s="129"/>
      <c r="Y143" s="36"/>
      <c r="AA143" s="129"/>
      <c r="AC143" s="36"/>
    </row>
    <row r="144" spans="1:29" x14ac:dyDescent="0.25">
      <c r="A144" s="66"/>
      <c r="B144" s="990" t="s">
        <v>512</v>
      </c>
      <c r="C144" s="863" t="s">
        <v>527</v>
      </c>
      <c r="D144" s="390">
        <v>83949</v>
      </c>
      <c r="G144" s="83">
        <f t="shared" si="82"/>
        <v>6.1108530179037272E-2</v>
      </c>
      <c r="H144" s="2">
        <v>89079</v>
      </c>
      <c r="K144" s="83">
        <f t="shared" si="83"/>
        <v>0</v>
      </c>
      <c r="L144" s="2">
        <f t="shared" si="84"/>
        <v>89079</v>
      </c>
      <c r="M144" s="1081"/>
      <c r="O144" s="83">
        <f t="shared" si="85"/>
        <v>0</v>
      </c>
      <c r="P144" s="2">
        <f t="shared" si="86"/>
        <v>89079</v>
      </c>
      <c r="Q144" s="1081"/>
      <c r="S144" s="129"/>
      <c r="U144" s="36"/>
      <c r="W144" s="129"/>
      <c r="Y144" s="36"/>
      <c r="AA144" s="129"/>
      <c r="AC144" s="36"/>
    </row>
    <row r="145" spans="1:29" x14ac:dyDescent="0.25">
      <c r="A145" s="66"/>
      <c r="B145" s="990" t="s">
        <v>513</v>
      </c>
      <c r="C145" s="863" t="s">
        <v>528</v>
      </c>
      <c r="D145" s="390">
        <v>3185</v>
      </c>
      <c r="G145" s="83">
        <f t="shared" si="82"/>
        <v>2.3547880690737835E-2</v>
      </c>
      <c r="H145" s="2">
        <v>3260</v>
      </c>
      <c r="K145" s="83">
        <f t="shared" si="83"/>
        <v>0</v>
      </c>
      <c r="L145" s="2">
        <f t="shared" si="84"/>
        <v>3260</v>
      </c>
      <c r="M145" s="1081"/>
      <c r="O145" s="83">
        <f t="shared" si="85"/>
        <v>0</v>
      </c>
      <c r="P145" s="2">
        <f t="shared" si="86"/>
        <v>3260</v>
      </c>
      <c r="Q145" s="1081"/>
      <c r="S145" s="129"/>
      <c r="U145" s="36"/>
      <c r="W145" s="129"/>
      <c r="Y145" s="36"/>
      <c r="AA145" s="129"/>
      <c r="AC145" s="36"/>
    </row>
    <row r="146" spans="1:29" x14ac:dyDescent="0.25">
      <c r="A146" s="66"/>
      <c r="B146" s="990" t="s">
        <v>124</v>
      </c>
      <c r="C146" s="863" t="s">
        <v>442</v>
      </c>
      <c r="D146" s="390">
        <v>7.08</v>
      </c>
      <c r="G146" s="83">
        <f t="shared" si="82"/>
        <v>-1</v>
      </c>
      <c r="H146" s="2">
        <v>0</v>
      </c>
      <c r="K146" s="83" t="str">
        <f t="shared" si="83"/>
        <v>0.00%</v>
      </c>
      <c r="L146" s="2">
        <v>250</v>
      </c>
      <c r="M146" s="1900" t="s">
        <v>1036</v>
      </c>
      <c r="O146" s="83">
        <f t="shared" si="85"/>
        <v>0</v>
      </c>
      <c r="P146" s="2">
        <f t="shared" si="86"/>
        <v>250</v>
      </c>
      <c r="Q146" s="1081"/>
      <c r="S146" s="129"/>
      <c r="U146" s="36"/>
      <c r="W146" s="129"/>
      <c r="Y146" s="36"/>
      <c r="AA146" s="129"/>
      <c r="AC146" s="36"/>
    </row>
    <row r="147" spans="1:29" x14ac:dyDescent="0.25">
      <c r="A147" s="66"/>
      <c r="B147" s="990"/>
      <c r="D147" s="390"/>
      <c r="G147" s="83"/>
      <c r="H147" s="2"/>
      <c r="K147" s="83" t="str">
        <f t="shared" si="83"/>
        <v>0.00%</v>
      </c>
      <c r="L147" s="1293">
        <f>+'RS 6264'!H82</f>
        <v>193700</v>
      </c>
      <c r="M147" s="1900" t="s">
        <v>907</v>
      </c>
      <c r="O147" s="83">
        <f t="shared" si="85"/>
        <v>0</v>
      </c>
      <c r="P147" s="1293">
        <f>+L147</f>
        <v>193700</v>
      </c>
      <c r="Q147" s="1081"/>
      <c r="S147" s="129"/>
      <c r="U147" s="36"/>
      <c r="W147" s="129"/>
      <c r="Y147" s="36"/>
      <c r="AA147" s="129"/>
      <c r="AC147" s="36"/>
    </row>
    <row r="148" spans="1:29" x14ac:dyDescent="0.25">
      <c r="A148" s="29"/>
      <c r="D148" s="568">
        <f>SUM(D111:D147)</f>
        <v>2283698.31</v>
      </c>
      <c r="G148" s="83">
        <f t="shared" si="74"/>
        <v>6.4682225911004823E-2</v>
      </c>
      <c r="H148" s="8">
        <f>SUM(H111:H147)</f>
        <v>2431413</v>
      </c>
      <c r="I148" s="1292">
        <f>+H148-D148</f>
        <v>147714.68999999994</v>
      </c>
      <c r="J148" s="29"/>
      <c r="K148" s="83">
        <f t="shared" si="64"/>
        <v>4.3968671714760099E-2</v>
      </c>
      <c r="L148" s="8">
        <f>SUM(L111:L147)</f>
        <v>2538319</v>
      </c>
      <c r="M148" s="1292">
        <f>+L148-H148</f>
        <v>106906</v>
      </c>
      <c r="O148" s="83">
        <f t="shared" si="65"/>
        <v>1.2485428348446353E-2</v>
      </c>
      <c r="P148" s="8">
        <f>SUM(P111:P147)</f>
        <v>2570011</v>
      </c>
      <c r="Q148" s="1292">
        <f>+P148-L148</f>
        <v>31692</v>
      </c>
      <c r="S148" s="129">
        <f t="shared" si="66"/>
        <v>-0.26161716817554476</v>
      </c>
      <c r="T148" s="8">
        <f>SUM(T111:T147)</f>
        <v>1897652</v>
      </c>
      <c r="U148" s="123"/>
      <c r="W148" s="129">
        <f t="shared" si="67"/>
        <v>2.7300579874497535E-2</v>
      </c>
      <c r="X148" s="8">
        <f>SUM(X111:X147)</f>
        <v>1949459</v>
      </c>
      <c r="Y148" s="123"/>
      <c r="AA148" s="129">
        <f t="shared" si="68"/>
        <v>2.7300394622302906E-2</v>
      </c>
      <c r="AB148" s="8">
        <f>SUM(AB111:AB147)</f>
        <v>2002680</v>
      </c>
      <c r="AC148" s="123"/>
    </row>
    <row r="149" spans="1:29" x14ac:dyDescent="0.25">
      <c r="A149" s="66"/>
      <c r="B149" s="986"/>
      <c r="D149" s="1581">
        <f>+D148-2283698.31</f>
        <v>0</v>
      </c>
      <c r="G149" s="83"/>
      <c r="H149" s="2"/>
      <c r="L149" s="2"/>
      <c r="M149" s="1000"/>
      <c r="Q149" s="1000"/>
      <c r="U149" s="123"/>
      <c r="Y149" s="123"/>
      <c r="AC149" s="123"/>
    </row>
    <row r="150" spans="1:29" s="39" customFormat="1" x14ac:dyDescent="0.25">
      <c r="A150" s="152"/>
      <c r="B150" s="936" t="s">
        <v>338</v>
      </c>
      <c r="C150" s="857"/>
      <c r="D150" s="2"/>
      <c r="E150" s="863"/>
      <c r="F150" s="2"/>
      <c r="G150" s="83"/>
      <c r="H150" s="2"/>
      <c r="I150" s="871"/>
      <c r="J150" s="66"/>
      <c r="K150" s="377"/>
      <c r="L150" s="2"/>
      <c r="M150" s="948"/>
      <c r="O150" s="377"/>
      <c r="P150" s="2"/>
      <c r="Q150" s="948"/>
      <c r="R150" s="109"/>
      <c r="T150" s="2"/>
      <c r="U150" s="73"/>
      <c r="X150" s="2"/>
      <c r="Y150" s="73"/>
      <c r="AB150" s="2"/>
      <c r="AC150" s="73"/>
    </row>
    <row r="151" spans="1:29" s="39" customFormat="1" x14ac:dyDescent="0.25">
      <c r="A151" s="152"/>
      <c r="B151" s="939">
        <v>6400</v>
      </c>
      <c r="C151" s="857" t="s">
        <v>339</v>
      </c>
      <c r="D151" s="2">
        <v>25000</v>
      </c>
      <c r="E151" s="863"/>
      <c r="F151" s="2"/>
      <c r="G151" s="83"/>
      <c r="H151" s="2">
        <v>0</v>
      </c>
      <c r="I151" s="871"/>
      <c r="J151" s="66"/>
      <c r="K151" s="83"/>
      <c r="L151" s="2">
        <v>0</v>
      </c>
      <c r="M151" s="948"/>
      <c r="O151" s="83"/>
      <c r="P151" s="2">
        <v>0</v>
      </c>
      <c r="Q151" s="948"/>
      <c r="R151" s="109"/>
      <c r="S151" s="83"/>
      <c r="T151" s="2">
        <v>0</v>
      </c>
      <c r="U151" s="73"/>
      <c r="W151" s="83"/>
      <c r="X151" s="2">
        <v>0</v>
      </c>
      <c r="Y151" s="73"/>
      <c r="AA151" s="83"/>
      <c r="AB151" s="2">
        <v>0</v>
      </c>
      <c r="AC151" s="73"/>
    </row>
    <row r="152" spans="1:29" s="39" customFormat="1" ht="23.25" hidden="1" customHeight="1" x14ac:dyDescent="0.25">
      <c r="A152" s="152"/>
      <c r="B152" s="939"/>
      <c r="C152" s="857"/>
      <c r="D152" s="2">
        <v>0</v>
      </c>
      <c r="E152" s="863"/>
      <c r="F152" s="2"/>
      <c r="G152" s="83"/>
      <c r="H152" s="2">
        <v>0</v>
      </c>
      <c r="I152" s="871"/>
      <c r="J152" s="66"/>
      <c r="K152" s="83"/>
      <c r="L152" s="2">
        <v>0</v>
      </c>
      <c r="M152" s="948"/>
      <c r="O152" s="83"/>
      <c r="P152" s="2">
        <v>0</v>
      </c>
      <c r="Q152" s="948"/>
      <c r="R152" s="109"/>
      <c r="S152" s="83"/>
      <c r="T152" s="2">
        <v>0</v>
      </c>
      <c r="U152" s="73"/>
      <c r="W152" s="83"/>
      <c r="X152" s="2">
        <v>0</v>
      </c>
      <c r="Y152" s="73"/>
      <c r="AA152" s="83"/>
      <c r="AB152" s="2">
        <v>0</v>
      </c>
      <c r="AC152" s="73"/>
    </row>
    <row r="153" spans="1:29" s="39" customFormat="1" hidden="1" x14ac:dyDescent="0.25">
      <c r="A153" s="152"/>
      <c r="B153" s="936"/>
      <c r="C153" s="857"/>
      <c r="D153" s="2">
        <v>0</v>
      </c>
      <c r="E153" s="863"/>
      <c r="F153" s="2"/>
      <c r="G153" s="83"/>
      <c r="H153" s="2">
        <v>0</v>
      </c>
      <c r="I153" s="871"/>
      <c r="J153" s="66"/>
      <c r="K153" s="83"/>
      <c r="L153" s="2">
        <v>0</v>
      </c>
      <c r="M153" s="948"/>
      <c r="O153" s="83"/>
      <c r="P153" s="2">
        <v>0</v>
      </c>
      <c r="Q153" s="948"/>
      <c r="R153" s="109"/>
      <c r="S153" s="83"/>
      <c r="T153" s="2">
        <v>0</v>
      </c>
      <c r="U153" s="73"/>
      <c r="W153" s="83"/>
      <c r="X153" s="2">
        <v>0</v>
      </c>
      <c r="Y153" s="73"/>
      <c r="AA153" s="83"/>
      <c r="AB153" s="2">
        <v>0</v>
      </c>
      <c r="AC153" s="73"/>
    </row>
    <row r="154" spans="1:29" s="39" customFormat="1" x14ac:dyDescent="0.25">
      <c r="A154" s="152"/>
      <c r="B154" s="936"/>
      <c r="C154" s="857"/>
      <c r="D154" s="112">
        <f>SUM(D151:D153)</f>
        <v>25000</v>
      </c>
      <c r="E154" s="863"/>
      <c r="F154" s="2"/>
      <c r="G154" s="83"/>
      <c r="H154" s="112">
        <f>SUM(H151:H153)</f>
        <v>0</v>
      </c>
      <c r="I154" s="871"/>
      <c r="J154" s="66"/>
      <c r="K154" s="83"/>
      <c r="L154" s="112">
        <f>SUM(L151:L153)</f>
        <v>0</v>
      </c>
      <c r="M154" s="948"/>
      <c r="O154" s="83"/>
      <c r="P154" s="112">
        <f>SUM(P151:P153)</f>
        <v>0</v>
      </c>
      <c r="Q154" s="948"/>
      <c r="R154" s="109"/>
      <c r="S154" s="83"/>
      <c r="T154" s="112">
        <f>SUM(T151:T153)</f>
        <v>0</v>
      </c>
      <c r="U154" s="73"/>
      <c r="W154" s="83"/>
      <c r="X154" s="112">
        <f>SUM(X151:X153)</f>
        <v>0</v>
      </c>
      <c r="Y154" s="73"/>
      <c r="AA154" s="83"/>
      <c r="AB154" s="112">
        <f>SUM(AB151:AB153)</f>
        <v>0</v>
      </c>
      <c r="AC154" s="73"/>
    </row>
    <row r="155" spans="1:29" s="39" customFormat="1" x14ac:dyDescent="0.25">
      <c r="A155" s="152"/>
      <c r="B155" s="930"/>
      <c r="C155" s="857"/>
      <c r="D155" s="2"/>
      <c r="E155" s="863"/>
      <c r="F155" s="2"/>
      <c r="G155" s="52"/>
      <c r="H155" s="2"/>
      <c r="I155" s="871"/>
      <c r="J155" s="66"/>
      <c r="K155" s="52"/>
      <c r="L155" s="2"/>
      <c r="M155" s="948"/>
      <c r="O155" s="52"/>
      <c r="P155" s="2"/>
      <c r="Q155" s="948"/>
      <c r="R155" s="109"/>
      <c r="S155" s="46"/>
      <c r="T155" s="2"/>
      <c r="U155" s="73"/>
      <c r="W155" s="46"/>
      <c r="X155" s="2"/>
      <c r="Y155" s="73"/>
      <c r="AA155" s="46"/>
      <c r="AB155" s="2"/>
      <c r="AC155" s="73"/>
    </row>
    <row r="156" spans="1:29" s="39" customFormat="1" x14ac:dyDescent="0.25">
      <c r="A156" s="152"/>
      <c r="B156" s="936" t="s">
        <v>529</v>
      </c>
      <c r="C156" s="857"/>
      <c r="D156" s="2"/>
      <c r="E156" s="863"/>
      <c r="F156" s="2"/>
      <c r="G156" s="83"/>
      <c r="H156" s="2"/>
      <c r="I156" s="871"/>
      <c r="J156" s="66"/>
      <c r="K156" s="377"/>
      <c r="L156" s="2"/>
      <c r="M156" s="948"/>
      <c r="O156" s="377"/>
      <c r="P156" s="2"/>
      <c r="Q156" s="948"/>
      <c r="R156" s="109"/>
      <c r="T156" s="2"/>
      <c r="U156" s="73"/>
      <c r="X156" s="2"/>
      <c r="Y156" s="73"/>
      <c r="AB156" s="2"/>
      <c r="AC156" s="73"/>
    </row>
    <row r="157" spans="1:29" s="39" customFormat="1" x14ac:dyDescent="0.25">
      <c r="A157" s="152"/>
      <c r="B157" s="939" t="s">
        <v>530</v>
      </c>
      <c r="C157" s="857" t="s">
        <v>536</v>
      </c>
      <c r="D157" s="2">
        <v>17998</v>
      </c>
      <c r="E157" s="863"/>
      <c r="F157" s="2"/>
      <c r="G157" s="83">
        <f t="shared" ref="G157:G162" si="87">IF(D157=0,"0.00%",(H157-D157)/D157)</f>
        <v>-0.58328703189243247</v>
      </c>
      <c r="H157" s="1926">
        <v>7500</v>
      </c>
      <c r="I157" s="1928" t="str">
        <f>"T. Other Outgo = "&amp;SUM(H157:H158,H161)</f>
        <v>T. Other Outgo = 212874</v>
      </c>
      <c r="J157" s="66"/>
      <c r="K157" s="83">
        <f t="shared" ref="K157:K162" si="88">IF(H157=0,"0.00%",(L157-H157)/H157)</f>
        <v>0</v>
      </c>
      <c r="L157" s="1926">
        <f>+H157</f>
        <v>7500</v>
      </c>
      <c r="M157" s="1928" t="str">
        <f>"T. Other Outgo = "&amp;SUM(L157:L158,L161)</f>
        <v>T. Other Outgo = 212874</v>
      </c>
      <c r="O157" s="83">
        <f t="shared" ref="O157:O162" si="89">IF(L157=0,"0.00%",(P157-L157)/L157)</f>
        <v>0</v>
      </c>
      <c r="P157" s="1926">
        <f>+L157</f>
        <v>7500</v>
      </c>
      <c r="Q157" s="1928" t="str">
        <f>"T. Other Outgo = "&amp;SUM(P157:P158,P161)</f>
        <v>T. Other Outgo = 212874</v>
      </c>
      <c r="R157" s="109"/>
      <c r="T157" s="2">
        <f>+P157</f>
        <v>7500</v>
      </c>
      <c r="U157" s="36" t="s">
        <v>174</v>
      </c>
      <c r="X157" s="2">
        <f>+T157</f>
        <v>7500</v>
      </c>
      <c r="Y157" s="36" t="s">
        <v>174</v>
      </c>
      <c r="AB157" s="2">
        <f>+X157</f>
        <v>7500</v>
      </c>
      <c r="AC157" s="36" t="s">
        <v>174</v>
      </c>
    </row>
    <row r="158" spans="1:29" s="39" customFormat="1" x14ac:dyDescent="0.25">
      <c r="A158" s="152"/>
      <c r="B158" s="939" t="s">
        <v>532</v>
      </c>
      <c r="C158" s="857" t="s">
        <v>537</v>
      </c>
      <c r="D158" s="2">
        <v>103636.83</v>
      </c>
      <c r="E158" s="863"/>
      <c r="F158" s="2"/>
      <c r="G158" s="83">
        <f t="shared" ref="G158:G159" si="90">IF(D158=0,"0.00%",(H158-D158)/D158)</f>
        <v>0.13255104387117975</v>
      </c>
      <c r="H158" s="1926">
        <v>117374</v>
      </c>
      <c r="I158" s="1927"/>
      <c r="J158" s="66"/>
      <c r="K158" s="83">
        <f t="shared" ref="K158:K159" si="91">IF(H158=0,"0.00%",(L158-H158)/H158)</f>
        <v>0</v>
      </c>
      <c r="L158" s="1926">
        <f>+H158</f>
        <v>117374</v>
      </c>
      <c r="M158" s="1927"/>
      <c r="O158" s="83">
        <f t="shared" ref="O158:O159" si="92">IF(L158=0,"0.00%",(P158-L158)/L158)</f>
        <v>0</v>
      </c>
      <c r="P158" s="1926">
        <f>+L158</f>
        <v>117374</v>
      </c>
      <c r="Q158" s="1927"/>
      <c r="R158" s="109"/>
      <c r="T158" s="2">
        <v>0</v>
      </c>
      <c r="U158" s="36"/>
      <c r="X158" s="2">
        <v>0</v>
      </c>
      <c r="Y158" s="36"/>
      <c r="AB158" s="2">
        <v>0</v>
      </c>
      <c r="AC158" s="36"/>
    </row>
    <row r="159" spans="1:29" s="39" customFormat="1" x14ac:dyDescent="0.25">
      <c r="A159" s="152"/>
      <c r="B159" s="939" t="s">
        <v>533</v>
      </c>
      <c r="C159" s="857" t="s">
        <v>538</v>
      </c>
      <c r="D159" s="2">
        <v>-575725.48</v>
      </c>
      <c r="E159" s="863"/>
      <c r="F159" s="2"/>
      <c r="G159" s="83">
        <f t="shared" si="90"/>
        <v>0.29089475074127347</v>
      </c>
      <c r="H159" s="1922">
        <v>-743201</v>
      </c>
      <c r="I159" s="1929" t="str">
        <f>"Total I/C = "&amp;SUM(H159:H160)</f>
        <v>Total I/C = -890609</v>
      </c>
      <c r="J159" s="66"/>
      <c r="K159" s="83">
        <f t="shared" si="91"/>
        <v>3.3499685818506701E-2</v>
      </c>
      <c r="L159" s="1922">
        <f>ROUND(H159*(LEFT(M160,5)+1),0)</f>
        <v>-768098</v>
      </c>
      <c r="M159" s="1929" t="str">
        <f>"Total I/C = "&amp;SUM(L159:L160)</f>
        <v>Total I/C = -920444</v>
      </c>
      <c r="O159" s="83">
        <f t="shared" si="92"/>
        <v>3.0200573364336323E-2</v>
      </c>
      <c r="P159" s="1922">
        <f>ROUND(L159*(LEFT(Q160,5)+1),0)</f>
        <v>-791295</v>
      </c>
      <c r="Q159" s="1929" t="str">
        <f>"Total I/C = "&amp;SUM(P159:P160)</f>
        <v>Total I/C = -948242</v>
      </c>
      <c r="R159" s="109"/>
      <c r="T159" s="2">
        <v>0</v>
      </c>
      <c r="U159" s="36"/>
      <c r="X159" s="2">
        <v>0</v>
      </c>
      <c r="Y159" s="36"/>
      <c r="AB159" s="2">
        <v>0</v>
      </c>
      <c r="AC159" s="36"/>
    </row>
    <row r="160" spans="1:29" s="39" customFormat="1" x14ac:dyDescent="0.25">
      <c r="A160" s="152"/>
      <c r="B160" s="939" t="s">
        <v>534</v>
      </c>
      <c r="C160" s="857" t="s">
        <v>539</v>
      </c>
      <c r="D160" s="2">
        <v>-118817.66</v>
      </c>
      <c r="E160" s="863"/>
      <c r="F160" s="2"/>
      <c r="G160" s="83">
        <f t="shared" si="87"/>
        <v>0.24062365813297448</v>
      </c>
      <c r="H160" s="1922">
        <v>-147408</v>
      </c>
      <c r="I160" s="1923"/>
      <c r="J160" s="66"/>
      <c r="K160" s="83">
        <f t="shared" si="88"/>
        <v>3.3498860306089222E-2</v>
      </c>
      <c r="L160" s="1922">
        <f>ROUND(H160*(LEFT(M160,5)+1),0)</f>
        <v>-152346</v>
      </c>
      <c r="M160" s="1923" t="str">
        <f>TEXT('MYP Assumptions'!$F$75,"0.00%")&amp;", CPI"</f>
        <v>3.35%, CPI</v>
      </c>
      <c r="O160" s="83">
        <f t="shared" si="89"/>
        <v>3.0200989852047312E-2</v>
      </c>
      <c r="P160" s="1922">
        <f t="shared" ref="P160" si="93">ROUND(L160*(LEFT(Q160,5)+1),0)</f>
        <v>-156947</v>
      </c>
      <c r="Q160" s="1923" t="str">
        <f>TEXT('MYP Assumptions'!$G$75,"0.00%")&amp;", CPI"</f>
        <v>3.02%, CPI</v>
      </c>
      <c r="R160" s="109"/>
      <c r="T160" s="2">
        <v>0</v>
      </c>
      <c r="U160" s="36"/>
      <c r="X160" s="2">
        <v>0</v>
      </c>
      <c r="Y160" s="36"/>
      <c r="AB160" s="2">
        <v>0</v>
      </c>
      <c r="AC160" s="36"/>
    </row>
    <row r="161" spans="1:29" s="39" customFormat="1" x14ac:dyDescent="0.25">
      <c r="A161" s="152"/>
      <c r="B161" s="939">
        <v>7439</v>
      </c>
      <c r="C161" s="857" t="s">
        <v>873</v>
      </c>
      <c r="D161" s="2">
        <v>0</v>
      </c>
      <c r="E161" s="863"/>
      <c r="F161" s="2"/>
      <c r="G161" s="83" t="s">
        <v>875</v>
      </c>
      <c r="H161" s="1926">
        <v>88000</v>
      </c>
      <c r="I161" s="1927" t="s">
        <v>874</v>
      </c>
      <c r="J161" s="66"/>
      <c r="K161" s="83">
        <f t="shared" si="88"/>
        <v>0</v>
      </c>
      <c r="L161" s="1926">
        <f>+H161</f>
        <v>88000</v>
      </c>
      <c r="M161" s="1927" t="s">
        <v>174</v>
      </c>
      <c r="O161" s="83">
        <f t="shared" si="89"/>
        <v>0</v>
      </c>
      <c r="P161" s="1926">
        <f>+L161</f>
        <v>88000</v>
      </c>
      <c r="Q161" s="1927" t="s">
        <v>174</v>
      </c>
      <c r="R161" s="109"/>
      <c r="T161" s="2"/>
      <c r="U161" s="36"/>
      <c r="X161" s="2"/>
      <c r="Y161" s="36"/>
      <c r="AB161" s="2"/>
      <c r="AC161" s="36"/>
    </row>
    <row r="162" spans="1:29" s="39" customFormat="1" x14ac:dyDescent="0.25">
      <c r="A162" s="152"/>
      <c r="B162" s="939" t="s">
        <v>535</v>
      </c>
      <c r="C162" s="857" t="s">
        <v>540</v>
      </c>
      <c r="D162" s="2">
        <v>337000</v>
      </c>
      <c r="E162" s="863"/>
      <c r="F162" s="2"/>
      <c r="G162" s="83">
        <f t="shared" si="87"/>
        <v>0</v>
      </c>
      <c r="H162" s="1924">
        <f>+D162</f>
        <v>337000</v>
      </c>
      <c r="I162" s="1925" t="s">
        <v>174</v>
      </c>
      <c r="J162" s="66"/>
      <c r="K162" s="83">
        <f t="shared" si="88"/>
        <v>0</v>
      </c>
      <c r="L162" s="1924">
        <f>+H162</f>
        <v>337000</v>
      </c>
      <c r="M162" s="1925" t="s">
        <v>174</v>
      </c>
      <c r="O162" s="83">
        <f t="shared" si="89"/>
        <v>0</v>
      </c>
      <c r="P162" s="1924">
        <f>+L162</f>
        <v>337000</v>
      </c>
      <c r="Q162" s="1925" t="s">
        <v>174</v>
      </c>
      <c r="R162" s="109"/>
      <c r="T162" s="2">
        <v>0</v>
      </c>
      <c r="U162" s="36"/>
      <c r="X162" s="2">
        <v>0</v>
      </c>
      <c r="Y162" s="36"/>
      <c r="AB162" s="2">
        <v>0</v>
      </c>
      <c r="AC162" s="36"/>
    </row>
    <row r="163" spans="1:29" s="39" customFormat="1" x14ac:dyDescent="0.25">
      <c r="A163" s="152"/>
      <c r="B163" s="939" t="s">
        <v>535</v>
      </c>
      <c r="C163" s="857" t="s">
        <v>542</v>
      </c>
      <c r="D163" s="2">
        <v>200000</v>
      </c>
      <c r="E163" s="863"/>
      <c r="F163" s="2"/>
      <c r="G163" s="83">
        <f t="shared" ref="G163:G164" si="94">IF(D163=0,"0.00%",(H163-D163)/D163)</f>
        <v>0</v>
      </c>
      <c r="H163" s="1924">
        <f t="shared" ref="H163:H164" si="95">+D163</f>
        <v>200000</v>
      </c>
      <c r="I163" s="1925" t="s">
        <v>174</v>
      </c>
      <c r="J163" s="66"/>
      <c r="K163" s="83">
        <f t="shared" ref="K163:K164" si="96">IF(H163=0,"0.00%",(L163-H163)/H163)</f>
        <v>0</v>
      </c>
      <c r="L163" s="1924">
        <f>+H163</f>
        <v>200000</v>
      </c>
      <c r="M163" s="1925" t="s">
        <v>174</v>
      </c>
      <c r="O163" s="83">
        <f t="shared" ref="O163:O164" si="97">IF(L163=0,"0.00%",(P163-L163)/L163)</f>
        <v>0</v>
      </c>
      <c r="P163" s="1924">
        <f t="shared" ref="P163:P164" si="98">+L163</f>
        <v>200000</v>
      </c>
      <c r="Q163" s="1925" t="s">
        <v>174</v>
      </c>
      <c r="R163" s="109"/>
      <c r="T163" s="2"/>
      <c r="U163" s="36"/>
      <c r="X163" s="2"/>
      <c r="Y163" s="36"/>
      <c r="AB163" s="2"/>
      <c r="AC163" s="36"/>
    </row>
    <row r="164" spans="1:29" s="39" customFormat="1" x14ac:dyDescent="0.25">
      <c r="A164" s="152"/>
      <c r="B164" s="939" t="s">
        <v>535</v>
      </c>
      <c r="C164" s="857" t="s">
        <v>541</v>
      </c>
      <c r="D164" s="2">
        <v>25000</v>
      </c>
      <c r="E164" s="1078">
        <f>+SUM(D162:D164)</f>
        <v>562000</v>
      </c>
      <c r="F164" s="2"/>
      <c r="G164" s="83">
        <f t="shared" si="94"/>
        <v>0</v>
      </c>
      <c r="H164" s="1924">
        <f t="shared" si="95"/>
        <v>25000</v>
      </c>
      <c r="I164" s="1930" t="str">
        <f>"Total TFs =  "&amp;SUM(H162:H164)</f>
        <v>Total TFs =  562000</v>
      </c>
      <c r="J164" s="66"/>
      <c r="K164" s="83">
        <f t="shared" si="96"/>
        <v>0</v>
      </c>
      <c r="L164" s="1924">
        <f>+H164</f>
        <v>25000</v>
      </c>
      <c r="M164" s="1930" t="str">
        <f>"Total TFs =  "&amp;SUM(L162:L164)</f>
        <v>Total TFs =  562000</v>
      </c>
      <c r="O164" s="83">
        <f t="shared" si="97"/>
        <v>0</v>
      </c>
      <c r="P164" s="1924">
        <f t="shared" si="98"/>
        <v>25000</v>
      </c>
      <c r="Q164" s="1930" t="str">
        <f>"Total TFs =  "&amp;SUM(P162:P164)</f>
        <v>Total TFs =  562000</v>
      </c>
      <c r="R164" s="109"/>
      <c r="T164" s="2"/>
      <c r="U164" s="36"/>
      <c r="X164" s="2"/>
      <c r="Y164" s="36"/>
      <c r="AB164" s="2"/>
      <c r="AC164" s="36"/>
    </row>
    <row r="165" spans="1:29" s="39" customFormat="1" x14ac:dyDescent="0.25">
      <c r="A165" s="152"/>
      <c r="B165" s="939"/>
      <c r="C165" s="857"/>
      <c r="D165" s="2"/>
      <c r="E165" s="863"/>
      <c r="F165" s="2"/>
      <c r="G165" s="83"/>
      <c r="H165" s="2"/>
      <c r="I165" s="854"/>
      <c r="J165" s="66"/>
      <c r="K165" s="83"/>
      <c r="L165" s="2"/>
      <c r="M165" s="1087"/>
      <c r="O165" s="83"/>
      <c r="P165" s="2"/>
      <c r="Q165" s="1087"/>
      <c r="R165" s="109"/>
      <c r="T165" s="2"/>
      <c r="U165" s="36"/>
      <c r="X165" s="2"/>
      <c r="Y165" s="36"/>
      <c r="AB165" s="2"/>
      <c r="AC165" s="36"/>
    </row>
    <row r="166" spans="1:29" s="39" customFormat="1" ht="9" customHeight="1" x14ac:dyDescent="0.25">
      <c r="A166" s="152"/>
      <c r="B166" s="991"/>
      <c r="C166" s="992"/>
      <c r="D166" s="2"/>
      <c r="E166" s="863"/>
      <c r="F166" s="2"/>
      <c r="G166" s="83"/>
      <c r="H166" s="2"/>
      <c r="I166" s="871"/>
      <c r="J166" s="66"/>
      <c r="K166" s="377"/>
      <c r="L166" s="2"/>
      <c r="M166" s="1081"/>
      <c r="O166" s="377"/>
      <c r="P166" s="2"/>
      <c r="Q166" s="1081"/>
      <c r="R166" s="109"/>
      <c r="T166" s="2"/>
      <c r="U166" s="36"/>
      <c r="X166" s="2"/>
      <c r="Y166" s="36"/>
      <c r="AB166" s="2"/>
      <c r="AC166" s="36"/>
    </row>
    <row r="167" spans="1:29" s="13" customFormat="1" x14ac:dyDescent="0.25">
      <c r="A167" s="154"/>
      <c r="B167" s="938"/>
      <c r="C167" s="938"/>
      <c r="D167" s="160">
        <f>SUM(D157:D166)</f>
        <v>-10908.309999999939</v>
      </c>
      <c r="E167" s="861"/>
      <c r="F167" s="10"/>
      <c r="G167" s="83">
        <f t="shared" ref="G167" si="99">IF(D167=0,"0.00%",(H167-D167)/D167)</f>
        <v>9.6098011515991608</v>
      </c>
      <c r="H167" s="160">
        <f>SUM(H157:H166)</f>
        <v>-115735</v>
      </c>
      <c r="I167" s="1292">
        <f>+H167-D167</f>
        <v>-104826.69000000006</v>
      </c>
      <c r="J167" s="57"/>
      <c r="K167" s="83">
        <f t="shared" ref="K167" si="100">IF(H167=0,"0.00%",(L167-H167)/H167)</f>
        <v>0.25778718624443775</v>
      </c>
      <c r="L167" s="160">
        <f>SUM(L157:L166)</f>
        <v>-145570</v>
      </c>
      <c r="M167" s="1292">
        <f>+L167-H167</f>
        <v>-29835</v>
      </c>
      <c r="O167" s="83">
        <f t="shared" ref="O167" si="101">IF(L167=0,"0.00%",(P167-L167)/L167)</f>
        <v>0.19095967575736758</v>
      </c>
      <c r="P167" s="160">
        <f>SUM(P157:P166)</f>
        <v>-173368</v>
      </c>
      <c r="Q167" s="1292">
        <f>+P167-L167</f>
        <v>-27798</v>
      </c>
      <c r="R167" s="111"/>
      <c r="T167" s="160">
        <f>SUM(T157:T166)</f>
        <v>7500</v>
      </c>
      <c r="U167" s="6"/>
      <c r="X167" s="160">
        <f>SUM(X157:X166)</f>
        <v>7500</v>
      </c>
      <c r="Y167" s="6"/>
      <c r="AB167" s="160">
        <f>SUM(AB157:AB166)</f>
        <v>7500</v>
      </c>
      <c r="AC167" s="6"/>
    </row>
    <row r="168" spans="1:29" s="39" customFormat="1" x14ac:dyDescent="0.25">
      <c r="A168" s="152"/>
      <c r="B168" s="930"/>
      <c r="C168" s="857"/>
      <c r="D168" s="2"/>
      <c r="E168" s="863"/>
      <c r="F168" s="2"/>
      <c r="G168" s="52"/>
      <c r="H168" s="2"/>
      <c r="I168" s="871"/>
      <c r="J168" s="66"/>
      <c r="K168" s="52"/>
      <c r="L168" s="2"/>
      <c r="M168" s="948"/>
      <c r="O168" s="52"/>
      <c r="P168" s="2"/>
      <c r="Q168" s="948"/>
      <c r="R168" s="109"/>
      <c r="S168" s="46"/>
      <c r="T168" s="2"/>
      <c r="U168" s="73"/>
      <c r="W168" s="46"/>
      <c r="X168" s="2"/>
      <c r="Y168" s="73"/>
      <c r="AA168" s="46"/>
      <c r="AB168" s="2"/>
      <c r="AC168" s="73"/>
    </row>
    <row r="169" spans="1:29" x14ac:dyDescent="0.25">
      <c r="A169" s="66"/>
      <c r="H169" s="2"/>
      <c r="L169" s="2"/>
      <c r="M169" s="1000"/>
      <c r="Q169" s="1000"/>
      <c r="U169" s="123"/>
      <c r="Y169" s="123"/>
      <c r="AC169" s="123"/>
    </row>
    <row r="170" spans="1:29" x14ac:dyDescent="0.25">
      <c r="A170" s="29"/>
      <c r="B170" s="986" t="s">
        <v>0</v>
      </c>
      <c r="D170" s="8">
        <f>SUM(D148,D108,D94,D31,D154,D167)</f>
        <v>46619996.189999998</v>
      </c>
      <c r="G170" s="83">
        <f>IF(D170=0,"0.00%",(H170-D170)/D170)</f>
        <v>3.6435302634459404E-2</v>
      </c>
      <c r="H170" s="8">
        <f>SUM(H148,H108,H94,H31,H154,H167)</f>
        <v>48318609.859999992</v>
      </c>
      <c r="I170" s="1292">
        <f>+H170-D170</f>
        <v>1698613.6699999943</v>
      </c>
      <c r="J170" s="29"/>
      <c r="K170" s="83">
        <f>IF(H170=0,"0.00%",(L170-H170)/H170)</f>
        <v>1.9665047665456084E-2</v>
      </c>
      <c r="L170" s="8">
        <f>SUM(L148,L108,L94,L31,L154,L167)</f>
        <v>49268797.626025468</v>
      </c>
      <c r="M170" s="1292">
        <f>+L170-H170</f>
        <v>950187.76602547616</v>
      </c>
      <c r="O170" s="83">
        <f>IF(L170=0,"0.00%",(P170-L170)/L170)</f>
        <v>2.2058700349764124E-2</v>
      </c>
      <c r="P170" s="8">
        <f>SUM(P148,P108,P94,P31,P154,P167)</f>
        <v>50355603.269451134</v>
      </c>
      <c r="Q170" s="1292">
        <f>+P170-L170</f>
        <v>1086805.6434256658</v>
      </c>
      <c r="S170" s="129">
        <f>IF(P170=0,"0.00%",(T170-P170)/P170)</f>
        <v>-0.20109484569702998</v>
      </c>
      <c r="T170" s="8">
        <f>SUM(T148,T108,T94,T31)</f>
        <v>40229351</v>
      </c>
      <c r="U170" s="123"/>
      <c r="W170" s="129">
        <f>IF(T170=0,"0.00%",(X170-T170)/T170)</f>
        <v>2.587590836352294E-2</v>
      </c>
      <c r="X170" s="8">
        <f>SUM(X148,X108,X94,X31)</f>
        <v>41270322</v>
      </c>
      <c r="Y170" s="123"/>
      <c r="AA170" s="129">
        <f>IF(X170=0,"0.00%",(AB170-X170)/X170)</f>
        <v>2.6017921546626167E-2</v>
      </c>
      <c r="AB170" s="8">
        <f>SUM(AB148,AB108,AB94,AB31)</f>
        <v>42344090</v>
      </c>
      <c r="AC170" s="123"/>
    </row>
    <row r="171" spans="1:29" x14ac:dyDescent="0.25">
      <c r="A171" s="66"/>
      <c r="H171" s="2"/>
      <c r="L171" s="2"/>
      <c r="M171" s="1000"/>
      <c r="Q171" s="1000"/>
      <c r="U171" s="123"/>
      <c r="Y171" s="123"/>
      <c r="AC171" s="123"/>
    </row>
    <row r="172" spans="1:29" x14ac:dyDescent="0.25">
      <c r="A172" s="66"/>
      <c r="B172" s="986" t="s">
        <v>138</v>
      </c>
      <c r="D172" s="3">
        <f>D29-D170</f>
        <v>-541686.20000000298</v>
      </c>
      <c r="G172" s="83">
        <f>IF(D172=0,"0.00%",(H172-D172)/D172)</f>
        <v>6.0983862243490252</v>
      </c>
      <c r="H172" s="3">
        <f>H29-H170</f>
        <v>-3845097.859999992</v>
      </c>
      <c r="K172" s="83">
        <f>IF(H172=0,"0.00%",(L172-H172)/H172)</f>
        <v>0.20485541102079372</v>
      </c>
      <c r="L172" s="3">
        <f>L29-L170</f>
        <v>-4632786.9625254646</v>
      </c>
      <c r="M172" s="1000"/>
      <c r="O172" s="83">
        <f>IF(L172=0,"0.00%",(P172-L172)/L172)</f>
        <v>1.1097790865261458E-2</v>
      </c>
      <c r="P172" s="3">
        <f>P29-P170</f>
        <v>-4684200.6633588821</v>
      </c>
      <c r="Q172" s="1000"/>
      <c r="S172" s="129">
        <f>IF(P172=0,"0.00%",(T172-P172)/P172)</f>
        <v>7.5883064990543962</v>
      </c>
      <c r="T172" s="3">
        <f>T29-T170</f>
        <v>-40229351</v>
      </c>
      <c r="U172" s="123"/>
      <c r="W172" s="129">
        <f>IF(T172=0,"0.00%",(X172-T172)/T172)</f>
        <v>2.587590836352294E-2</v>
      </c>
      <c r="X172" s="3">
        <f>X29-X170</f>
        <v>-41270322</v>
      </c>
      <c r="Y172" s="123"/>
      <c r="AA172" s="129">
        <f>IF(X172=0,"0.00%",(AB172-X172)/X172)</f>
        <v>2.6017921546626167E-2</v>
      </c>
      <c r="AB172" s="3">
        <f>AB29-AB170</f>
        <v>-42344090</v>
      </c>
      <c r="AC172" s="123"/>
    </row>
    <row r="173" spans="1:29" x14ac:dyDescent="0.25">
      <c r="B173" s="986"/>
      <c r="C173" s="982"/>
      <c r="D173" s="3"/>
      <c r="H173" s="3"/>
      <c r="L173" s="3"/>
      <c r="M173" s="1000"/>
      <c r="P173" s="3"/>
      <c r="Q173" s="1000"/>
      <c r="T173" s="3"/>
      <c r="U173" s="123"/>
      <c r="X173" s="3"/>
      <c r="Y173" s="123"/>
      <c r="AB173" s="3"/>
      <c r="AC173" s="123"/>
    </row>
    <row r="174" spans="1:29" x14ac:dyDescent="0.25">
      <c r="B174" s="986" t="s">
        <v>136</v>
      </c>
      <c r="C174" s="983"/>
      <c r="D174" s="3">
        <f>D7+D172</f>
        <v>8215661.1799999978</v>
      </c>
      <c r="G174" s="83">
        <f>IF(D174=0,"0.00%",(H174-D174)/D174)</f>
        <v>-0.46802050081622193</v>
      </c>
      <c r="H174" s="3">
        <f>H7+H172</f>
        <v>4370563.3200000059</v>
      </c>
      <c r="K174" s="83">
        <f>IF(H174=0,"0.00%",(L174-H174)/H174)</f>
        <v>-1.0599976761177454</v>
      </c>
      <c r="L174" s="3">
        <f>L7+L172</f>
        <v>-262223.64252545871</v>
      </c>
      <c r="M174" s="1000"/>
      <c r="O174" s="83">
        <f>IF(L174=0,"0.00%",(P174-L174)/L174)</f>
        <v>17.863380350626102</v>
      </c>
      <c r="P174" s="3">
        <f>P7+P172</f>
        <v>-4946424.3058843408</v>
      </c>
      <c r="Q174" s="1000"/>
      <c r="S174" s="129">
        <f>IF(P174=0,"0.00%",(T174-P174)/P174)</f>
        <v>8.1330166019406303</v>
      </c>
      <c r="T174" s="3">
        <f>T7+T172</f>
        <v>-45175775.305884339</v>
      </c>
      <c r="U174" s="123"/>
      <c r="W174" s="129">
        <f>IF(T174=0,"0.00%",(X174-T174)/T174)</f>
        <v>0.9135498333024592</v>
      </c>
      <c r="X174" s="3">
        <f>X7+X172</f>
        <v>-86446097.305884331</v>
      </c>
      <c r="Y174" s="123"/>
      <c r="AA174" s="129">
        <f>IF(X174=0,"0.00%",(AB174-X174)/X174)</f>
        <v>0.48983229225684971</v>
      </c>
      <c r="AB174" s="3">
        <f>AB7+AB172</f>
        <v>-128790187.30588433</v>
      </c>
      <c r="AC174" s="123"/>
    </row>
    <row r="175" spans="1:29" x14ac:dyDescent="0.25">
      <c r="C175" s="864"/>
      <c r="G175" s="374"/>
      <c r="H175" s="5"/>
      <c r="I175" s="872"/>
      <c r="J175" s="29"/>
      <c r="L175" s="5"/>
      <c r="M175" s="1000"/>
      <c r="P175" s="5"/>
      <c r="Q175" s="1000"/>
      <c r="T175" s="5"/>
      <c r="U175" s="123"/>
      <c r="X175" s="5"/>
      <c r="Y175" s="123"/>
      <c r="AB175" s="5"/>
      <c r="AC175" s="123"/>
    </row>
    <row r="176" spans="1:29" x14ac:dyDescent="0.25">
      <c r="C176" s="871"/>
      <c r="G176" s="374"/>
      <c r="H176" s="36"/>
      <c r="L176" s="2"/>
      <c r="M176" s="1000"/>
      <c r="Q176" s="1000"/>
      <c r="U176" s="123"/>
      <c r="Y176" s="123"/>
      <c r="AC176" s="123"/>
    </row>
    <row r="177" spans="1:29" x14ac:dyDescent="0.25">
      <c r="C177" s="871"/>
      <c r="G177" s="374"/>
      <c r="H177" s="36"/>
      <c r="L177" s="2"/>
      <c r="M177" s="1000"/>
      <c r="Q177" s="1000"/>
      <c r="U177" s="123"/>
      <c r="Y177" s="123"/>
      <c r="AC177" s="123"/>
    </row>
    <row r="178" spans="1:29" x14ac:dyDescent="0.25">
      <c r="C178" s="871"/>
      <c r="G178" s="374"/>
      <c r="H178" s="36"/>
      <c r="L178" s="2"/>
      <c r="M178" s="1000"/>
      <c r="Q178" s="1000"/>
      <c r="U178" s="123"/>
      <c r="Y178" s="123"/>
      <c r="AC178" s="123"/>
    </row>
    <row r="179" spans="1:29" x14ac:dyDescent="0.25">
      <c r="C179" s="871"/>
      <c r="G179" s="374"/>
      <c r="H179" s="36"/>
      <c r="L179" s="2"/>
      <c r="M179" s="1000"/>
      <c r="Q179" s="1000"/>
      <c r="U179" s="123"/>
      <c r="Y179" s="123"/>
      <c r="AC179" s="123"/>
    </row>
    <row r="180" spans="1:29" s="144" customFormat="1" ht="11.25" x14ac:dyDescent="0.2">
      <c r="A180" s="330"/>
      <c r="B180" s="993"/>
      <c r="C180" s="994" t="s">
        <v>269</v>
      </c>
      <c r="D180" s="134">
        <f>+D167+D154+D148+D108+D94</f>
        <v>46619996.189999998</v>
      </c>
      <c r="E180" s="866"/>
      <c r="G180" s="133" t="s">
        <v>223</v>
      </c>
      <c r="H180" s="134">
        <f>+H167+H154+H148+H108+H94</f>
        <v>48318609.859999992</v>
      </c>
      <c r="I180" s="874"/>
      <c r="J180" s="135"/>
      <c r="K180" s="133" t="s">
        <v>223</v>
      </c>
      <c r="L180" s="134">
        <f>+L167+L154+L148+L108+L94</f>
        <v>49268797.626025468</v>
      </c>
      <c r="M180" s="1002"/>
      <c r="O180" s="133" t="s">
        <v>223</v>
      </c>
      <c r="P180" s="134">
        <f>+P167+P154+P148+P108+P94</f>
        <v>50355603.269451134</v>
      </c>
      <c r="Q180" s="1002"/>
      <c r="R180" s="331"/>
      <c r="S180" s="134" t="s">
        <v>223</v>
      </c>
      <c r="T180" s="134">
        <f>+T148+T108+T92+T80+T65</f>
        <v>40229351</v>
      </c>
      <c r="U180" s="136"/>
      <c r="W180" s="134" t="s">
        <v>223</v>
      </c>
      <c r="X180" s="134">
        <f>+X148+X108+X92+X80+X65</f>
        <v>41270322</v>
      </c>
      <c r="Y180" s="136"/>
      <c r="AA180" s="134" t="s">
        <v>223</v>
      </c>
      <c r="AB180" s="134">
        <f>+AB148+AB108+AB92+AB80+AB65</f>
        <v>42344090</v>
      </c>
      <c r="AC180" s="136"/>
    </row>
    <row r="181" spans="1:29" s="1027" customFormat="1" x14ac:dyDescent="0.25">
      <c r="A181" s="140"/>
      <c r="B181" s="993"/>
      <c r="C181" s="1029"/>
      <c r="D181" s="1030">
        <f>+D170-D180</f>
        <v>0</v>
      </c>
      <c r="E181" s="998"/>
      <c r="G181" s="1858"/>
      <c r="H181" s="1030">
        <f>+H170-H180</f>
        <v>0</v>
      </c>
      <c r="I181" s="998"/>
      <c r="J181" s="140"/>
      <c r="K181" s="1858"/>
      <c r="L181" s="1030">
        <f>+L170-L180</f>
        <v>0</v>
      </c>
      <c r="M181" s="1028"/>
      <c r="O181" s="1858"/>
      <c r="P181" s="1030">
        <f>+P170-P180</f>
        <v>0</v>
      </c>
      <c r="Q181" s="1088"/>
      <c r="R181" s="322"/>
      <c r="S181" s="1030"/>
      <c r="T181" s="1030"/>
      <c r="W181" s="1030"/>
      <c r="X181" s="1030"/>
      <c r="AA181" s="1030"/>
      <c r="AB181" s="1030"/>
    </row>
    <row r="182" spans="1:29" s="1027" customFormat="1" ht="11.25" x14ac:dyDescent="0.2">
      <c r="A182" s="140"/>
      <c r="B182" s="993"/>
      <c r="C182" s="1029"/>
      <c r="D182" s="1030"/>
      <c r="E182" s="998"/>
      <c r="G182" s="1858"/>
      <c r="H182" s="1030"/>
      <c r="I182" s="998"/>
      <c r="J182" s="140"/>
      <c r="K182" s="1858"/>
      <c r="L182" s="1030"/>
      <c r="M182" s="1088"/>
      <c r="O182" s="1858"/>
      <c r="P182" s="1030"/>
      <c r="Q182" s="1088"/>
      <c r="R182" s="331"/>
      <c r="S182" s="1030"/>
      <c r="T182" s="1030"/>
      <c r="W182" s="1030"/>
      <c r="X182" s="1030"/>
      <c r="AA182" s="1030"/>
      <c r="AB182" s="1030"/>
    </row>
    <row r="183" spans="1:29" s="36" customFormat="1" ht="15" customHeight="1" x14ac:dyDescent="0.25">
      <c r="A183" s="66"/>
      <c r="B183" s="995"/>
      <c r="C183" s="995"/>
      <c r="D183" s="5"/>
      <c r="E183" s="871"/>
      <c r="G183" s="376"/>
      <c r="H183" s="5"/>
      <c r="I183" s="871"/>
      <c r="J183" s="66"/>
      <c r="K183" s="376"/>
      <c r="L183" s="5"/>
      <c r="M183" s="1081"/>
      <c r="O183" s="376"/>
      <c r="P183" s="5"/>
      <c r="Q183" s="1081"/>
      <c r="R183" s="322"/>
      <c r="S183" s="332"/>
      <c r="T183" s="5"/>
      <c r="W183" s="332"/>
      <c r="X183" s="5"/>
      <c r="AA183" s="332"/>
      <c r="AB183" s="5"/>
    </row>
    <row r="184" spans="1:29" x14ac:dyDescent="0.25">
      <c r="A184" s="66"/>
      <c r="B184" s="995"/>
      <c r="C184" s="995"/>
      <c r="D184" s="36"/>
      <c r="R184" s="331"/>
    </row>
    <row r="185" spans="1:29" x14ac:dyDescent="0.25">
      <c r="A185" s="66"/>
      <c r="B185" s="983"/>
      <c r="C185" s="871"/>
      <c r="D185" s="25"/>
    </row>
    <row r="186" spans="1:29" x14ac:dyDescent="0.25">
      <c r="B186" s="983"/>
      <c r="C186" s="871"/>
      <c r="D186" s="36"/>
      <c r="R186" s="331"/>
    </row>
    <row r="187" spans="1:29" x14ac:dyDescent="0.25">
      <c r="B187" s="983"/>
      <c r="C187" s="871"/>
      <c r="D187" s="36"/>
    </row>
    <row r="188" spans="1:29" ht="15" customHeight="1" x14ac:dyDescent="0.25">
      <c r="B188" s="983"/>
      <c r="C188" s="871"/>
      <c r="D188" s="36"/>
    </row>
    <row r="189" spans="1:29" x14ac:dyDescent="0.25">
      <c r="B189" s="983"/>
      <c r="C189" s="871"/>
      <c r="D189" s="36"/>
    </row>
    <row r="190" spans="1:29" x14ac:dyDescent="0.25">
      <c r="B190" s="983"/>
      <c r="C190" s="871"/>
      <c r="D190" s="36"/>
    </row>
    <row r="191" spans="1:29" ht="15" customHeight="1" x14ac:dyDescent="0.25">
      <c r="B191" s="2208"/>
      <c r="C191" s="2208"/>
      <c r="D191" s="36"/>
    </row>
    <row r="192" spans="1:29" x14ac:dyDescent="0.25">
      <c r="B192" s="2208"/>
      <c r="C192" s="2208"/>
      <c r="D192" s="36"/>
    </row>
    <row r="193" spans="2:4" x14ac:dyDescent="0.25">
      <c r="B193" s="983"/>
      <c r="C193" s="871"/>
      <c r="D193" s="6"/>
    </row>
    <row r="194" spans="2:4" x14ac:dyDescent="0.25">
      <c r="B194" s="983"/>
      <c r="C194" s="871"/>
      <c r="D194" s="36"/>
    </row>
    <row r="195" spans="2:4" x14ac:dyDescent="0.25">
      <c r="B195" s="983"/>
      <c r="C195" s="871"/>
      <c r="D195" s="36"/>
    </row>
    <row r="196" spans="2:4" ht="28.5" customHeight="1" x14ac:dyDescent="0.25">
      <c r="B196" s="983"/>
      <c r="C196" s="871"/>
      <c r="D196" s="25"/>
    </row>
    <row r="197" spans="2:4" x14ac:dyDescent="0.25">
      <c r="B197" s="983"/>
      <c r="C197" s="871"/>
      <c r="D197" s="36"/>
    </row>
    <row r="198" spans="2:4" x14ac:dyDescent="0.25">
      <c r="B198" s="983"/>
      <c r="C198" s="871"/>
      <c r="D198" s="36"/>
    </row>
    <row r="199" spans="2:4" x14ac:dyDescent="0.25">
      <c r="B199" s="983"/>
      <c r="C199" s="871"/>
      <c r="D199" s="36"/>
    </row>
    <row r="200" spans="2:4" x14ac:dyDescent="0.25">
      <c r="B200" s="983"/>
      <c r="C200" s="871"/>
      <c r="D200" s="36"/>
    </row>
    <row r="201" spans="2:4" x14ac:dyDescent="0.25">
      <c r="B201" s="983"/>
      <c r="C201" s="871"/>
      <c r="D201" s="36"/>
    </row>
    <row r="202" spans="2:4" x14ac:dyDescent="0.25">
      <c r="B202" s="983"/>
      <c r="C202" s="871"/>
      <c r="D202" s="36"/>
    </row>
    <row r="203" spans="2:4" x14ac:dyDescent="0.25">
      <c r="B203" s="983"/>
      <c r="C203" s="871"/>
      <c r="D203" s="36"/>
    </row>
    <row r="204" spans="2:4" x14ac:dyDescent="0.25">
      <c r="B204" s="983"/>
      <c r="C204" s="871"/>
      <c r="D204" s="36"/>
    </row>
    <row r="205" spans="2:4" x14ac:dyDescent="0.25">
      <c r="B205" s="983"/>
      <c r="C205" s="871"/>
      <c r="D205" s="36"/>
    </row>
    <row r="206" spans="2:4" x14ac:dyDescent="0.25">
      <c r="B206" s="983"/>
      <c r="C206" s="871"/>
      <c r="D206" s="36"/>
    </row>
    <row r="207" spans="2:4" x14ac:dyDescent="0.25">
      <c r="B207" s="983"/>
      <c r="C207" s="871"/>
      <c r="D207" s="36"/>
    </row>
    <row r="208" spans="2:4" x14ac:dyDescent="0.25">
      <c r="B208" s="983"/>
      <c r="C208" s="871"/>
      <c r="D208" s="36"/>
    </row>
    <row r="209" spans="2:4" x14ac:dyDescent="0.25">
      <c r="B209" s="983"/>
      <c r="C209" s="871"/>
      <c r="D209" s="36"/>
    </row>
    <row r="210" spans="2:4" x14ac:dyDescent="0.25">
      <c r="B210" s="983"/>
      <c r="C210" s="871"/>
      <c r="D210" s="36"/>
    </row>
    <row r="211" spans="2:4" x14ac:dyDescent="0.25">
      <c r="B211" s="983"/>
      <c r="C211" s="871"/>
      <c r="D211" s="36"/>
    </row>
  </sheetData>
  <sheetProtection password="B79F" sheet="1" objects="1" scenarios="1"/>
  <mergeCells count="1">
    <mergeCell ref="B191:C192"/>
  </mergeCells>
  <pageMargins left="0.25" right="0.25" top="0.5" bottom="0.5" header="0.25" footer="0.25"/>
  <pageSetup paperSize="17" scale="44" orientation="portrait" r:id="rId1"/>
  <headerFooter>
    <oddHeader>&amp;L&amp;F</oddHeader>
    <oddFooter>&amp;R&amp;A</oddFooter>
  </headerFooter>
  <rowBreaks count="1" manualBreakCount="1">
    <brk id="183" max="16383" man="1"/>
  </rowBreaks>
  <ignoredErrors>
    <ignoredError sqref="B24:B25 B15:B19"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126"/>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1.7109375" style="146" customWidth="1"/>
    <col min="2" max="2" width="8.5703125" style="930" customWidth="1"/>
    <col min="3" max="3" width="22.42578125" style="857" customWidth="1"/>
    <col min="4" max="4" width="16" style="2" customWidth="1"/>
    <col min="5" max="5" width="17.7109375" style="857" hidden="1" customWidth="1"/>
    <col min="6" max="6" width="6" style="39" customWidth="1"/>
    <col min="7" max="7" width="9.42578125" style="52" bestFit="1" customWidth="1"/>
    <col min="8" max="8" width="13.85546875" style="122" bestFit="1" customWidth="1"/>
    <col min="9" max="9" width="26" style="868" hidden="1" customWidth="1"/>
    <col min="10" max="10" width="5.7109375" style="59" customWidth="1"/>
    <col min="11" max="11" width="9.7109375" style="377" bestFit="1" customWidth="1"/>
    <col min="12" max="12" width="14" style="123" bestFit="1" customWidth="1"/>
    <col min="13" max="13" width="26" style="857" hidden="1" customWidth="1"/>
    <col min="14" max="14" width="5.7109375" style="39" customWidth="1"/>
    <col min="15" max="15" width="9.42578125" style="377" bestFit="1" customWidth="1"/>
    <col min="16" max="16" width="14" style="2" bestFit="1" customWidth="1"/>
    <col min="17" max="17" width="24.85546875" style="857"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930" t="s">
        <v>61</v>
      </c>
      <c r="C1" s="931" t="s">
        <v>282</v>
      </c>
      <c r="D1" s="97">
        <v>0</v>
      </c>
      <c r="E1" s="855"/>
      <c r="F1" s="98"/>
      <c r="G1" s="369"/>
      <c r="H1" s="99">
        <v>0</v>
      </c>
      <c r="I1" s="855"/>
      <c r="L1" s="122">
        <v>0</v>
      </c>
      <c r="M1" s="855"/>
      <c r="P1" s="122">
        <v>0</v>
      </c>
      <c r="Q1" s="855"/>
      <c r="T1" s="86">
        <v>0</v>
      </c>
      <c r="U1" s="98"/>
      <c r="X1" s="86">
        <v>0</v>
      </c>
      <c r="Y1" s="98"/>
      <c r="AB1" s="86">
        <v>0</v>
      </c>
      <c r="AC1" s="98"/>
    </row>
    <row r="2" spans="1:29" ht="17.25" x14ac:dyDescent="0.4">
      <c r="B2" s="932" t="s">
        <v>59</v>
      </c>
      <c r="C2" s="1031" t="s">
        <v>825</v>
      </c>
      <c r="D2" s="99">
        <v>0</v>
      </c>
      <c r="E2" s="855"/>
      <c r="F2" s="98"/>
      <c r="G2" s="370"/>
      <c r="H2" s="99">
        <v>0</v>
      </c>
      <c r="I2" s="855"/>
      <c r="L2" s="87">
        <v>0</v>
      </c>
      <c r="M2" s="855"/>
      <c r="P2" s="87">
        <v>0</v>
      </c>
      <c r="Q2" s="855"/>
      <c r="T2" s="87">
        <v>0</v>
      </c>
      <c r="U2" s="98"/>
      <c r="X2" s="87">
        <v>0</v>
      </c>
      <c r="Y2" s="98"/>
      <c r="AB2" s="87">
        <v>0</v>
      </c>
      <c r="AC2" s="98"/>
    </row>
    <row r="3" spans="1:29" x14ac:dyDescent="0.25">
      <c r="D3" s="323">
        <f>+SUM(D1:D2)</f>
        <v>0</v>
      </c>
      <c r="E3" s="856"/>
      <c r="F3" s="100"/>
      <c r="G3" s="83"/>
      <c r="H3" s="323">
        <f>+SUM(H1:H2)</f>
        <v>0</v>
      </c>
      <c r="I3" s="867"/>
      <c r="L3" s="122">
        <f>SUM(L1:L2)</f>
        <v>0</v>
      </c>
      <c r="M3" s="868"/>
      <c r="P3" s="122">
        <f>SUM(P1:P2)</f>
        <v>0</v>
      </c>
      <c r="Q3" s="868"/>
      <c r="T3" s="86">
        <f>SUM(T1:T2)</f>
        <v>0</v>
      </c>
      <c r="U3" s="51"/>
      <c r="X3" s="86">
        <f>SUM(X1:X2)</f>
        <v>0</v>
      </c>
      <c r="Y3" s="51"/>
      <c r="AB3" s="86">
        <f>SUM(AB1:AB2)</f>
        <v>0</v>
      </c>
      <c r="AC3" s="51"/>
    </row>
    <row r="4" spans="1:29" x14ac:dyDescent="0.25">
      <c r="L4" s="122"/>
      <c r="M4" s="868"/>
      <c r="P4" s="122"/>
      <c r="Q4" s="868"/>
      <c r="T4" s="86"/>
      <c r="U4" s="51"/>
      <c r="X4" s="86"/>
      <c r="Y4" s="51"/>
      <c r="AB4" s="86"/>
      <c r="AC4" s="51"/>
    </row>
    <row r="5" spans="1:29" ht="15.75" x14ac:dyDescent="0.25">
      <c r="B5" s="934" t="s">
        <v>56</v>
      </c>
      <c r="P5" s="123"/>
      <c r="T5" s="73"/>
      <c r="X5" s="73"/>
      <c r="AB5" s="73"/>
    </row>
    <row r="6" spans="1:29" s="89" customFormat="1" ht="15.75" x14ac:dyDescent="0.25">
      <c r="A6" s="147"/>
      <c r="B6" s="935"/>
      <c r="C6" s="935"/>
      <c r="D6" s="284" t="s">
        <v>55</v>
      </c>
      <c r="E6" s="858"/>
      <c r="G6" s="371"/>
      <c r="H6" s="324" t="str">
        <f>LEFT(D6,4)+1&amp;"-"&amp;RIGHT(D6,4)+1</f>
        <v>2017-2018</v>
      </c>
      <c r="I6" s="869"/>
      <c r="J6" s="93"/>
      <c r="K6" s="378"/>
      <c r="L6" s="124" t="str">
        <f>LEFT(H6,4)+1&amp;"-"&amp;RIGHT(H6,4)+1</f>
        <v>2018-2019</v>
      </c>
      <c r="M6" s="946"/>
      <c r="N6" s="96"/>
      <c r="O6" s="381"/>
      <c r="P6" s="124" t="str">
        <f>LEFT(L6,4)+1&amp;"-"&amp;RIGHT(L6,4)+1</f>
        <v>2019-2020</v>
      </c>
      <c r="Q6" s="94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936" t="s">
        <v>54</v>
      </c>
      <c r="D7" s="2">
        <v>1526770.77</v>
      </c>
      <c r="E7" s="928"/>
      <c r="H7" s="2">
        <f>+D89</f>
        <v>816257.51</v>
      </c>
      <c r="I7" s="928"/>
      <c r="J7" s="60"/>
      <c r="L7" s="2">
        <f>H89</f>
        <v>1792137.51</v>
      </c>
      <c r="M7" s="928"/>
      <c r="P7" s="2">
        <f>L89</f>
        <v>420757.51</v>
      </c>
      <c r="Q7" s="928"/>
      <c r="T7" s="2">
        <f>P89</f>
        <v>822257.51</v>
      </c>
      <c r="U7" s="105"/>
      <c r="X7" s="2">
        <f>T89</f>
        <v>1223757.51</v>
      </c>
      <c r="Y7" s="105"/>
      <c r="AB7" s="2">
        <f>X89</f>
        <v>1173933.51</v>
      </c>
      <c r="AC7" s="105"/>
    </row>
    <row r="8" spans="1:29" x14ac:dyDescent="0.25">
      <c r="E8" s="928"/>
      <c r="H8" s="2"/>
      <c r="I8" s="928"/>
      <c r="L8" s="2"/>
      <c r="M8" s="928"/>
      <c r="Q8" s="928"/>
      <c r="U8" s="105"/>
      <c r="Y8" s="105"/>
      <c r="AC8" s="105"/>
    </row>
    <row r="9" spans="1:29" x14ac:dyDescent="0.25">
      <c r="B9" s="930" t="s">
        <v>52</v>
      </c>
      <c r="C9" s="857" t="s">
        <v>408</v>
      </c>
      <c r="D9" s="2">
        <v>450000</v>
      </c>
      <c r="E9" s="928" t="s">
        <v>986</v>
      </c>
      <c r="G9" s="83">
        <f>IF(D9=0,"0.00%",(H9-D9)/D9)</f>
        <v>0</v>
      </c>
      <c r="H9" s="3">
        <v>450000</v>
      </c>
      <c r="I9" s="928" t="s">
        <v>986</v>
      </c>
      <c r="J9" s="61"/>
      <c r="K9" s="83">
        <f>IF(H9=0,"0.00%",(L9-H9)/H9)</f>
        <v>0</v>
      </c>
      <c r="L9" s="3">
        <f>+H9</f>
        <v>450000</v>
      </c>
      <c r="M9" s="928" t="s">
        <v>986</v>
      </c>
      <c r="O9" s="83">
        <f>IF(L9=0,"0.00%",(P9-L9)/L9)</f>
        <v>0</v>
      </c>
      <c r="P9" s="3">
        <f>+L9</f>
        <v>450000</v>
      </c>
      <c r="Q9" s="928" t="s">
        <v>986</v>
      </c>
      <c r="S9" s="83">
        <f>IF(P9=0,"0.00%",(T9-P9)/P9)</f>
        <v>0</v>
      </c>
      <c r="T9" s="3">
        <f>+P9</f>
        <v>450000</v>
      </c>
      <c r="U9" s="105"/>
      <c r="W9" s="83">
        <f>IF(T9=0,"0.00%",(X9-T9)/T9)</f>
        <v>-1</v>
      </c>
      <c r="X9" s="3">
        <f>X3</f>
        <v>0</v>
      </c>
      <c r="Y9" s="105"/>
      <c r="AA9" s="83" t="str">
        <f>IF(X9=0,"0.00%",(AB9-X9)/X9)</f>
        <v>0.00%</v>
      </c>
      <c r="AB9" s="3">
        <f>AB3</f>
        <v>0</v>
      </c>
      <c r="AC9" s="105"/>
    </row>
    <row r="10" spans="1:29" x14ac:dyDescent="0.25">
      <c r="C10" s="857" t="s">
        <v>466</v>
      </c>
      <c r="D10" s="2">
        <v>807000</v>
      </c>
      <c r="E10" s="928"/>
      <c r="G10" s="83">
        <f t="shared" ref="G10:G15" si="0">IF(D10=0,"0.00%",(H10-D10)/D10)</f>
        <v>-0.28825278810408922</v>
      </c>
      <c r="H10" s="3">
        <v>574380</v>
      </c>
      <c r="I10" s="928" t="s">
        <v>987</v>
      </c>
      <c r="J10" s="61"/>
      <c r="K10" s="83">
        <f>IF(H10=0,"0.00%",(L10-H10)/H10)</f>
        <v>-1</v>
      </c>
      <c r="L10" s="3"/>
      <c r="M10" s="928"/>
      <c r="O10" s="83" t="str">
        <f>IF(L10=0,"0.00%",(P10-L10)/L10)</f>
        <v>0.00%</v>
      </c>
      <c r="P10" s="3">
        <f>-L2</f>
        <v>0</v>
      </c>
      <c r="Q10" s="928"/>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936" t="s">
        <v>137</v>
      </c>
      <c r="D11" s="8">
        <f>SUM(D9:D10)</f>
        <v>1257000</v>
      </c>
      <c r="E11" s="928"/>
      <c r="G11" s="83">
        <f t="shared" si="0"/>
        <v>-0.18505966587112171</v>
      </c>
      <c r="H11" s="8">
        <f>SUM(H9:H10)</f>
        <v>1024380</v>
      </c>
      <c r="I11" s="1292">
        <f>+H11-D11</f>
        <v>-232620</v>
      </c>
      <c r="J11" s="62"/>
      <c r="K11" s="83">
        <f>IF(H11=0,"0.00%",(L11-H11)/H11)</f>
        <v>-0.56070989281321382</v>
      </c>
      <c r="L11" s="8">
        <f>SUM(L9:L10)</f>
        <v>450000</v>
      </c>
      <c r="M11" s="1292">
        <f>+L11-H11</f>
        <v>-574380</v>
      </c>
      <c r="O11" s="83">
        <f>IF(L11=0,"0.00%",(P11-L11)/L11)</f>
        <v>0</v>
      </c>
      <c r="P11" s="8">
        <f>SUM(P9:P10)</f>
        <v>450000</v>
      </c>
      <c r="Q11" s="1292">
        <f>+P11-L11</f>
        <v>0</v>
      </c>
      <c r="S11" s="83">
        <f>IF(P11=0,"0.00%",(T11-P11)/P11)</f>
        <v>0</v>
      </c>
      <c r="T11" s="78">
        <f>SUM(T9:T10)</f>
        <v>450000</v>
      </c>
      <c r="U11" s="105"/>
      <c r="W11" s="83">
        <f>IF(T11=0,"0.00%",(X11-T11)/T11)</f>
        <v>-1</v>
      </c>
      <c r="X11" s="78">
        <f>SUM(X9:X10)</f>
        <v>0</v>
      </c>
      <c r="Y11" s="105"/>
      <c r="AA11" s="83" t="str">
        <f>IF(X11=0,"0.00%",(AB11-X11)/X11)</f>
        <v>0.00%</v>
      </c>
      <c r="AB11" s="78">
        <f>SUM(AB9:AB10)</f>
        <v>0</v>
      </c>
      <c r="AC11" s="105"/>
    </row>
    <row r="12" spans="1:29" x14ac:dyDescent="0.25">
      <c r="E12" s="928"/>
      <c r="H12" s="3"/>
      <c r="I12" s="928"/>
      <c r="J12" s="63"/>
      <c r="K12" s="52"/>
      <c r="L12" s="3"/>
      <c r="M12" s="928"/>
      <c r="O12" s="52"/>
      <c r="P12" s="3"/>
      <c r="Q12" s="928"/>
      <c r="S12" s="46"/>
      <c r="T12" s="44"/>
      <c r="U12" s="105"/>
      <c r="W12" s="46"/>
      <c r="X12" s="44"/>
      <c r="Y12" s="105"/>
      <c r="AA12" s="46"/>
      <c r="AB12" s="44"/>
      <c r="AC12" s="105"/>
    </row>
    <row r="13" spans="1:29" x14ac:dyDescent="0.25">
      <c r="C13" s="938" t="s">
        <v>64</v>
      </c>
      <c r="D13" s="9">
        <f>ROUND(D11-(D11/(1+E13)),0)</f>
        <v>0</v>
      </c>
      <c r="E13" s="1032">
        <v>0</v>
      </c>
      <c r="G13" s="83" t="str">
        <f t="shared" si="0"/>
        <v>0.00%</v>
      </c>
      <c r="H13" s="9">
        <f>ROUND(H11-(H11/(1+E13)),0)</f>
        <v>0</v>
      </c>
      <c r="I13" s="928"/>
      <c r="J13" s="64"/>
      <c r="K13" s="83" t="str">
        <f>IF(H13=0,"0.00%",(L13-H13)/H13)</f>
        <v>0.00%</v>
      </c>
      <c r="L13" s="9">
        <f>ROUND(L11-(L11/(1+E13)),0)</f>
        <v>0</v>
      </c>
      <c r="M13" s="928"/>
      <c r="O13" s="83" t="str">
        <f>IF(L13=0,"0.00%",(P13-L13)/L13)</f>
        <v>0.00%</v>
      </c>
      <c r="P13" s="9">
        <f>ROUND(P11-(P11/(1+E13)),0)</f>
        <v>0</v>
      </c>
      <c r="Q13" s="928"/>
      <c r="S13" s="83" t="str">
        <f>IF(P13=0,"0.00%",(T13-P13)/P13)</f>
        <v>0.00%</v>
      </c>
      <c r="T13" s="77">
        <f>ROUND(T11-(T11/(1+E13)),0)</f>
        <v>0</v>
      </c>
      <c r="U13" s="105"/>
      <c r="W13" s="83" t="str">
        <f>IF(T13=0,"0.00%",(X13-T13)/T13)</f>
        <v>0.00%</v>
      </c>
      <c r="X13" s="77">
        <f>ROUND(X11-(X11/(1+E13)),0)</f>
        <v>0</v>
      </c>
      <c r="Y13" s="105"/>
      <c r="AA13" s="83" t="str">
        <f>IF(X13=0,"0.00%",(AB13-X13)/X13)</f>
        <v>0.00%</v>
      </c>
      <c r="AB13" s="77">
        <f>ROUND(AB11-(AB11/(1+G13)),0)</f>
        <v>0</v>
      </c>
      <c r="AC13" s="105"/>
    </row>
    <row r="14" spans="1:29" x14ac:dyDescent="0.25">
      <c r="E14" s="928"/>
      <c r="H14" s="3"/>
      <c r="I14" s="928"/>
      <c r="J14" s="63"/>
      <c r="K14" s="52"/>
      <c r="L14" s="3"/>
      <c r="M14" s="928"/>
      <c r="O14" s="52"/>
      <c r="P14" s="3"/>
      <c r="Q14" s="928"/>
      <c r="S14" s="46"/>
      <c r="T14" s="44"/>
      <c r="U14" s="105"/>
      <c r="W14" s="46"/>
      <c r="X14" s="44"/>
      <c r="Y14" s="105"/>
      <c r="AA14" s="46"/>
      <c r="AB14" s="44"/>
      <c r="AC14" s="105"/>
    </row>
    <row r="15" spans="1:29" x14ac:dyDescent="0.25">
      <c r="B15" s="936" t="s">
        <v>50</v>
      </c>
      <c r="D15" s="10">
        <f>+D11+D7-D13</f>
        <v>2783770.77</v>
      </c>
      <c r="E15" s="928"/>
      <c r="G15" s="83">
        <f t="shared" si="0"/>
        <v>-0.338797026739382</v>
      </c>
      <c r="H15" s="10">
        <f>+H11+H7-H13</f>
        <v>1840637.51</v>
      </c>
      <c r="I15" s="928"/>
      <c r="J15" s="62"/>
      <c r="K15" s="83">
        <f>IF(H15=0,"0.00%",(L15-H15)/H15)</f>
        <v>0.21813094529405724</v>
      </c>
      <c r="L15" s="10">
        <f>+L11+L7-L13</f>
        <v>2242137.5099999998</v>
      </c>
      <c r="M15" s="928"/>
      <c r="O15" s="83">
        <f>IF(L15=0,"0.00%",(P15-L15)/L15)</f>
        <v>-0.61163955996615027</v>
      </c>
      <c r="P15" s="10">
        <f>+P11+P7-P13</f>
        <v>870757.51</v>
      </c>
      <c r="Q15" s="928"/>
      <c r="S15" s="83">
        <f>IF(P15=0,"0.00%",(T15-P15)/P15)</f>
        <v>-0.48320859156299439</v>
      </c>
      <c r="T15" s="19">
        <f>T11-T13</f>
        <v>450000</v>
      </c>
      <c r="U15" s="105"/>
      <c r="W15" s="83">
        <f>IF(T15=0,"0.00%",(X15-T15)/T15)</f>
        <v>-1</v>
      </c>
      <c r="X15" s="19">
        <f>X11-X13</f>
        <v>0</v>
      </c>
      <c r="Y15" s="105"/>
      <c r="AA15" s="83" t="str">
        <f>IF(X15=0,"0.00%",(AB15-X15)/X15)</f>
        <v>0.00%</v>
      </c>
      <c r="AB15" s="19">
        <f>AB11-AB13</f>
        <v>0</v>
      </c>
      <c r="AC15" s="105"/>
    </row>
    <row r="16" spans="1:29" x14ac:dyDescent="0.25">
      <c r="E16" s="928"/>
      <c r="H16" s="3"/>
      <c r="I16" s="928"/>
      <c r="J16" s="62"/>
      <c r="L16" s="3"/>
      <c r="M16" s="928"/>
      <c r="P16" s="3"/>
      <c r="Q16" s="928"/>
      <c r="T16" s="49"/>
      <c r="U16" s="105"/>
      <c r="X16" s="49"/>
      <c r="Y16" s="105"/>
      <c r="AB16" s="49"/>
      <c r="AC16" s="105"/>
    </row>
    <row r="17" spans="1:29" x14ac:dyDescent="0.25">
      <c r="C17" s="930"/>
      <c r="E17" s="928"/>
      <c r="H17" s="3"/>
      <c r="I17" s="928"/>
      <c r="J17" s="63"/>
      <c r="L17" s="3"/>
      <c r="M17" s="928"/>
      <c r="P17" s="3"/>
      <c r="Q17" s="928"/>
      <c r="T17" s="44"/>
      <c r="U17" s="105"/>
      <c r="X17" s="44"/>
      <c r="Y17" s="105"/>
      <c r="AB17" s="44"/>
      <c r="AC17" s="105"/>
    </row>
    <row r="18" spans="1:29" x14ac:dyDescent="0.25">
      <c r="A18" s="148"/>
      <c r="D18" s="29" t="s">
        <v>826</v>
      </c>
      <c r="E18" s="929"/>
      <c r="F18" s="32"/>
      <c r="H18" s="29" t="s">
        <v>177</v>
      </c>
      <c r="I18" s="929"/>
      <c r="J18" s="65"/>
      <c r="M18" s="929"/>
      <c r="Q18" s="929"/>
      <c r="U18" s="106"/>
      <c r="Y18" s="106"/>
      <c r="AC18" s="106"/>
    </row>
    <row r="19" spans="1:29" ht="17.25" x14ac:dyDescent="0.4">
      <c r="A19" s="149"/>
      <c r="D19" s="35" t="s">
        <v>827</v>
      </c>
      <c r="E19" s="860"/>
      <c r="F19" s="34"/>
      <c r="H19" s="35" t="s">
        <v>48</v>
      </c>
      <c r="I19" s="1003">
        <v>0.02</v>
      </c>
      <c r="J19" s="29"/>
      <c r="L19" s="14" t="s">
        <v>48</v>
      </c>
      <c r="M19" s="1003">
        <v>0.02</v>
      </c>
      <c r="P19" s="14" t="s">
        <v>48</v>
      </c>
      <c r="Q19" s="1003">
        <v>0.02</v>
      </c>
      <c r="T19" s="14" t="s">
        <v>48</v>
      </c>
      <c r="U19" s="104">
        <v>0.02</v>
      </c>
      <c r="X19" s="14" t="s">
        <v>48</v>
      </c>
      <c r="Y19" s="104">
        <v>0.02</v>
      </c>
      <c r="AB19" s="14" t="s">
        <v>48</v>
      </c>
      <c r="AC19" s="104">
        <v>0.02</v>
      </c>
    </row>
    <row r="20" spans="1:29" s="13" customFormat="1" hidden="1" x14ac:dyDescent="0.25">
      <c r="A20" s="150"/>
      <c r="B20" s="936" t="s">
        <v>46</v>
      </c>
      <c r="C20" s="938"/>
      <c r="D20" s="10"/>
      <c r="E20" s="861"/>
      <c r="F20" s="10"/>
      <c r="G20" s="372"/>
      <c r="H20" s="10"/>
      <c r="I20" s="864"/>
      <c r="J20" s="57"/>
      <c r="K20" s="379"/>
      <c r="L20" s="10"/>
      <c r="M20" s="947"/>
      <c r="O20" s="379"/>
      <c r="P20" s="10"/>
      <c r="Q20" s="947"/>
      <c r="R20" s="111"/>
      <c r="T20" s="10"/>
      <c r="U20" s="74"/>
      <c r="X20" s="10"/>
      <c r="Y20" s="74"/>
      <c r="AB20" s="10"/>
      <c r="AC20" s="74"/>
    </row>
    <row r="21" spans="1:29" hidden="1" x14ac:dyDescent="0.25">
      <c r="A21" s="151"/>
      <c r="B21" s="939"/>
      <c r="D21" s="2">
        <v>0</v>
      </c>
      <c r="E21" s="863"/>
      <c r="F21" s="2"/>
      <c r="G21" s="83" t="str">
        <f t="shared" ref="G21:G30" si="1">IF(D21=0,"0.00%",(H21-D21)/D21)</f>
        <v>0.00%</v>
      </c>
      <c r="H21" s="2">
        <f t="shared" ref="H21:H27" si="2">ROUND(D21*(1+$I$19),0)</f>
        <v>0</v>
      </c>
      <c r="I21" s="854" t="str">
        <f t="shared" ref="I21:I28" si="3">TEXT($I$19,"0.0%")&amp;" = Est. S &amp; C"</f>
        <v>2.0% = Est. S &amp; C</v>
      </c>
      <c r="J21" s="66"/>
      <c r="K21" s="83" t="str">
        <f t="shared" ref="K21:K27" si="4">IF(H21=0,"0.00%",(L21-H21)/H21)</f>
        <v>0.00%</v>
      </c>
      <c r="L21" s="2">
        <f>ROUND(H21*(1+M19),0)</f>
        <v>0</v>
      </c>
      <c r="M21" s="871" t="str">
        <f>TEXT(M19,"0.0%")&amp;" = Est. S &amp; C"</f>
        <v>2.0% = Est. S &amp; C</v>
      </c>
      <c r="O21" s="83" t="str">
        <f t="shared" ref="O21:O27" si="5">IF(L21=0,"0.00%",(P21-L21)/L21)</f>
        <v>0.00%</v>
      </c>
      <c r="P21" s="2">
        <f>ROUND(L21*(1+Q19),0)</f>
        <v>0</v>
      </c>
      <c r="Q21" s="871"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2"/>
      <c r="B22" s="939"/>
      <c r="D22" s="2">
        <v>0</v>
      </c>
      <c r="E22" s="863"/>
      <c r="F22" s="2"/>
      <c r="G22" s="83" t="str">
        <f t="shared" si="1"/>
        <v>0.00%</v>
      </c>
      <c r="H22" s="2">
        <f t="shared" si="2"/>
        <v>0</v>
      </c>
      <c r="I22" s="871" t="str">
        <f t="shared" si="3"/>
        <v>2.0% = Est. S &amp; C</v>
      </c>
      <c r="J22" s="66"/>
      <c r="K22" s="83" t="str">
        <f t="shared" si="4"/>
        <v>0.00%</v>
      </c>
      <c r="L22" s="2">
        <f>ROUND(H22*(1+M19),0)</f>
        <v>0</v>
      </c>
      <c r="M22" s="871" t="str">
        <f>TEXT(M19,"0.0%")&amp;" = Est. S &amp; C"</f>
        <v>2.0% = Est. S &amp; C</v>
      </c>
      <c r="O22" s="83" t="str">
        <f t="shared" si="5"/>
        <v>0.00%</v>
      </c>
      <c r="P22" s="2">
        <f>ROUND(L22*(1+Q19),0)</f>
        <v>0</v>
      </c>
      <c r="Q22" s="871"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2"/>
      <c r="B23" s="939"/>
      <c r="D23" s="2">
        <v>0</v>
      </c>
      <c r="E23" s="863"/>
      <c r="F23" s="2"/>
      <c r="G23" s="83" t="str">
        <f t="shared" si="1"/>
        <v>0.00%</v>
      </c>
      <c r="H23" s="2">
        <f t="shared" si="2"/>
        <v>0</v>
      </c>
      <c r="I23" s="871" t="str">
        <f t="shared" si="3"/>
        <v>2.0% = Est. S &amp; C</v>
      </c>
      <c r="J23" s="66"/>
      <c r="K23" s="83" t="str">
        <f t="shared" si="4"/>
        <v>0.00%</v>
      </c>
      <c r="L23" s="2">
        <f>ROUND(H23*(1+M19),0)</f>
        <v>0</v>
      </c>
      <c r="M23" s="871" t="str">
        <f>TEXT(M19,"0.0%")&amp;" = Est. S &amp; C"</f>
        <v>2.0% = Est. S &amp; C</v>
      </c>
      <c r="O23" s="83" t="str">
        <f t="shared" si="5"/>
        <v>0.00%</v>
      </c>
      <c r="P23" s="2">
        <f>ROUND(L23*(1+Q19),0)</f>
        <v>0</v>
      </c>
      <c r="Q23" s="871"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2"/>
      <c r="B24" s="939"/>
      <c r="D24" s="2">
        <v>0</v>
      </c>
      <c r="E24" s="863"/>
      <c r="F24" s="2"/>
      <c r="G24" s="83" t="str">
        <f t="shared" si="1"/>
        <v>0.00%</v>
      </c>
      <c r="H24" s="2">
        <f t="shared" si="2"/>
        <v>0</v>
      </c>
      <c r="I24" s="871" t="str">
        <f t="shared" si="3"/>
        <v>2.0% = Est. S &amp; C</v>
      </c>
      <c r="J24" s="66"/>
      <c r="K24" s="83" t="str">
        <f t="shared" si="4"/>
        <v>0.00%</v>
      </c>
      <c r="L24" s="2">
        <f>ROUND(H24*(1+M19),0)</f>
        <v>0</v>
      </c>
      <c r="M24" s="871" t="str">
        <f>TEXT(M19,"0.0%")&amp;" = Est. S &amp; C"</f>
        <v>2.0% = Est. S &amp; C</v>
      </c>
      <c r="O24" s="83" t="str">
        <f t="shared" si="5"/>
        <v>0.00%</v>
      </c>
      <c r="P24" s="2">
        <f>ROUND(L24*(1+Q19),0)</f>
        <v>0</v>
      </c>
      <c r="Q24" s="871"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2"/>
      <c r="B25" s="939"/>
      <c r="D25" s="2">
        <v>0</v>
      </c>
      <c r="E25" s="863"/>
      <c r="F25" s="2"/>
      <c r="G25" s="83" t="str">
        <f t="shared" si="1"/>
        <v>0.00%</v>
      </c>
      <c r="H25" s="2">
        <f t="shared" si="2"/>
        <v>0</v>
      </c>
      <c r="I25" s="871" t="str">
        <f t="shared" si="3"/>
        <v>2.0% = Est. S &amp; C</v>
      </c>
      <c r="J25" s="66"/>
      <c r="K25" s="83" t="str">
        <f t="shared" si="4"/>
        <v>0.00%</v>
      </c>
      <c r="L25" s="2">
        <f>ROUND(H25*(1+M19),0)</f>
        <v>0</v>
      </c>
      <c r="M25" s="871" t="str">
        <f>TEXT(M19,"0.0%")&amp;" = Est. S &amp; C"</f>
        <v>2.0% = Est. S &amp; C</v>
      </c>
      <c r="O25" s="83" t="str">
        <f t="shared" si="5"/>
        <v>0.00%</v>
      </c>
      <c r="P25" s="2">
        <f>ROUND(L25*(1+Q19),0)</f>
        <v>0</v>
      </c>
      <c r="Q25" s="871"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2"/>
      <c r="B26" s="939"/>
      <c r="D26" s="2">
        <v>0</v>
      </c>
      <c r="E26" s="863"/>
      <c r="F26" s="2"/>
      <c r="G26" s="83" t="str">
        <f t="shared" si="1"/>
        <v>0.00%</v>
      </c>
      <c r="H26" s="2">
        <f t="shared" si="2"/>
        <v>0</v>
      </c>
      <c r="I26" s="871" t="str">
        <f t="shared" si="3"/>
        <v>2.0% = Est. S &amp; C</v>
      </c>
      <c r="J26" s="66"/>
      <c r="K26" s="83" t="str">
        <f t="shared" si="4"/>
        <v>0.00%</v>
      </c>
      <c r="L26" s="2">
        <f>ROUND(H26*(1+M19),0)</f>
        <v>0</v>
      </c>
      <c r="M26" s="382" t="str">
        <f>TEXT(M19,"0.0%")&amp;" = Est. S &amp; C"</f>
        <v>2.0% = Est. S &amp; C</v>
      </c>
      <c r="O26" s="83" t="str">
        <f t="shared" si="5"/>
        <v>0.00%</v>
      </c>
      <c r="P26" s="2">
        <f>ROUND(L26*(1+Q19),0)</f>
        <v>0</v>
      </c>
      <c r="Q26" s="871"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2"/>
      <c r="B27" s="939"/>
      <c r="D27" s="2">
        <v>0</v>
      </c>
      <c r="E27" s="863"/>
      <c r="F27" s="2"/>
      <c r="G27" s="83" t="str">
        <f t="shared" si="1"/>
        <v>0.00%</v>
      </c>
      <c r="H27" s="2">
        <f t="shared" si="2"/>
        <v>0</v>
      </c>
      <c r="I27" s="871" t="str">
        <f t="shared" si="3"/>
        <v>2.0% = Est. S &amp; C</v>
      </c>
      <c r="J27" s="66"/>
      <c r="K27" s="83" t="str">
        <f t="shared" si="4"/>
        <v>0.00%</v>
      </c>
      <c r="L27" s="2">
        <f>ROUND(H27*(1+M19),0)</f>
        <v>0</v>
      </c>
      <c r="M27" s="871" t="str">
        <f>TEXT(M19,"0.0%")&amp;" = Est. S &amp; C"</f>
        <v>2.0% = Est. S &amp; C</v>
      </c>
      <c r="O27" s="83" t="str">
        <f t="shared" si="5"/>
        <v>0.00%</v>
      </c>
      <c r="P27" s="2">
        <f>ROUND(L27*(1+Q19),0)</f>
        <v>0</v>
      </c>
      <c r="Q27" s="871"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2"/>
      <c r="B28" s="939"/>
      <c r="D28" s="2">
        <v>0</v>
      </c>
      <c r="E28" s="863"/>
      <c r="F28" s="2"/>
      <c r="G28" s="83" t="str">
        <f>IF(D28=0,"0.00%",(H28-D28)/D28)</f>
        <v>0.00%</v>
      </c>
      <c r="H28" s="2">
        <f>ROUND(D28*(1+$I$19),0)</f>
        <v>0</v>
      </c>
      <c r="I28" s="871" t="str">
        <f t="shared" si="3"/>
        <v>2.0% = Est. S &amp; C</v>
      </c>
      <c r="J28" s="66"/>
      <c r="K28" s="83" t="str">
        <f>IF(H28=0,"0.00%",(L28-H28)/H28)</f>
        <v>0.00%</v>
      </c>
      <c r="L28" s="2">
        <f>ROUND(H28*(1+M20),0)</f>
        <v>0</v>
      </c>
      <c r="M28" s="871" t="str">
        <f>TEXT(M20,"0.0%")&amp;" = Est. S &amp; C"</f>
        <v>0.0% = Est. S &amp; C</v>
      </c>
      <c r="O28" s="83" t="str">
        <f>IF(L28=0,"0.00%",(P28-L28)/L28)</f>
        <v>0.00%</v>
      </c>
      <c r="P28" s="2">
        <f>ROUND(L28*(1+Q20),0)</f>
        <v>0</v>
      </c>
      <c r="Q28" s="871"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939"/>
      <c r="E29" s="863"/>
      <c r="F29" s="2"/>
      <c r="G29" s="83"/>
      <c r="H29" s="2"/>
      <c r="I29" s="871"/>
      <c r="J29" s="66"/>
      <c r="L29" s="2"/>
      <c r="M29" s="948"/>
      <c r="Q29" s="948"/>
      <c r="T29" s="2"/>
      <c r="U29" s="73"/>
      <c r="X29" s="2"/>
      <c r="Y29" s="73"/>
      <c r="AB29" s="2"/>
      <c r="AC29" s="73"/>
    </row>
    <row r="30" spans="1:29" hidden="1" x14ac:dyDescent="0.25">
      <c r="A30" s="153"/>
      <c r="B30" s="939"/>
      <c r="D30" s="8">
        <f>SUM(D21:D29)</f>
        <v>0</v>
      </c>
      <c r="E30" s="863"/>
      <c r="F30" s="2"/>
      <c r="G30" s="83" t="str">
        <f t="shared" si="1"/>
        <v>0.00%</v>
      </c>
      <c r="H30" s="8">
        <f>SUM(H21:H29)</f>
        <v>0</v>
      </c>
      <c r="I30" s="872"/>
      <c r="J30" s="29"/>
      <c r="K30" s="83" t="str">
        <f>IF(H30=0,"0.00%",(L30-H30)/H30)</f>
        <v>0.00%</v>
      </c>
      <c r="L30" s="8">
        <f>SUM(L21:L29)</f>
        <v>0</v>
      </c>
      <c r="M30" s="948"/>
      <c r="O30" s="83" t="str">
        <f>IF(L30=0,"0.00%",(P30-L30)/L30)</f>
        <v>0.00%</v>
      </c>
      <c r="P30" s="8">
        <f>SUM(P21:P29)</f>
        <v>0</v>
      </c>
      <c r="Q30" s="948"/>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2"/>
      <c r="E31" s="863"/>
      <c r="F31" s="2"/>
      <c r="H31" s="2"/>
      <c r="I31" s="854"/>
      <c r="J31" s="66"/>
      <c r="L31" s="2"/>
      <c r="M31" s="949"/>
      <c r="Q31" s="949"/>
      <c r="T31" s="2"/>
      <c r="U31" s="73"/>
      <c r="X31" s="2"/>
      <c r="Y31" s="73"/>
      <c r="AB31" s="2"/>
      <c r="AC31" s="73"/>
    </row>
    <row r="32" spans="1:29" s="4" customFormat="1" hidden="1" x14ac:dyDescent="0.25">
      <c r="A32" s="150"/>
      <c r="B32" s="940" t="s">
        <v>35</v>
      </c>
      <c r="C32" s="873"/>
      <c r="D32" s="6"/>
      <c r="E32" s="864"/>
      <c r="F32" s="6"/>
      <c r="G32" s="373"/>
      <c r="H32" s="6"/>
      <c r="I32" s="864"/>
      <c r="J32" s="57"/>
      <c r="K32" s="380"/>
      <c r="L32" s="6"/>
      <c r="M32" s="950"/>
      <c r="O32" s="380"/>
      <c r="P32" s="6"/>
      <c r="Q32" s="950"/>
      <c r="R32" s="111"/>
      <c r="T32" s="6"/>
      <c r="U32" s="71"/>
      <c r="X32" s="6"/>
      <c r="Y32" s="71"/>
      <c r="AB32" s="6"/>
      <c r="AC32" s="71"/>
    </row>
    <row r="33" spans="1:29" hidden="1" x14ac:dyDescent="0.25">
      <c r="A33" s="152"/>
      <c r="B33" s="939"/>
      <c r="D33" s="2">
        <v>0</v>
      </c>
      <c r="E33" s="863"/>
      <c r="F33" s="2"/>
      <c r="G33" s="83" t="str">
        <f t="shared" ref="G33:G39" si="9">IF(D33=0,"0.00%",(H33-D33)/D33)</f>
        <v>0.00%</v>
      </c>
      <c r="H33" s="2">
        <f t="shared" ref="H33:H39" si="10">ROUND(D33*(1+$I$19),0)</f>
        <v>0</v>
      </c>
      <c r="I33" s="871" t="str">
        <f t="shared" ref="I33:I39" si="11">TEXT($I$19,"0.0%")&amp;" = Est. S &amp; C"</f>
        <v>2.0% = Est. S &amp; C</v>
      </c>
      <c r="J33" s="66"/>
      <c r="K33" s="83" t="str">
        <f t="shared" ref="K33:K39" si="12">IF(H33=0,"0.00%",(L33-H33)/H33)</f>
        <v>0.00%</v>
      </c>
      <c r="L33" s="2">
        <f>ROUND(H33*(1+M19),0)</f>
        <v>0</v>
      </c>
      <c r="M33" s="871" t="str">
        <f>TEXT(M19,"0.0%")&amp;" = Est. S &amp; C"</f>
        <v>2.0% = Est. S &amp; C</v>
      </c>
      <c r="O33" s="83" t="str">
        <f t="shared" ref="O33:O39" si="13">IF(L33=0,"0.00%",(P33-L33)/L33)</f>
        <v>0.00%</v>
      </c>
      <c r="P33" s="2">
        <f>ROUND(L33*(1+Q19),0)</f>
        <v>0</v>
      </c>
      <c r="Q33" s="871"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2"/>
      <c r="B34" s="939"/>
      <c r="D34" s="2">
        <v>0</v>
      </c>
      <c r="E34" s="863"/>
      <c r="F34" s="2"/>
      <c r="G34" s="83" t="str">
        <f t="shared" si="9"/>
        <v>0.00%</v>
      </c>
      <c r="H34" s="2">
        <f t="shared" si="10"/>
        <v>0</v>
      </c>
      <c r="I34" s="871" t="str">
        <f t="shared" si="11"/>
        <v>2.0% = Est. S &amp; C</v>
      </c>
      <c r="J34" s="66"/>
      <c r="K34" s="83" t="str">
        <f t="shared" si="12"/>
        <v>0.00%</v>
      </c>
      <c r="L34" s="2">
        <f>ROUND(H34*(1+M19),0)</f>
        <v>0</v>
      </c>
      <c r="M34" s="871" t="str">
        <f>TEXT(M19,"0.0%")&amp;" = Est. S &amp; C"</f>
        <v>2.0% = Est. S &amp; C</v>
      </c>
      <c r="O34" s="83" t="str">
        <f t="shared" si="13"/>
        <v>0.00%</v>
      </c>
      <c r="P34" s="2">
        <f>ROUND(L34*(1+Q19),0)</f>
        <v>0</v>
      </c>
      <c r="Q34" s="871"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2"/>
      <c r="B35" s="939"/>
      <c r="D35" s="2">
        <v>0</v>
      </c>
      <c r="E35" s="863"/>
      <c r="F35" s="2"/>
      <c r="G35" s="83" t="str">
        <f t="shared" si="9"/>
        <v>0.00%</v>
      </c>
      <c r="H35" s="2">
        <f t="shared" si="10"/>
        <v>0</v>
      </c>
      <c r="I35" s="871" t="str">
        <f t="shared" si="11"/>
        <v>2.0% = Est. S &amp; C</v>
      </c>
      <c r="J35" s="66"/>
      <c r="K35" s="83" t="str">
        <f t="shared" si="12"/>
        <v>0.00%</v>
      </c>
      <c r="L35" s="2">
        <f>ROUND(H35*(1+M19),0)</f>
        <v>0</v>
      </c>
      <c r="M35" s="871" t="str">
        <f>TEXT(M19,"0.0%")&amp;" = Est. S &amp; C"</f>
        <v>2.0% = Est. S &amp; C</v>
      </c>
      <c r="O35" s="83" t="str">
        <f t="shared" si="13"/>
        <v>0.00%</v>
      </c>
      <c r="P35" s="2">
        <f>ROUND(L35*(1+Q19),0)</f>
        <v>0</v>
      </c>
      <c r="Q35" s="871"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2"/>
      <c r="B36" s="939"/>
      <c r="D36" s="2">
        <v>0</v>
      </c>
      <c r="E36" s="863"/>
      <c r="F36" s="2"/>
      <c r="G36" s="83" t="str">
        <f t="shared" si="9"/>
        <v>0.00%</v>
      </c>
      <c r="H36" s="2">
        <f t="shared" si="10"/>
        <v>0</v>
      </c>
      <c r="I36" s="871" t="str">
        <f t="shared" si="11"/>
        <v>2.0% = Est. S &amp; C</v>
      </c>
      <c r="J36" s="66"/>
      <c r="K36" s="83" t="str">
        <f t="shared" si="12"/>
        <v>0.00%</v>
      </c>
      <c r="L36" s="2">
        <f>ROUND(H36*(1+M19),0)</f>
        <v>0</v>
      </c>
      <c r="M36" s="871" t="str">
        <f>TEXT(M19,"0.0%")&amp;" = Est. S &amp; C"</f>
        <v>2.0% = Est. S &amp; C</v>
      </c>
      <c r="O36" s="83" t="str">
        <f t="shared" si="13"/>
        <v>0.00%</v>
      </c>
      <c r="P36" s="2">
        <f>ROUND(L36*(1+Q19),0)</f>
        <v>0</v>
      </c>
      <c r="Q36" s="871"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2"/>
      <c r="B37" s="939"/>
      <c r="D37" s="2">
        <v>0</v>
      </c>
      <c r="E37" s="863"/>
      <c r="F37" s="2"/>
      <c r="G37" s="83" t="str">
        <f t="shared" si="9"/>
        <v>0.00%</v>
      </c>
      <c r="H37" s="2">
        <f t="shared" si="10"/>
        <v>0</v>
      </c>
      <c r="I37" s="871" t="str">
        <f t="shared" si="11"/>
        <v>2.0% = Est. S &amp; C</v>
      </c>
      <c r="J37" s="66"/>
      <c r="K37" s="83" t="str">
        <f t="shared" si="12"/>
        <v>0.00%</v>
      </c>
      <c r="L37" s="2">
        <f>ROUND(H37*(1+M19),0)</f>
        <v>0</v>
      </c>
      <c r="M37" s="871" t="str">
        <f>TEXT(M19,"0.0%")&amp;" = Est. S &amp; C"</f>
        <v>2.0% = Est. S &amp; C</v>
      </c>
      <c r="O37" s="83" t="str">
        <f t="shared" si="13"/>
        <v>0.00%</v>
      </c>
      <c r="P37" s="2">
        <f>ROUND(L37*(1+Q19),0)</f>
        <v>0</v>
      </c>
      <c r="Q37" s="871"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2"/>
      <c r="B38" s="939"/>
      <c r="D38" s="2">
        <v>0</v>
      </c>
      <c r="E38" s="863"/>
      <c r="F38" s="2"/>
      <c r="G38" s="83" t="str">
        <f t="shared" si="9"/>
        <v>0.00%</v>
      </c>
      <c r="H38" s="2">
        <f t="shared" si="10"/>
        <v>0</v>
      </c>
      <c r="I38" s="871" t="str">
        <f t="shared" si="11"/>
        <v>2.0% = Est. S &amp; C</v>
      </c>
      <c r="J38" s="66"/>
      <c r="K38" s="83" t="str">
        <f t="shared" si="12"/>
        <v>0.00%</v>
      </c>
      <c r="L38" s="2">
        <f>ROUND(H38*(1+M19),0)</f>
        <v>0</v>
      </c>
      <c r="M38" s="871" t="str">
        <f>TEXT(M19,"0.0%")&amp;" = Est. S &amp; C"</f>
        <v>2.0% = Est. S &amp; C</v>
      </c>
      <c r="O38" s="83" t="str">
        <f t="shared" si="13"/>
        <v>0.00%</v>
      </c>
      <c r="P38" s="2">
        <f>ROUND(L38*(1+Q19),0)</f>
        <v>0</v>
      </c>
      <c r="Q38" s="871"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2"/>
      <c r="B39" s="939"/>
      <c r="D39" s="2">
        <v>0</v>
      </c>
      <c r="E39" s="863"/>
      <c r="F39" s="2"/>
      <c r="G39" s="83" t="str">
        <f t="shared" si="9"/>
        <v>0.00%</v>
      </c>
      <c r="H39" s="2">
        <f t="shared" si="10"/>
        <v>0</v>
      </c>
      <c r="I39" s="871" t="str">
        <f t="shared" si="11"/>
        <v>2.0% = Est. S &amp; C</v>
      </c>
      <c r="J39" s="66"/>
      <c r="K39" s="83" t="str">
        <f t="shared" si="12"/>
        <v>0.00%</v>
      </c>
      <c r="L39" s="2">
        <f>ROUND(H39*(1+M19),0)</f>
        <v>0</v>
      </c>
      <c r="M39" s="871" t="str">
        <f>TEXT(M19,"0.0%")&amp;" = Est. S &amp; C"</f>
        <v>2.0% = Est. S &amp; C</v>
      </c>
      <c r="O39" s="83" t="str">
        <f t="shared" si="13"/>
        <v>0.00%</v>
      </c>
      <c r="P39" s="2">
        <f>ROUND(L39*(1+Q19),0)</f>
        <v>0</v>
      </c>
      <c r="Q39" s="871"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2"/>
      <c r="B40" s="939"/>
      <c r="E40" s="863"/>
      <c r="F40" s="2"/>
      <c r="H40" s="2"/>
      <c r="I40" s="871"/>
      <c r="J40" s="66"/>
      <c r="L40" s="2"/>
      <c r="M40" s="948"/>
      <c r="Q40" s="948"/>
      <c r="T40" s="2"/>
      <c r="U40" s="73"/>
      <c r="X40" s="2"/>
      <c r="Y40" s="73"/>
      <c r="AB40" s="2"/>
      <c r="AC40" s="73"/>
    </row>
    <row r="41" spans="1:29" hidden="1" x14ac:dyDescent="0.25">
      <c r="A41" s="153"/>
      <c r="B41" s="939"/>
      <c r="D41" s="8">
        <f>SUM(D33:D40)</f>
        <v>0</v>
      </c>
      <c r="E41" s="863"/>
      <c r="F41" s="2"/>
      <c r="G41" s="83" t="str">
        <f>IF(D41=0,"0.00%",(H41-D41)/D41)</f>
        <v>0.00%</v>
      </c>
      <c r="H41" s="8">
        <f>SUM(H33:H40)</f>
        <v>0</v>
      </c>
      <c r="I41" s="872"/>
      <c r="J41" s="29"/>
      <c r="K41" s="83" t="str">
        <f>IF(H41=0,"0.00%",(L41-H41)/H41)</f>
        <v>0.00%</v>
      </c>
      <c r="L41" s="8">
        <f>SUM(L33:L40)</f>
        <v>0</v>
      </c>
      <c r="M41" s="948"/>
      <c r="O41" s="83" t="str">
        <f>IF(L41=0,"0.00%",(P41-L41)/L41)</f>
        <v>0.00%</v>
      </c>
      <c r="P41" s="8">
        <f>SUM(P33:P40)</f>
        <v>0</v>
      </c>
      <c r="Q41" s="948"/>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52"/>
      <c r="B42" s="930" t="s">
        <v>28</v>
      </c>
      <c r="E42" s="863"/>
      <c r="F42" s="2"/>
      <c r="H42" s="2"/>
      <c r="I42" s="871"/>
      <c r="J42" s="66"/>
      <c r="L42" s="2"/>
      <c r="M42" s="948"/>
      <c r="Q42" s="948"/>
      <c r="T42" s="2"/>
      <c r="U42" s="73"/>
      <c r="X42" s="2"/>
      <c r="Y42" s="73"/>
      <c r="AB42" s="2"/>
      <c r="AC42" s="73"/>
    </row>
    <row r="43" spans="1:29" hidden="1" x14ac:dyDescent="0.25">
      <c r="A43" s="154"/>
      <c r="B43" s="936" t="s">
        <v>27</v>
      </c>
      <c r="E43" s="863"/>
      <c r="F43" s="2"/>
      <c r="H43" s="2"/>
      <c r="I43" s="871"/>
      <c r="J43" s="66"/>
      <c r="L43" s="2"/>
      <c r="M43" s="948"/>
      <c r="Q43" s="948"/>
      <c r="T43" s="2"/>
      <c r="U43" s="73"/>
      <c r="X43" s="2"/>
      <c r="Y43" s="73"/>
      <c r="AB43" s="2"/>
      <c r="AC43" s="73"/>
    </row>
    <row r="44" spans="1:29" hidden="1" x14ac:dyDescent="0.25">
      <c r="A44" s="152"/>
      <c r="B44" s="939" t="s">
        <v>83</v>
      </c>
      <c r="C44" s="857" t="s">
        <v>76</v>
      </c>
      <c r="D44" s="2">
        <v>0</v>
      </c>
      <c r="E44" s="854" t="str">
        <f>TEXT('MYP Assumptions'!$D$55,"0.00%")&amp;", STRS rate"</f>
        <v>12.58%, STRS rate</v>
      </c>
      <c r="F44" s="2"/>
      <c r="G44" s="83" t="str">
        <f t="shared" ref="G44:G53" si="17">IF(D44=0,"0.00%",(H44-D44)/D44)</f>
        <v>0.00%</v>
      </c>
      <c r="H44" s="2">
        <f>ROUND(H30*LEFT(I44,6),0)</f>
        <v>0</v>
      </c>
      <c r="I44" s="854" t="str">
        <f>TEXT('MYP Assumptions'!E55,"0.00%")&amp;", projected STRS rate"</f>
        <v>14.43%, projected STRS rate</v>
      </c>
      <c r="J44" s="66"/>
      <c r="K44" s="83" t="str">
        <f t="shared" ref="K44:K53" si="18">IF(H44=0,"0.00%",(L44-H44)/H44)</f>
        <v>0.00%</v>
      </c>
      <c r="L44" s="2">
        <f>ROUND(L30*LEFT(M44,6),0)</f>
        <v>0</v>
      </c>
      <c r="M44" s="854" t="str">
        <f>TEXT('MYP Assumptions'!F55,"0.00%")&amp;", projected STRS rate"</f>
        <v>16.28%, projected STRS rate</v>
      </c>
      <c r="O44" s="83" t="str">
        <f t="shared" ref="O44:O53" si="19">IF(L44=0,"0.00%",(P44-L44)/L44)</f>
        <v>0.00%</v>
      </c>
      <c r="P44" s="2">
        <f>ROUND(P30*LEFT(Q44,6),0)</f>
        <v>0</v>
      </c>
      <c r="Q44" s="854" t="str">
        <f>TEXT('MYP Assumptions'!G55,"0.00%")&amp;", projected STRS rate"</f>
        <v>18.13%, projected STRS rate</v>
      </c>
      <c r="S44" s="83" t="str">
        <f t="shared" ref="S44:S53" si="20">IF(P44=0,"0.00%",(T44-P44)/P44)</f>
        <v>0.00%</v>
      </c>
      <c r="T44" s="2">
        <f>ROUND(T30*LEFT(U44,6),0)</f>
        <v>0</v>
      </c>
      <c r="U44" s="81" t="str">
        <f>TEXT('MYP Assumptions'!H55,"0.00%")&amp;", projected STRS rate"</f>
        <v>19.10%, projected STRS rate</v>
      </c>
      <c r="W44" s="83" t="str">
        <f t="shared" ref="W44:W53" si="21">IF(T44=0,"0.00%",(X44-T44)/T44)</f>
        <v>0.00%</v>
      </c>
      <c r="X44" s="2">
        <f>ROUND(X30*LEFT(Y44,6),0)</f>
        <v>0</v>
      </c>
      <c r="Y44" s="81" t="str">
        <f>TEXT('MYP Assumptions'!I55,"0.00%")&amp;", projected STRS rate"</f>
        <v>19.10%, projected STRS rate</v>
      </c>
      <c r="AA44" s="83" t="str">
        <f t="shared" ref="AA44:AA53" si="22">IF(X44=0,"0.00%",(AB44-X44)/X44)</f>
        <v>0.00%</v>
      </c>
      <c r="AB44" s="2">
        <f>ROUND(AB30*LEFT(AC44,6),0)</f>
        <v>0</v>
      </c>
      <c r="AC44" s="81" t="str">
        <f>TEXT('MYP Assumptions'!J55,"0.00%")&amp;", projected STRS rate"</f>
        <v>19.10%, projected STRS rate</v>
      </c>
    </row>
    <row r="45" spans="1:29" hidden="1" x14ac:dyDescent="0.25">
      <c r="A45" s="152"/>
      <c r="B45" s="939" t="s">
        <v>84</v>
      </c>
      <c r="C45" s="857" t="s">
        <v>77</v>
      </c>
      <c r="D45" s="2">
        <v>0</v>
      </c>
      <c r="E45" s="854" t="str">
        <f>TEXT('MYP Assumptions'!$D$56,"0.00%")&amp;", PERS rate"</f>
        <v>13.89%, PERS rate</v>
      </c>
      <c r="F45" s="2"/>
      <c r="G45" s="83" t="str">
        <f t="shared" si="17"/>
        <v>0.00%</v>
      </c>
      <c r="H45" s="2">
        <f>ROUND(H41*LEFT(I45,6),0)</f>
        <v>0</v>
      </c>
      <c r="I45" s="854" t="str">
        <f>TEXT('MYP Assumptions'!E56,"0.00%")&amp;", projected PERS rate"</f>
        <v>15.53%, projected PERS rate</v>
      </c>
      <c r="J45" s="66"/>
      <c r="K45" s="83" t="str">
        <f t="shared" si="18"/>
        <v>0.00%</v>
      </c>
      <c r="L45" s="2">
        <f>ROUND(L41*LEFT(M45,6),0)</f>
        <v>0</v>
      </c>
      <c r="M45" s="854" t="str">
        <f>TEXT('MYP Assumptions'!F56,"0.00%")&amp;", projected PERS rate"</f>
        <v>18.10%, projected PERS rate</v>
      </c>
      <c r="O45" s="83" t="str">
        <f t="shared" si="19"/>
        <v>0.00%</v>
      </c>
      <c r="P45" s="2">
        <f>ROUND(P41*LEFT(Q45,6),0)</f>
        <v>0</v>
      </c>
      <c r="Q45" s="854" t="str">
        <f>TEXT('MYP Assumptions'!G56,"0.00%")&amp;", projected PERS rate"</f>
        <v>20.80%, projected PERS rate</v>
      </c>
      <c r="S45" s="83" t="str">
        <f t="shared" si="20"/>
        <v>0.00%</v>
      </c>
      <c r="T45" s="2">
        <f>ROUND(T41*LEFT(U45,6),0)</f>
        <v>0</v>
      </c>
      <c r="U45" s="81" t="str">
        <f>TEXT('MYP Assumptions'!H56,"0.00%")&amp;", projected PERS rate"</f>
        <v>23.80%, projected PERS rate</v>
      </c>
      <c r="W45" s="83" t="str">
        <f t="shared" si="21"/>
        <v>0.00%</v>
      </c>
      <c r="X45" s="2">
        <f>ROUND(X41*LEFT(Y45,6),0)</f>
        <v>0</v>
      </c>
      <c r="Y45" s="81" t="str">
        <f>TEXT('MYP Assumptions'!I56,"0.00%")&amp;", projected PERS rate"</f>
        <v>25.20%, projected PERS rate</v>
      </c>
      <c r="AA45" s="83" t="str">
        <f t="shared" si="22"/>
        <v>0.00%</v>
      </c>
      <c r="AB45" s="2">
        <f>ROUND(AB41*LEFT(AC45,6),0)</f>
        <v>0</v>
      </c>
      <c r="AC45" s="81" t="str">
        <f>TEXT('MYP Assumptions'!J56,"0.00%")&amp;", projected PERS rate"</f>
        <v>26.10%, projected PERS rate</v>
      </c>
    </row>
    <row r="46" spans="1:29" hidden="1" x14ac:dyDescent="0.25">
      <c r="A46" s="152"/>
      <c r="B46" s="939" t="s">
        <v>85</v>
      </c>
      <c r="C46" s="857" t="s">
        <v>78</v>
      </c>
      <c r="D46" s="2">
        <v>0</v>
      </c>
      <c r="E46" s="854" t="str">
        <f>TEXT('MYP Assumptions'!$D$57,"0.00%")&amp;", SS rate"</f>
        <v>6.20%, SS rate</v>
      </c>
      <c r="F46" s="2"/>
      <c r="G46" s="83" t="str">
        <f t="shared" si="17"/>
        <v>0.00%</v>
      </c>
      <c r="H46" s="2">
        <f>ROUND(H41*LEFT(I46,5),0)</f>
        <v>0</v>
      </c>
      <c r="I46" s="854" t="str">
        <f>TEXT('MYP Assumptions'!E57,"0.00%")&amp;", no rate change"</f>
        <v>6.20%, no rate change</v>
      </c>
      <c r="J46" s="66"/>
      <c r="K46" s="83" t="str">
        <f t="shared" si="18"/>
        <v>0.00%</v>
      </c>
      <c r="L46" s="2">
        <f>ROUND(L41*LEFT(M46,5),0)</f>
        <v>0</v>
      </c>
      <c r="M46" s="854" t="str">
        <f>TEXT('MYP Assumptions'!F57,"0.00%")&amp;", no rate change"</f>
        <v>6.20%, no rate change</v>
      </c>
      <c r="O46" s="83" t="str">
        <f t="shared" si="19"/>
        <v>0.00%</v>
      </c>
      <c r="P46" s="2">
        <f>ROUND(P41*LEFT(Q46,5),0)</f>
        <v>0</v>
      </c>
      <c r="Q46" s="854" t="str">
        <f>TEXT('MYP Assumptions'!G57,"0.00%")&amp;", no rate change"</f>
        <v>6.20%, no rate change</v>
      </c>
      <c r="S46" s="83" t="str">
        <f t="shared" si="20"/>
        <v>0.00%</v>
      </c>
      <c r="T46" s="2">
        <f>ROUND(T41*LEFT(U46,5),0)</f>
        <v>0</v>
      </c>
      <c r="U46" s="81" t="str">
        <f>TEXT('MYP Assumptions'!H57,"0.00%")&amp;", no rate change"</f>
        <v>6.20%, no rate change</v>
      </c>
      <c r="W46" s="83" t="str">
        <f t="shared" si="21"/>
        <v>0.00%</v>
      </c>
      <c r="X46" s="2">
        <f>ROUND(X41*LEFT(Y46,5),0)</f>
        <v>0</v>
      </c>
      <c r="Y46" s="81" t="str">
        <f>TEXT('MYP Assumptions'!I57,"0.00%")&amp;", no rate change"</f>
        <v>6.20%, no rate change</v>
      </c>
      <c r="AA46" s="83" t="str">
        <f t="shared" si="22"/>
        <v>0.00%</v>
      </c>
      <c r="AB46" s="2">
        <f>ROUND(AB41*LEFT(AC46,5),0)</f>
        <v>0</v>
      </c>
      <c r="AC46" s="81" t="str">
        <f>TEXT('MYP Assumptions'!J57,"0.00%")&amp;", no rate change"</f>
        <v>6.20%, no rate change</v>
      </c>
    </row>
    <row r="47" spans="1:29" hidden="1" x14ac:dyDescent="0.25">
      <c r="A47" s="152"/>
      <c r="B47" s="939" t="s">
        <v>86</v>
      </c>
      <c r="C47" s="857" t="s">
        <v>79</v>
      </c>
      <c r="D47" s="2">
        <v>0</v>
      </c>
      <c r="E47" s="854" t="str">
        <f>TEXT('MYP Assumptions'!$D$58,"0.00%")&amp;", Medicare rate"</f>
        <v>1.45%, Medicare rate</v>
      </c>
      <c r="F47" s="2"/>
      <c r="G47" s="83" t="str">
        <f t="shared" si="17"/>
        <v>0.00%</v>
      </c>
      <c r="H47" s="2">
        <f>ROUND((H41+H30)*LEFT(I47,5),0)</f>
        <v>0</v>
      </c>
      <c r="I47" s="854" t="str">
        <f>TEXT('MYP Assumptions'!E58,"0.00%")&amp;", no rate change"</f>
        <v>1.45%, no rate change</v>
      </c>
      <c r="J47" s="66"/>
      <c r="K47" s="83" t="str">
        <f t="shared" si="18"/>
        <v>0.00%</v>
      </c>
      <c r="L47" s="2">
        <f>ROUND((L41+L30)*LEFT(M47,5),0)</f>
        <v>0</v>
      </c>
      <c r="M47" s="854" t="str">
        <f>TEXT('MYP Assumptions'!F58,"0.00%")&amp;", no rate change"</f>
        <v>1.45%, no rate change</v>
      </c>
      <c r="O47" s="83" t="str">
        <f t="shared" si="19"/>
        <v>0.00%</v>
      </c>
      <c r="P47" s="2">
        <f>ROUND((P41+P30)*LEFT(Q47,5),0)</f>
        <v>0</v>
      </c>
      <c r="Q47" s="854" t="str">
        <f>TEXT('MYP Assumptions'!G58,"0.00%")&amp;", no rate change"</f>
        <v>1.45%, no rate change</v>
      </c>
      <c r="S47" s="83" t="str">
        <f t="shared" si="20"/>
        <v>0.00%</v>
      </c>
      <c r="T47" s="2">
        <f>ROUND((T41+T30)*LEFT(U47,5),0)</f>
        <v>0</v>
      </c>
      <c r="U47" s="81" t="str">
        <f>TEXT('MYP Assumptions'!H58,"0.00%")&amp;", no rate change"</f>
        <v>1.45%, no rate change</v>
      </c>
      <c r="W47" s="83" t="str">
        <f t="shared" si="21"/>
        <v>0.00%</v>
      </c>
      <c r="X47" s="2">
        <f>ROUND((X41+X30)*LEFT(Y47,5),0)</f>
        <v>0</v>
      </c>
      <c r="Y47" s="81" t="str">
        <f>TEXT('MYP Assumptions'!I58,"0.00%")&amp;", no rate change"</f>
        <v>1.45%, no rate change</v>
      </c>
      <c r="AA47" s="83" t="str">
        <f t="shared" si="22"/>
        <v>0.00%</v>
      </c>
      <c r="AB47" s="2">
        <f>ROUND((AB41+AB30)*LEFT(AC47,5),0)</f>
        <v>0</v>
      </c>
      <c r="AC47" s="81" t="str">
        <f>TEXT('MYP Assumptions'!J58,"0.00%")&amp;", no rate change"</f>
        <v>1.45%, no rate change</v>
      </c>
    </row>
    <row r="48" spans="1:29" hidden="1" x14ac:dyDescent="0.25">
      <c r="A48" s="152"/>
      <c r="B48" s="939" t="s">
        <v>87</v>
      </c>
      <c r="C48" s="857" t="s">
        <v>80</v>
      </c>
      <c r="D48" s="2">
        <v>0</v>
      </c>
      <c r="E48" s="854"/>
      <c r="F48" s="2"/>
      <c r="G48" s="83" t="str">
        <f t="shared" si="17"/>
        <v>0.00%</v>
      </c>
      <c r="H48" s="2">
        <f>ROUND((D48)*(LEFT(I48,5)+1),0)</f>
        <v>0</v>
      </c>
      <c r="I48" s="854" t="str">
        <f>TEXT('MYP Assumptions'!$M$65,"0.00%")&amp;", projected increase"</f>
        <v>7.00%, projected increase</v>
      </c>
      <c r="J48" s="66"/>
      <c r="K48" s="83" t="str">
        <f t="shared" si="18"/>
        <v>0.00%</v>
      </c>
      <c r="L48" s="2">
        <f>ROUND((H48)*(LEFT(M48,5)+1),0)</f>
        <v>0</v>
      </c>
      <c r="M48" s="854" t="str">
        <f>TEXT('MYP Assumptions'!$M$65,"0.00%")&amp;", projected increase"</f>
        <v>7.00%, projected increase</v>
      </c>
      <c r="O48" s="83" t="str">
        <f t="shared" si="19"/>
        <v>0.00%</v>
      </c>
      <c r="P48" s="2">
        <f>ROUND((L48)*(LEFT(Q48,5)+1),0)</f>
        <v>0</v>
      </c>
      <c r="Q48" s="854" t="str">
        <f>TEXT('MYP Assumptions'!$M$65,"0.00%")&amp;", projected increase"</f>
        <v>7.00%, projected increase</v>
      </c>
      <c r="S48" s="83" t="str">
        <f t="shared" si="20"/>
        <v>0.00%</v>
      </c>
      <c r="T48" s="2">
        <f>ROUND((P48)*(LEFT(U48,5)+1),0)</f>
        <v>0</v>
      </c>
      <c r="U48" s="81" t="str">
        <f>TEXT('MYP Assumptions'!$M$65,"0.00%")&amp;", projected increase"</f>
        <v>7.00%, projected increase</v>
      </c>
      <c r="W48" s="83" t="str">
        <f t="shared" si="21"/>
        <v>0.00%</v>
      </c>
      <c r="X48" s="2">
        <f>ROUND((T48)*(LEFT(Y48,5)+1),0)</f>
        <v>0</v>
      </c>
      <c r="Y48" s="81" t="str">
        <f>TEXT('MYP Assumptions'!$M$65,"0.00%")&amp;", projected increase"</f>
        <v>7.00%, projected increase</v>
      </c>
      <c r="AA48" s="83" t="str">
        <f t="shared" si="22"/>
        <v>0.00%</v>
      </c>
      <c r="AB48" s="2">
        <f>ROUND((X48)*(LEFT(AC48,5)+1),0)</f>
        <v>0</v>
      </c>
      <c r="AC48" s="81" t="str">
        <f>TEXT('MYP Assumptions'!$M$65,"0.00%")&amp;", projected increase"</f>
        <v>7.00%, projected increase</v>
      </c>
    </row>
    <row r="49" spans="1:29" hidden="1" x14ac:dyDescent="0.25">
      <c r="A49" s="152"/>
      <c r="B49" s="939" t="s">
        <v>88</v>
      </c>
      <c r="C49" s="857" t="s">
        <v>81</v>
      </c>
      <c r="D49" s="2">
        <v>0</v>
      </c>
      <c r="E49" s="854" t="str">
        <f>TEXT('MYP Assumptions'!$D$59,"0.00%")&amp;", SUI rate"</f>
        <v>0.05%, SUI rate</v>
      </c>
      <c r="F49" s="2"/>
      <c r="G49" s="83" t="str">
        <f t="shared" si="17"/>
        <v>0.00%</v>
      </c>
      <c r="H49" s="2">
        <f>ROUND((H41+H30)*LEFT(I49,5),0)</f>
        <v>0</v>
      </c>
      <c r="I49" s="854" t="str">
        <f>TEXT('MYP Assumptions'!E59,"0.00%")&amp;", no rate change"</f>
        <v>0.05%, no rate change</v>
      </c>
      <c r="J49" s="66"/>
      <c r="K49" s="83" t="str">
        <f t="shared" si="18"/>
        <v>0.00%</v>
      </c>
      <c r="L49" s="2">
        <f>ROUND((L41+L30)*LEFT(M49,5),0)</f>
        <v>0</v>
      </c>
      <c r="M49" s="854" t="str">
        <f>TEXT('MYP Assumptions'!F59,"0.00%")&amp;", no rate change"</f>
        <v>0.05%, no rate change</v>
      </c>
      <c r="O49" s="83" t="str">
        <f t="shared" si="19"/>
        <v>0.00%</v>
      </c>
      <c r="P49" s="2">
        <f>ROUND((P41+P30)*LEFT(Q49,5),0)</f>
        <v>0</v>
      </c>
      <c r="Q49" s="854" t="str">
        <f>TEXT('MYP Assumptions'!G59,"0.00%")&amp;", no rate change"</f>
        <v>0.05%, no rate change</v>
      </c>
      <c r="S49" s="83" t="str">
        <f t="shared" si="20"/>
        <v>0.00%</v>
      </c>
      <c r="T49" s="2">
        <f>ROUND((T41+T30)*LEFT(U49,5),0)</f>
        <v>0</v>
      </c>
      <c r="U49" s="81" t="str">
        <f>TEXT('MYP Assumptions'!H59,"0.00%")&amp;", no rate change"</f>
        <v>0.05%, no rate change</v>
      </c>
      <c r="W49" s="83" t="str">
        <f t="shared" si="21"/>
        <v>0.00%</v>
      </c>
      <c r="X49" s="2">
        <f>ROUND((X41+X30)*LEFT(Y49,5),0)</f>
        <v>0</v>
      </c>
      <c r="Y49" s="81" t="str">
        <f>TEXT('MYP Assumptions'!I59,"0.00%")&amp;", no rate change"</f>
        <v>0.05%, no rate change</v>
      </c>
      <c r="AA49" s="83" t="str">
        <f t="shared" si="22"/>
        <v>0.00%</v>
      </c>
      <c r="AB49" s="2">
        <f>ROUND((AB41+AB30)*LEFT(AC49,5),0)</f>
        <v>0</v>
      </c>
      <c r="AC49" s="81" t="str">
        <f>TEXT('MYP Assumptions'!J59,"0.00%")&amp;", no rate change"</f>
        <v>0.05%, no rate change</v>
      </c>
    </row>
    <row r="50" spans="1:29" hidden="1" x14ac:dyDescent="0.25">
      <c r="A50" s="152"/>
      <c r="B50" s="939" t="s">
        <v>89</v>
      </c>
      <c r="C50" s="857" t="s">
        <v>82</v>
      </c>
      <c r="D50" s="2">
        <v>0</v>
      </c>
      <c r="E50" s="854" t="str">
        <f>TEXT('MYP Assumptions'!$D$60,"0.00%")&amp;", W/C rate"</f>
        <v>1.10%, W/C rate</v>
      </c>
      <c r="F50" s="2"/>
      <c r="G50" s="83" t="str">
        <f t="shared" si="17"/>
        <v>0.00%</v>
      </c>
      <c r="H50" s="2">
        <f>ROUND((H41+H30)*LEFT(I50,5),0)</f>
        <v>0</v>
      </c>
      <c r="I50" s="854" t="str">
        <f>TEXT('MYP Assumptions'!E60,"0.00%")&amp;", no rate change"</f>
        <v>0.80%, no rate change</v>
      </c>
      <c r="J50" s="66"/>
      <c r="K50" s="83" t="str">
        <f t="shared" si="18"/>
        <v>0.00%</v>
      </c>
      <c r="L50" s="2">
        <f>ROUND((L41+L30)*LEFT(M50,5),0)</f>
        <v>0</v>
      </c>
      <c r="M50" s="854" t="str">
        <f>TEXT('MYP Assumptions'!F60,"0.00%")&amp;", no rate change"</f>
        <v>0.80%, no rate change</v>
      </c>
      <c r="O50" s="83" t="str">
        <f t="shared" si="19"/>
        <v>0.00%</v>
      </c>
      <c r="P50" s="2">
        <f>ROUND((P41+P30)*LEFT(Q50,5),0)</f>
        <v>0</v>
      </c>
      <c r="Q50" s="854" t="str">
        <f>TEXT('MYP Assumptions'!G60,"0.00%")&amp;", no rate change"</f>
        <v>0.80%, no rate change</v>
      </c>
      <c r="S50" s="83" t="str">
        <f t="shared" si="20"/>
        <v>0.00%</v>
      </c>
      <c r="T50" s="2">
        <f>ROUND((T41+T30)*LEFT(U50,5),0)</f>
        <v>0</v>
      </c>
      <c r="U50" s="81" t="str">
        <f>TEXT('MYP Assumptions'!H60,"0.00%")&amp;", no rate change"</f>
        <v>0.80%, no rate change</v>
      </c>
      <c r="W50" s="83" t="str">
        <f t="shared" si="21"/>
        <v>0.00%</v>
      </c>
      <c r="X50" s="2">
        <f>ROUND((X41+X30)*LEFT(Y50,5),0)</f>
        <v>0</v>
      </c>
      <c r="Y50" s="81" t="str">
        <f>TEXT('MYP Assumptions'!I60,"0.00%")&amp;", no rate change"</f>
        <v>0.80%, no rate change</v>
      </c>
      <c r="AA50" s="83" t="str">
        <f t="shared" si="22"/>
        <v>0.00%</v>
      </c>
      <c r="AB50" s="2">
        <f>ROUND((AB41+AB30)*LEFT(AC50,5),0)</f>
        <v>0</v>
      </c>
      <c r="AC50" s="81" t="str">
        <f>TEXT('MYP Assumptions'!J60,"0.00%")&amp;", no rate change"</f>
        <v>0.80%, no rate change</v>
      </c>
    </row>
    <row r="51" spans="1:29" hidden="1" x14ac:dyDescent="0.25">
      <c r="A51" s="152"/>
      <c r="B51" s="939" t="s">
        <v>90</v>
      </c>
      <c r="C51" s="857" t="s">
        <v>92</v>
      </c>
      <c r="D51" s="2">
        <v>0</v>
      </c>
      <c r="E51" s="863"/>
      <c r="F51" s="2"/>
      <c r="G51" s="83" t="str">
        <f t="shared" si="17"/>
        <v>0.00%</v>
      </c>
      <c r="H51" s="2">
        <f>D51</f>
        <v>0</v>
      </c>
      <c r="I51" s="854" t="s">
        <v>166</v>
      </c>
      <c r="J51" s="66"/>
      <c r="K51" s="83" t="str">
        <f t="shared" si="18"/>
        <v>0.00%</v>
      </c>
      <c r="L51" s="2">
        <f>H51</f>
        <v>0</v>
      </c>
      <c r="M51" s="854" t="s">
        <v>166</v>
      </c>
      <c r="O51" s="83" t="str">
        <f t="shared" si="19"/>
        <v>0.00%</v>
      </c>
      <c r="P51" s="2">
        <f>L51</f>
        <v>0</v>
      </c>
      <c r="Q51" s="854" t="s">
        <v>166</v>
      </c>
      <c r="S51" s="83" t="str">
        <f t="shared" si="20"/>
        <v>0.00%</v>
      </c>
      <c r="T51" s="2">
        <f>P51</f>
        <v>0</v>
      </c>
      <c r="U51" s="81" t="s">
        <v>166</v>
      </c>
      <c r="W51" s="83" t="str">
        <f t="shared" si="21"/>
        <v>0.00%</v>
      </c>
      <c r="X51" s="2">
        <f>T51</f>
        <v>0</v>
      </c>
      <c r="Y51" s="81" t="s">
        <v>166</v>
      </c>
      <c r="AA51" s="83" t="str">
        <f t="shared" si="22"/>
        <v>0.00%</v>
      </c>
      <c r="AB51" s="2">
        <f>X51</f>
        <v>0</v>
      </c>
      <c r="AC51" s="81" t="s">
        <v>166</v>
      </c>
    </row>
    <row r="52" spans="1:29" hidden="1" x14ac:dyDescent="0.25">
      <c r="A52" s="152"/>
      <c r="B52" s="939" t="s">
        <v>91</v>
      </c>
      <c r="C52" s="857" t="s">
        <v>93</v>
      </c>
      <c r="D52" s="2">
        <v>0</v>
      </c>
      <c r="E52" s="863"/>
      <c r="F52" s="2"/>
      <c r="G52" s="83" t="str">
        <f t="shared" si="17"/>
        <v>0.00%</v>
      </c>
      <c r="H52" s="2">
        <f>D52</f>
        <v>0</v>
      </c>
      <c r="I52" s="854" t="s">
        <v>166</v>
      </c>
      <c r="J52" s="66"/>
      <c r="K52" s="83" t="str">
        <f t="shared" si="18"/>
        <v>0.00%</v>
      </c>
      <c r="L52" s="2">
        <f>H52</f>
        <v>0</v>
      </c>
      <c r="M52" s="854" t="s">
        <v>166</v>
      </c>
      <c r="O52" s="83" t="str">
        <f t="shared" si="19"/>
        <v>0.00%</v>
      </c>
      <c r="P52" s="2">
        <f>L52</f>
        <v>0</v>
      </c>
      <c r="Q52" s="854" t="s">
        <v>166</v>
      </c>
      <c r="S52" s="83" t="str">
        <f t="shared" si="20"/>
        <v>0.00%</v>
      </c>
      <c r="T52" s="2">
        <f>P52</f>
        <v>0</v>
      </c>
      <c r="U52" s="81" t="s">
        <v>166</v>
      </c>
      <c r="W52" s="83" t="str">
        <f t="shared" si="21"/>
        <v>0.00%</v>
      </c>
      <c r="X52" s="2">
        <f>T52</f>
        <v>0</v>
      </c>
      <c r="Y52" s="81" t="s">
        <v>166</v>
      </c>
      <c r="AA52" s="83" t="str">
        <f t="shared" si="22"/>
        <v>0.00%</v>
      </c>
      <c r="AB52" s="2">
        <f>X52</f>
        <v>0</v>
      </c>
      <c r="AC52" s="81" t="s">
        <v>166</v>
      </c>
    </row>
    <row r="53" spans="1:29" hidden="1" x14ac:dyDescent="0.25">
      <c r="A53" s="153"/>
      <c r="B53" s="939"/>
      <c r="D53" s="8">
        <f>SUM(D44:D52)</f>
        <v>0</v>
      </c>
      <c r="E53" s="863"/>
      <c r="F53" s="2"/>
      <c r="G53" s="83" t="str">
        <f t="shared" si="17"/>
        <v>0.00%</v>
      </c>
      <c r="H53" s="8">
        <f>SUM(H44:H52)</f>
        <v>0</v>
      </c>
      <c r="I53" s="872"/>
      <c r="J53" s="29"/>
      <c r="K53" s="83" t="str">
        <f t="shared" si="18"/>
        <v>0.00%</v>
      </c>
      <c r="L53" s="8">
        <f>SUM(L44:L52)</f>
        <v>0</v>
      </c>
      <c r="M53" s="948"/>
      <c r="O53" s="83" t="str">
        <f t="shared" si="19"/>
        <v>0.00%</v>
      </c>
      <c r="P53" s="8">
        <f>SUM(P44:P52)</f>
        <v>0</v>
      </c>
      <c r="Q53" s="948"/>
      <c r="S53" s="83" t="str">
        <f t="shared" si="20"/>
        <v>0.00%</v>
      </c>
      <c r="T53" s="8">
        <f>SUM(T44:T52)</f>
        <v>0</v>
      </c>
      <c r="U53" s="73"/>
      <c r="W53" s="83" t="str">
        <f t="shared" si="21"/>
        <v>0.00%</v>
      </c>
      <c r="X53" s="8">
        <f>SUM(X44:X52)</f>
        <v>0</v>
      </c>
      <c r="Y53" s="73"/>
      <c r="AA53" s="83" t="str">
        <f t="shared" si="22"/>
        <v>0.00%</v>
      </c>
      <c r="AB53" s="8">
        <f>SUM(AB44:AB52)</f>
        <v>0</v>
      </c>
      <c r="AC53" s="73"/>
    </row>
    <row r="54" spans="1:29" hidden="1" x14ac:dyDescent="0.25">
      <c r="A54" s="154"/>
      <c r="B54" s="939"/>
      <c r="E54" s="863"/>
      <c r="F54" s="2"/>
      <c r="H54" s="2"/>
      <c r="I54" s="871"/>
      <c r="J54" s="66"/>
      <c r="L54" s="2"/>
      <c r="M54" s="948"/>
      <c r="Q54" s="948"/>
      <c r="T54" s="2"/>
      <c r="U54" s="73"/>
      <c r="X54" s="2"/>
      <c r="Y54" s="73"/>
      <c r="AB54" s="2"/>
      <c r="AC54" s="73"/>
    </row>
    <row r="55" spans="1:29" hidden="1" x14ac:dyDescent="0.25">
      <c r="A55" s="153"/>
      <c r="B55" s="936" t="s">
        <v>26</v>
      </c>
      <c r="D55" s="8">
        <f>SUM(D53,D41,D30)</f>
        <v>0</v>
      </c>
      <c r="E55" s="863"/>
      <c r="F55" s="2"/>
      <c r="G55" s="83" t="str">
        <f>IF(D55=0,"0.00%",(H55-D55)/D55)</f>
        <v>0.00%</v>
      </c>
      <c r="H55" s="8">
        <f>SUM(H53,H41,H30)</f>
        <v>0</v>
      </c>
      <c r="I55" s="872"/>
      <c r="J55" s="29"/>
      <c r="K55" s="83" t="str">
        <f>IF(H55=0,"0.00%",(L55-H55)/H55)</f>
        <v>0.00%</v>
      </c>
      <c r="L55" s="8">
        <f>SUM(L53,L41,L30)</f>
        <v>0</v>
      </c>
      <c r="M55" s="948"/>
      <c r="O55" s="83" t="str">
        <f>IF(L55=0,"0.00%",(P55-L55)/L55)</f>
        <v>0.00%</v>
      </c>
      <c r="P55" s="8">
        <f>SUM(P53,P41,P30)</f>
        <v>0</v>
      </c>
      <c r="Q55" s="948"/>
      <c r="S55" s="83" t="str">
        <f>IF(P55=0,"0.00%",(T55-P55)/P55)</f>
        <v>0.00%</v>
      </c>
      <c r="T55" s="8">
        <f>SUM(T53,T41,T30)</f>
        <v>0</v>
      </c>
      <c r="U55" s="73"/>
      <c r="W55" s="83" t="str">
        <f>IF(T55=0,"0.00%",(X55-T55)/T55)</f>
        <v>0.00%</v>
      </c>
      <c r="X55" s="8">
        <f>SUM(X53,X41,X30)</f>
        <v>0</v>
      </c>
      <c r="Y55" s="73"/>
      <c r="AA55" s="83" t="str">
        <f>IF(X55=0,"0.00%",(AB55-X55)/X55)</f>
        <v>0.00%</v>
      </c>
      <c r="AB55" s="8">
        <f>SUM(AB53,AB41,AB30)</f>
        <v>0</v>
      </c>
      <c r="AC55" s="73"/>
    </row>
    <row r="56" spans="1:29" hidden="1" x14ac:dyDescent="0.25">
      <c r="A56" s="155"/>
      <c r="E56" s="863"/>
      <c r="F56" s="2"/>
      <c r="H56" s="2"/>
      <c r="I56" s="871"/>
      <c r="J56" s="66"/>
      <c r="L56" s="2"/>
      <c r="M56" s="948"/>
      <c r="Q56" s="948"/>
      <c r="T56" s="2"/>
      <c r="U56" s="73"/>
      <c r="X56" s="2"/>
      <c r="Y56" s="73"/>
      <c r="AB56" s="2"/>
      <c r="AC56" s="73"/>
    </row>
    <row r="57" spans="1:29" x14ac:dyDescent="0.25">
      <c r="A57" s="152"/>
      <c r="E57" s="863"/>
      <c r="F57" s="2"/>
      <c r="H57" s="2"/>
      <c r="I57" s="871"/>
      <c r="J57" s="66"/>
      <c r="L57" s="2"/>
      <c r="M57" s="948"/>
      <c r="Q57" s="948"/>
      <c r="T57" s="2"/>
      <c r="U57" s="73"/>
      <c r="X57" s="2"/>
      <c r="Y57" s="73"/>
      <c r="AB57" s="2"/>
      <c r="AC57" s="73"/>
    </row>
    <row r="58" spans="1:29" x14ac:dyDescent="0.25">
      <c r="A58" s="155"/>
      <c r="B58" s="940" t="s">
        <v>25</v>
      </c>
      <c r="C58" s="873"/>
      <c r="E58" s="863"/>
      <c r="F58" s="2"/>
      <c r="H58" s="2"/>
      <c r="I58" s="871"/>
      <c r="J58" s="66"/>
      <c r="L58" s="2"/>
      <c r="M58" s="948"/>
      <c r="Q58" s="948"/>
      <c r="T58" s="2"/>
      <c r="U58" s="73"/>
      <c r="X58" s="2"/>
      <c r="Y58" s="73"/>
      <c r="AB58" s="2"/>
      <c r="AC58" s="73"/>
    </row>
    <row r="59" spans="1:29" x14ac:dyDescent="0.25">
      <c r="A59" s="152"/>
      <c r="B59" s="939">
        <v>4110</v>
      </c>
      <c r="C59" s="857" t="s">
        <v>283</v>
      </c>
      <c r="D59" s="2">
        <v>1933380.01</v>
      </c>
      <c r="E59" s="863"/>
      <c r="F59" s="2"/>
      <c r="G59" s="83">
        <f t="shared" ref="G59:G66" si="23">IF(D59=0,"0.00%",(H59-D59)/D59)</f>
        <v>-1</v>
      </c>
      <c r="H59" s="2"/>
      <c r="I59" s="854" t="s">
        <v>284</v>
      </c>
      <c r="J59" s="66"/>
      <c r="K59" s="83" t="str">
        <f t="shared" ref="K59:K66" si="24">IF(H59=0,"0.00%",(L59-H59)/H59)</f>
        <v>0.00%</v>
      </c>
      <c r="L59" s="2">
        <f>1000000+772880</f>
        <v>1772880</v>
      </c>
      <c r="M59" s="854" t="s">
        <v>284</v>
      </c>
      <c r="O59" s="83">
        <f t="shared" ref="O59:O66" si="25">IF(L59=0,"0.00%",(P59-L59)/L59)</f>
        <v>-1</v>
      </c>
      <c r="P59" s="2">
        <v>0</v>
      </c>
      <c r="Q59" s="854" t="s">
        <v>284</v>
      </c>
      <c r="S59" s="83" t="str">
        <f t="shared" ref="S59:S66" si="26">IF(P59=0,"0.00%",(T59-P59)/P59)</f>
        <v>0.00%</v>
      </c>
      <c r="T59" s="2">
        <v>0</v>
      </c>
      <c r="U59" s="81" t="s">
        <v>284</v>
      </c>
      <c r="W59" s="83" t="str">
        <f t="shared" ref="W59:W66" si="27">IF(T59=0,"0.00%",(X59-T59)/T59)</f>
        <v>0.00%</v>
      </c>
      <c r="X59" s="2">
        <f>ROUND(T59*(LEFT(Y59,5)+1),0)</f>
        <v>0</v>
      </c>
      <c r="Y59" s="81" t="str">
        <f>TEXT('MYP Assumptions'!I75,"0.00%")&amp;", CPI"</f>
        <v>2.73%, CPI</v>
      </c>
      <c r="AA59" s="83" t="str">
        <f t="shared" ref="AA59:AA66" si="28">IF(X59=0,"0.00%",(AB59-X59)/X59)</f>
        <v>0.00%</v>
      </c>
      <c r="AB59" s="2">
        <f>ROUND(X59*(LEFT(AC59,5)+1),0)</f>
        <v>0</v>
      </c>
      <c r="AC59" s="81" t="str">
        <f>TEXT('MYP Assumptions'!J75,"0.00%")&amp;", CPI"</f>
        <v>2.73%, CPI</v>
      </c>
    </row>
    <row r="60" spans="1:29" x14ac:dyDescent="0.25">
      <c r="A60" s="152"/>
      <c r="B60" s="939">
        <v>4310</v>
      </c>
      <c r="C60" s="857" t="s">
        <v>282</v>
      </c>
      <c r="D60" s="2">
        <v>432.67</v>
      </c>
      <c r="E60" s="863"/>
      <c r="F60" s="2"/>
      <c r="G60" s="83">
        <f t="shared" si="23"/>
        <v>-1</v>
      </c>
      <c r="H60" s="2">
        <v>0</v>
      </c>
      <c r="I60" s="854"/>
      <c r="J60" s="66"/>
      <c r="K60" s="83" t="str">
        <f t="shared" si="24"/>
        <v>0.00%</v>
      </c>
      <c r="L60" s="2">
        <v>0</v>
      </c>
      <c r="M60" s="854"/>
      <c r="O60" s="83" t="str">
        <f t="shared" si="25"/>
        <v>0.00%</v>
      </c>
      <c r="P60" s="2">
        <v>0</v>
      </c>
      <c r="Q60" s="854"/>
      <c r="S60" s="83" t="str">
        <f t="shared" si="26"/>
        <v>0.00%</v>
      </c>
      <c r="T60" s="2">
        <v>0</v>
      </c>
      <c r="U60" s="81"/>
      <c r="W60" s="83" t="str">
        <f t="shared" si="27"/>
        <v>0.00%</v>
      </c>
      <c r="X60" s="2">
        <f t="shared" ref="X60:X65" si="29">ROUND(T60*(LEFT(Y60,5)+1),0)</f>
        <v>0</v>
      </c>
      <c r="Y60" s="81" t="str">
        <f>TEXT('MYP Assumptions'!I75,"0.00%")&amp;", CPI"</f>
        <v>2.73%, CPI</v>
      </c>
      <c r="AA60" s="83" t="str">
        <f t="shared" si="28"/>
        <v>0.00%</v>
      </c>
      <c r="AB60" s="2">
        <f t="shared" ref="AB60:AB65" si="30">ROUND(X60*(LEFT(AC60,5)+1),0)</f>
        <v>0</v>
      </c>
      <c r="AC60" s="81" t="str">
        <f>TEXT('MYP Assumptions'!J75,"0.00%")&amp;", CPI"</f>
        <v>2.73%, CPI</v>
      </c>
    </row>
    <row r="61" spans="1:29" hidden="1" x14ac:dyDescent="0.25">
      <c r="A61" s="152"/>
      <c r="B61" s="939"/>
      <c r="D61" s="2">
        <v>0</v>
      </c>
      <c r="E61" s="863"/>
      <c r="F61" s="2"/>
      <c r="G61" s="83" t="str">
        <f t="shared" si="23"/>
        <v>0.00%</v>
      </c>
      <c r="H61" s="2">
        <f t="shared" ref="H61:H65" si="31">ROUND(D61*(LEFT(I61,5)+1),0)</f>
        <v>0</v>
      </c>
      <c r="I61" s="854" t="str">
        <f>TEXT('MYP Assumptions'!E75,"0.00%")&amp;", CPI"</f>
        <v>3.42%, CPI</v>
      </c>
      <c r="J61" s="66"/>
      <c r="K61" s="83" t="str">
        <f t="shared" si="24"/>
        <v>0.00%</v>
      </c>
      <c r="L61" s="2">
        <f t="shared" ref="L61:L65" si="32">ROUND(H61*(LEFT(M61,5)+1),0)</f>
        <v>0</v>
      </c>
      <c r="M61" s="854" t="str">
        <f>TEXT('MYP Assumptions'!F75,"0.00%")&amp;", CPI"</f>
        <v>3.35%, CPI</v>
      </c>
      <c r="O61" s="83" t="str">
        <f t="shared" si="25"/>
        <v>0.00%</v>
      </c>
      <c r="P61" s="2">
        <f t="shared" ref="P61:P65" si="33">ROUND(L61*(LEFT(Q61,5)+1),0)</f>
        <v>0</v>
      </c>
      <c r="Q61" s="854" t="str">
        <f>TEXT('MYP Assumptions'!G75,"0.00%")&amp;", CPI"</f>
        <v>3.02%, CPI</v>
      </c>
      <c r="S61" s="83" t="str">
        <f t="shared" si="26"/>
        <v>0.00%</v>
      </c>
      <c r="T61" s="2">
        <f t="shared" ref="T61:T65" si="34">ROUND(P61*(LEFT(U61,5)+1),0)</f>
        <v>0</v>
      </c>
      <c r="U61" s="81" t="str">
        <f>TEXT('MYP Assumptions'!H75,"0.00%")&amp;", CPI"</f>
        <v>2.73%, CPI</v>
      </c>
      <c r="W61" s="83" t="str">
        <f t="shared" si="27"/>
        <v>0.00%</v>
      </c>
      <c r="X61" s="2">
        <f t="shared" si="29"/>
        <v>0</v>
      </c>
      <c r="Y61" s="81" t="str">
        <f>TEXT('MYP Assumptions'!I75,"0.00%")&amp;", CPI"</f>
        <v>2.73%, CPI</v>
      </c>
      <c r="AA61" s="83" t="str">
        <f t="shared" si="28"/>
        <v>0.00%</v>
      </c>
      <c r="AB61" s="2">
        <f t="shared" si="30"/>
        <v>0</v>
      </c>
      <c r="AC61" s="81" t="str">
        <f>TEXT('MYP Assumptions'!J75,"0.00%")&amp;", CPI"</f>
        <v>2.73%, CPI</v>
      </c>
    </row>
    <row r="62" spans="1:29" hidden="1" x14ac:dyDescent="0.25">
      <c r="A62" s="152"/>
      <c r="B62" s="939"/>
      <c r="D62" s="2">
        <v>0</v>
      </c>
      <c r="E62" s="863"/>
      <c r="F62" s="2"/>
      <c r="G62" s="83" t="str">
        <f t="shared" si="23"/>
        <v>0.00%</v>
      </c>
      <c r="H62" s="2">
        <f t="shared" si="31"/>
        <v>0</v>
      </c>
      <c r="I62" s="854" t="str">
        <f>TEXT('MYP Assumptions'!E75,"0.00%")&amp;", CPI"</f>
        <v>3.42%, CPI</v>
      </c>
      <c r="J62" s="66"/>
      <c r="K62" s="83" t="str">
        <f t="shared" si="24"/>
        <v>0.00%</v>
      </c>
      <c r="L62" s="2">
        <f t="shared" si="32"/>
        <v>0</v>
      </c>
      <c r="M62" s="854" t="str">
        <f>TEXT('MYP Assumptions'!F75,"0.00%")&amp;", CPI"</f>
        <v>3.35%, CPI</v>
      </c>
      <c r="O62" s="83" t="str">
        <f t="shared" si="25"/>
        <v>0.00%</v>
      </c>
      <c r="P62" s="2">
        <f t="shared" si="33"/>
        <v>0</v>
      </c>
      <c r="Q62" s="854" t="str">
        <f>TEXT('MYP Assumptions'!G75,"0.00%")&amp;", CPI"</f>
        <v>3.02%, CPI</v>
      </c>
      <c r="S62" s="83" t="str">
        <f t="shared" si="26"/>
        <v>0.00%</v>
      </c>
      <c r="T62" s="2">
        <f t="shared" si="34"/>
        <v>0</v>
      </c>
      <c r="U62" s="81" t="str">
        <f>TEXT('MYP Assumptions'!H75,"0.00%")&amp;", CPI"</f>
        <v>2.73%, CPI</v>
      </c>
      <c r="W62" s="83" t="str">
        <f t="shared" si="27"/>
        <v>0.00%</v>
      </c>
      <c r="X62" s="2">
        <f t="shared" si="29"/>
        <v>0</v>
      </c>
      <c r="Y62" s="81" t="str">
        <f>TEXT('MYP Assumptions'!I75,"0.00%")&amp;", CPI"</f>
        <v>2.73%, CPI</v>
      </c>
      <c r="AA62" s="83" t="str">
        <f t="shared" si="28"/>
        <v>0.00%</v>
      </c>
      <c r="AB62" s="2">
        <f t="shared" si="30"/>
        <v>0</v>
      </c>
      <c r="AC62" s="81" t="str">
        <f>TEXT('MYP Assumptions'!J75,"0.00%")&amp;", CPI"</f>
        <v>2.73%, CPI</v>
      </c>
    </row>
    <row r="63" spans="1:29" hidden="1" x14ac:dyDescent="0.25">
      <c r="A63" s="152"/>
      <c r="B63" s="939"/>
      <c r="D63" s="2">
        <v>0</v>
      </c>
      <c r="E63" s="863"/>
      <c r="F63" s="2"/>
      <c r="G63" s="83" t="str">
        <f t="shared" si="23"/>
        <v>0.00%</v>
      </c>
      <c r="H63" s="2">
        <f t="shared" si="31"/>
        <v>0</v>
      </c>
      <c r="I63" s="854" t="str">
        <f>TEXT('MYP Assumptions'!E75,"0.00%")&amp;", CPI"</f>
        <v>3.42%, CPI</v>
      </c>
      <c r="J63" s="66"/>
      <c r="K63" s="83" t="str">
        <f t="shared" si="24"/>
        <v>0.00%</v>
      </c>
      <c r="L63" s="2">
        <f t="shared" si="32"/>
        <v>0</v>
      </c>
      <c r="M63" s="854" t="str">
        <f>TEXT('MYP Assumptions'!F75,"0.00%")&amp;", CPI"</f>
        <v>3.35%, CPI</v>
      </c>
      <c r="O63" s="83" t="str">
        <f t="shared" si="25"/>
        <v>0.00%</v>
      </c>
      <c r="P63" s="2">
        <f t="shared" si="33"/>
        <v>0</v>
      </c>
      <c r="Q63" s="854" t="str">
        <f>TEXT('MYP Assumptions'!G75,"0.00%")&amp;", CPI"</f>
        <v>3.02%, CPI</v>
      </c>
      <c r="S63" s="83" t="str">
        <f t="shared" si="26"/>
        <v>0.00%</v>
      </c>
      <c r="T63" s="2">
        <f t="shared" si="34"/>
        <v>0</v>
      </c>
      <c r="U63" s="81" t="str">
        <f>TEXT('MYP Assumptions'!H75,"0.00%")&amp;", CPI"</f>
        <v>2.73%, CPI</v>
      </c>
      <c r="W63" s="83" t="str">
        <f t="shared" si="27"/>
        <v>0.00%</v>
      </c>
      <c r="X63" s="2">
        <f t="shared" si="29"/>
        <v>0</v>
      </c>
      <c r="Y63" s="81" t="str">
        <f>TEXT('MYP Assumptions'!I75,"0.00%")&amp;", CPI"</f>
        <v>2.73%, CPI</v>
      </c>
      <c r="AA63" s="83" t="str">
        <f t="shared" si="28"/>
        <v>0.00%</v>
      </c>
      <c r="AB63" s="2">
        <f t="shared" si="30"/>
        <v>0</v>
      </c>
      <c r="AC63" s="81" t="str">
        <f>TEXT('MYP Assumptions'!J75,"0.00%")&amp;", CPI"</f>
        <v>2.73%, CPI</v>
      </c>
    </row>
    <row r="64" spans="1:29" hidden="1" x14ac:dyDescent="0.25">
      <c r="A64" s="152"/>
      <c r="B64" s="939"/>
      <c r="D64" s="2">
        <v>0</v>
      </c>
      <c r="E64" s="863"/>
      <c r="F64" s="2"/>
      <c r="G64" s="83" t="str">
        <f t="shared" si="23"/>
        <v>0.00%</v>
      </c>
      <c r="H64" s="2">
        <f t="shared" si="31"/>
        <v>0</v>
      </c>
      <c r="I64" s="854" t="str">
        <f>TEXT('MYP Assumptions'!E75,"0.00%")&amp;", CPI"</f>
        <v>3.42%, CPI</v>
      </c>
      <c r="J64" s="66"/>
      <c r="K64" s="83" t="str">
        <f t="shared" si="24"/>
        <v>0.00%</v>
      </c>
      <c r="L64" s="2">
        <f t="shared" si="32"/>
        <v>0</v>
      </c>
      <c r="M64" s="854" t="str">
        <f>TEXT('MYP Assumptions'!F75,"0.00%")&amp;", CPI"</f>
        <v>3.35%, CPI</v>
      </c>
      <c r="O64" s="83" t="str">
        <f t="shared" si="25"/>
        <v>0.00%</v>
      </c>
      <c r="P64" s="2">
        <f t="shared" si="33"/>
        <v>0</v>
      </c>
      <c r="Q64" s="854" t="str">
        <f>TEXT('MYP Assumptions'!G75,"0.00%")&amp;", CPI"</f>
        <v>3.02%, CPI</v>
      </c>
      <c r="S64" s="83" t="str">
        <f t="shared" si="26"/>
        <v>0.00%</v>
      </c>
      <c r="T64" s="2">
        <f t="shared" si="34"/>
        <v>0</v>
      </c>
      <c r="U64" s="81" t="str">
        <f>TEXT('MYP Assumptions'!H75,"0.00%")&amp;", CPI"</f>
        <v>2.73%, CPI</v>
      </c>
      <c r="W64" s="83" t="str">
        <f t="shared" si="27"/>
        <v>0.00%</v>
      </c>
      <c r="X64" s="2">
        <f t="shared" si="29"/>
        <v>0</v>
      </c>
      <c r="Y64" s="81" t="str">
        <f>TEXT('MYP Assumptions'!I75,"0.00%")&amp;", CPI"</f>
        <v>2.73%, CPI</v>
      </c>
      <c r="AA64" s="83" t="str">
        <f t="shared" si="28"/>
        <v>0.00%</v>
      </c>
      <c r="AB64" s="2">
        <f t="shared" si="30"/>
        <v>0</v>
      </c>
      <c r="AC64" s="81" t="str">
        <f>TEXT('MYP Assumptions'!J75,"0.00%")&amp;", CPI"</f>
        <v>2.73%, CPI</v>
      </c>
    </row>
    <row r="65" spans="1:29" hidden="1" x14ac:dyDescent="0.25">
      <c r="A65" s="152"/>
      <c r="B65" s="939"/>
      <c r="C65" s="941"/>
      <c r="D65" s="2">
        <v>0</v>
      </c>
      <c r="E65" s="863"/>
      <c r="F65" s="2"/>
      <c r="G65" s="83" t="str">
        <f t="shared" si="23"/>
        <v>0.00%</v>
      </c>
      <c r="H65" s="2">
        <f t="shared" si="31"/>
        <v>0</v>
      </c>
      <c r="I65" s="854" t="str">
        <f>TEXT('MYP Assumptions'!E75,"0.00%")&amp;", CPI"</f>
        <v>3.42%, CPI</v>
      </c>
      <c r="J65" s="66"/>
      <c r="K65" s="83" t="str">
        <f t="shared" si="24"/>
        <v>0.00%</v>
      </c>
      <c r="L65" s="2">
        <f t="shared" si="32"/>
        <v>0</v>
      </c>
      <c r="M65" s="854" t="str">
        <f>TEXT('MYP Assumptions'!F75,"0.00%")&amp;", CPI"</f>
        <v>3.35%, CPI</v>
      </c>
      <c r="O65" s="83" t="str">
        <f t="shared" si="25"/>
        <v>0.00%</v>
      </c>
      <c r="P65" s="2">
        <f t="shared" si="33"/>
        <v>0</v>
      </c>
      <c r="Q65" s="854" t="str">
        <f>TEXT('MYP Assumptions'!G75,"0.00%")&amp;", CPI"</f>
        <v>3.02%, CPI</v>
      </c>
      <c r="S65" s="83" t="str">
        <f t="shared" si="26"/>
        <v>0.00%</v>
      </c>
      <c r="T65" s="2">
        <f t="shared" si="34"/>
        <v>0</v>
      </c>
      <c r="U65" s="81" t="str">
        <f>TEXT('MYP Assumptions'!H75,"0.00%")&amp;", CPI"</f>
        <v>2.73%, CPI</v>
      </c>
      <c r="W65" s="83" t="str">
        <f t="shared" si="27"/>
        <v>0.00%</v>
      </c>
      <c r="X65" s="2">
        <f t="shared" si="29"/>
        <v>0</v>
      </c>
      <c r="Y65" s="81" t="str">
        <f>TEXT('MYP Assumptions'!I75,"0.00%")&amp;", CPI"</f>
        <v>2.73%, CPI</v>
      </c>
      <c r="AA65" s="83" t="str">
        <f t="shared" si="28"/>
        <v>0.00%</v>
      </c>
      <c r="AB65" s="2">
        <f t="shared" si="30"/>
        <v>0</v>
      </c>
      <c r="AC65" s="81" t="str">
        <f>TEXT('MYP Assumptions'!J75,"0.00%")&amp;", CPI"</f>
        <v>2.73%, CPI</v>
      </c>
    </row>
    <row r="66" spans="1:29" x14ac:dyDescent="0.25">
      <c r="A66" s="153"/>
      <c r="B66" s="857"/>
      <c r="D66" s="8">
        <f>SUM(D59:D65)</f>
        <v>1933812.68</v>
      </c>
      <c r="E66" s="863"/>
      <c r="F66" s="2"/>
      <c r="G66" s="83">
        <f t="shared" si="23"/>
        <v>-1</v>
      </c>
      <c r="H66" s="8">
        <f>SUM(H59:H65)</f>
        <v>0</v>
      </c>
      <c r="I66" s="1292">
        <f>+H66-D66</f>
        <v>-1933812.68</v>
      </c>
      <c r="J66" s="29"/>
      <c r="K66" s="83" t="str">
        <f t="shared" si="24"/>
        <v>0.00%</v>
      </c>
      <c r="L66" s="8">
        <f>SUM(L59:L65)</f>
        <v>1772880</v>
      </c>
      <c r="M66" s="1292">
        <f>+L66-H66</f>
        <v>1772880</v>
      </c>
      <c r="O66" s="83">
        <f t="shared" si="25"/>
        <v>-1</v>
      </c>
      <c r="P66" s="8">
        <f>SUM(P59:P65)</f>
        <v>0</v>
      </c>
      <c r="Q66" s="1292">
        <f>+P66-L66</f>
        <v>-1772880</v>
      </c>
      <c r="S66" s="83" t="str">
        <f t="shared" si="26"/>
        <v>0.00%</v>
      </c>
      <c r="T66" s="8">
        <f>SUM(T59:T65)</f>
        <v>0</v>
      </c>
      <c r="U66" s="73"/>
      <c r="W66" s="83" t="str">
        <f t="shared" si="27"/>
        <v>0.00%</v>
      </c>
      <c r="X66" s="8">
        <f>SUM(X59:X65)</f>
        <v>0</v>
      </c>
      <c r="Y66" s="73"/>
      <c r="AA66" s="83" t="str">
        <f t="shared" si="28"/>
        <v>0.00%</v>
      </c>
      <c r="AB66" s="8">
        <f>SUM(AB59:AB65)</f>
        <v>0</v>
      </c>
      <c r="AC66" s="73"/>
    </row>
    <row r="67" spans="1:29" x14ac:dyDescent="0.25">
      <c r="A67" s="152"/>
      <c r="E67" s="863"/>
      <c r="F67" s="2"/>
      <c r="H67" s="2"/>
      <c r="I67" s="871"/>
      <c r="J67" s="66"/>
      <c r="L67" s="2"/>
      <c r="M67" s="948"/>
      <c r="Q67" s="948"/>
      <c r="T67" s="2"/>
      <c r="U67" s="73"/>
      <c r="X67" s="2"/>
      <c r="Y67" s="73"/>
      <c r="AB67" s="2"/>
      <c r="AC67" s="73"/>
    </row>
    <row r="68" spans="1:29" s="4" customFormat="1" x14ac:dyDescent="0.25">
      <c r="A68" s="150"/>
      <c r="B68" s="936" t="s">
        <v>16</v>
      </c>
      <c r="C68" s="873"/>
      <c r="D68" s="6"/>
      <c r="E68" s="864"/>
      <c r="F68" s="6"/>
      <c r="G68" s="373"/>
      <c r="H68" s="6"/>
      <c r="I68" s="873"/>
      <c r="J68" s="58"/>
      <c r="K68" s="380"/>
      <c r="L68" s="6"/>
      <c r="M68" s="950"/>
      <c r="O68" s="380"/>
      <c r="P68" s="6"/>
      <c r="Q68" s="950"/>
      <c r="R68" s="111"/>
      <c r="U68" s="71"/>
      <c r="Y68" s="71"/>
      <c r="AC68" s="71"/>
    </row>
    <row r="69" spans="1:29" x14ac:dyDescent="0.25">
      <c r="A69" s="152"/>
      <c r="B69" s="939">
        <v>5813</v>
      </c>
      <c r="C69" s="857" t="s">
        <v>6</v>
      </c>
      <c r="D69" s="2">
        <v>31138.51</v>
      </c>
      <c r="E69" s="863"/>
      <c r="F69" s="2"/>
      <c r="G69" s="83">
        <f t="shared" ref="G69:G74" si="35">IF(D69=0,"0.00%",(H69-D69)/D69)</f>
        <v>-3.6562764242733463E-2</v>
      </c>
      <c r="H69" s="2">
        <v>30000</v>
      </c>
      <c r="I69" s="854" t="s">
        <v>174</v>
      </c>
      <c r="J69" s="66"/>
      <c r="K69" s="83">
        <f t="shared" ref="K69:K82" si="36">IF(H69=0,"0.00%",(L69-H69)/H69)</f>
        <v>0</v>
      </c>
      <c r="L69" s="2">
        <f>+H69</f>
        <v>30000</v>
      </c>
      <c r="M69" s="854" t="s">
        <v>174</v>
      </c>
      <c r="O69" s="83">
        <f t="shared" ref="O69:O82" si="37">IF(L69=0,"0.00%",(P69-L69)/L69)</f>
        <v>0</v>
      </c>
      <c r="P69" s="2">
        <f>+L69</f>
        <v>30000</v>
      </c>
      <c r="Q69" s="854" t="s">
        <v>174</v>
      </c>
      <c r="S69" s="83">
        <f t="shared" ref="S69:S82" si="38">IF(P69=0,"0.00%",(T69-P69)/P69)</f>
        <v>0</v>
      </c>
      <c r="T69" s="2">
        <f>+P69</f>
        <v>30000</v>
      </c>
      <c r="U69" s="81" t="s">
        <v>174</v>
      </c>
      <c r="W69" s="83">
        <f t="shared" ref="W69:W82" si="39">IF(T69=0,"0.00%",(X69-T69)/T69)</f>
        <v>2.7300000000000001E-2</v>
      </c>
      <c r="X69" s="2">
        <f>ROUND(T69*(LEFT(Y69,5)+1),0)</f>
        <v>30819</v>
      </c>
      <c r="Y69" s="81" t="str">
        <f>TEXT('MYP Assumptions'!I75,"0.00%")&amp;", CPI"</f>
        <v>2.73%, CPI</v>
      </c>
      <c r="AA69" s="83">
        <f t="shared" ref="AA69:AA82" si="40">IF(X69=0,"0.00%",(AB69-X69)/X69)</f>
        <v>2.7288361075959635E-2</v>
      </c>
      <c r="AB69" s="2">
        <f>ROUND(X69*(LEFT(AC69,5)+1),0)</f>
        <v>31660</v>
      </c>
      <c r="AC69" s="81" t="str">
        <f>TEXT('MYP Assumptions'!J75,"0.00%")&amp;", CPI"</f>
        <v>2.73%, CPI</v>
      </c>
    </row>
    <row r="70" spans="1:29" x14ac:dyDescent="0.25">
      <c r="A70" s="152"/>
      <c r="B70" s="939">
        <v>5814</v>
      </c>
      <c r="C70" s="857" t="s">
        <v>4</v>
      </c>
      <c r="D70" s="2">
        <v>2562.0700000000002</v>
      </c>
      <c r="E70" s="863"/>
      <c r="F70" s="2"/>
      <c r="G70" s="83">
        <f t="shared" si="35"/>
        <v>6.2207238678100127</v>
      </c>
      <c r="H70" s="2">
        <v>18500</v>
      </c>
      <c r="I70" s="854" t="s">
        <v>174</v>
      </c>
      <c r="J70" s="66"/>
      <c r="K70" s="83">
        <f t="shared" si="36"/>
        <v>0</v>
      </c>
      <c r="L70" s="2">
        <f>+H70</f>
        <v>18500</v>
      </c>
      <c r="M70" s="854" t="s">
        <v>174</v>
      </c>
      <c r="O70" s="83">
        <f t="shared" si="37"/>
        <v>0</v>
      </c>
      <c r="P70" s="2">
        <f>+L70</f>
        <v>18500</v>
      </c>
      <c r="Q70" s="854" t="s">
        <v>174</v>
      </c>
      <c r="S70" s="83">
        <f t="shared" si="38"/>
        <v>0</v>
      </c>
      <c r="T70" s="2">
        <f>+P70</f>
        <v>18500</v>
      </c>
      <c r="U70" s="81" t="s">
        <v>174</v>
      </c>
      <c r="W70" s="83">
        <f t="shared" si="39"/>
        <v>2.7297297297297296E-2</v>
      </c>
      <c r="X70" s="2">
        <f t="shared" ref="X70:X81" si="41">ROUND(T70*(LEFT(Y70,5)+1),0)</f>
        <v>19005</v>
      </c>
      <c r="Y70" s="81" t="str">
        <f>TEXT('MYP Assumptions'!I75,"0.00%")&amp;", CPI"</f>
        <v>2.73%, CPI</v>
      </c>
      <c r="AA70" s="83">
        <f t="shared" si="40"/>
        <v>2.7308602999210733E-2</v>
      </c>
      <c r="AB70" s="2">
        <f t="shared" ref="AB70:AB81" si="42">ROUND(X70*(LEFT(AC70,5)+1),0)</f>
        <v>19524</v>
      </c>
      <c r="AC70" s="81" t="str">
        <f>TEXT('MYP Assumptions'!J75,"0.00%")&amp;", CPI"</f>
        <v>2.73%, CPI</v>
      </c>
    </row>
    <row r="71" spans="1:29" hidden="1" x14ac:dyDescent="0.25">
      <c r="A71" s="152"/>
      <c r="B71" s="939"/>
      <c r="D71" s="2">
        <v>0</v>
      </c>
      <c r="E71" s="863"/>
      <c r="F71" s="2"/>
      <c r="G71" s="83" t="str">
        <f t="shared" si="35"/>
        <v>0.00%</v>
      </c>
      <c r="H71" s="2">
        <f t="shared" ref="H71:H76" si="43">ROUND(D71*(LEFT(I71,5)+1),0)</f>
        <v>0</v>
      </c>
      <c r="I71" s="854" t="str">
        <f>TEXT('MYP Assumptions'!E75,"0.00%")&amp;", CPI"</f>
        <v>3.42%, CPI</v>
      </c>
      <c r="J71" s="66"/>
      <c r="K71" s="83" t="str">
        <f t="shared" si="36"/>
        <v>0.00%</v>
      </c>
      <c r="L71" s="2">
        <f t="shared" ref="L71:L81" si="44">ROUND(H71*(LEFT(M71,5)+1),0)</f>
        <v>0</v>
      </c>
      <c r="M71" s="854" t="str">
        <f>TEXT('MYP Assumptions'!F75,"0.00%")&amp;", CPI"</f>
        <v>3.35%, CPI</v>
      </c>
      <c r="O71" s="83" t="str">
        <f t="shared" si="37"/>
        <v>0.00%</v>
      </c>
      <c r="P71" s="2">
        <f t="shared" ref="P71:P81" si="45">ROUND(L71*(LEFT(Q71,5)+1),0)</f>
        <v>0</v>
      </c>
      <c r="Q71" s="854" t="str">
        <f>TEXT('MYP Assumptions'!G75,"0.00%")&amp;", CPI"</f>
        <v>3.02%, CPI</v>
      </c>
      <c r="S71" s="83" t="str">
        <f t="shared" si="38"/>
        <v>0.00%</v>
      </c>
      <c r="T71" s="2">
        <f t="shared" ref="T71:T81" si="46">ROUND(P71*(LEFT(U71,5)+1),0)</f>
        <v>0</v>
      </c>
      <c r="U71" s="81" t="str">
        <f>TEXT('MYP Assumptions'!H75,"0.00%")&amp;", CPI"</f>
        <v>2.73%, CPI</v>
      </c>
      <c r="W71" s="83" t="str">
        <f t="shared" si="39"/>
        <v>0.00%</v>
      </c>
      <c r="X71" s="2">
        <f t="shared" si="41"/>
        <v>0</v>
      </c>
      <c r="Y71" s="81" t="str">
        <f>TEXT('MYP Assumptions'!I75,"0.00%")&amp;", CPI"</f>
        <v>2.73%, CPI</v>
      </c>
      <c r="AA71" s="83" t="str">
        <f t="shared" si="40"/>
        <v>0.00%</v>
      </c>
      <c r="AB71" s="2">
        <f t="shared" si="42"/>
        <v>0</v>
      </c>
      <c r="AC71" s="81" t="str">
        <f>TEXT('MYP Assumptions'!J75,"0.00%")&amp;", CPI"</f>
        <v>2.73%, CPI</v>
      </c>
    </row>
    <row r="72" spans="1:29" hidden="1" x14ac:dyDescent="0.25">
      <c r="A72" s="152"/>
      <c r="B72" s="939"/>
      <c r="D72" s="2">
        <v>0</v>
      </c>
      <c r="E72" s="863"/>
      <c r="F72" s="2"/>
      <c r="G72" s="83" t="str">
        <f t="shared" si="35"/>
        <v>0.00%</v>
      </c>
      <c r="H72" s="2">
        <f t="shared" si="43"/>
        <v>0</v>
      </c>
      <c r="I72" s="854" t="str">
        <f>TEXT('MYP Assumptions'!E75,"0.00%")&amp;", CPI"</f>
        <v>3.42%, CPI</v>
      </c>
      <c r="J72" s="66"/>
      <c r="K72" s="83" t="str">
        <f t="shared" si="36"/>
        <v>0.00%</v>
      </c>
      <c r="L72" s="2">
        <f t="shared" si="44"/>
        <v>0</v>
      </c>
      <c r="M72" s="854" t="str">
        <f>TEXT('MYP Assumptions'!F75,"0.00%")&amp;", CPI"</f>
        <v>3.35%, CPI</v>
      </c>
      <c r="O72" s="83" t="str">
        <f t="shared" si="37"/>
        <v>0.00%</v>
      </c>
      <c r="P72" s="2">
        <f t="shared" si="45"/>
        <v>0</v>
      </c>
      <c r="Q72" s="854" t="str">
        <f>TEXT('MYP Assumptions'!G75,"0.00%")&amp;", CPI"</f>
        <v>3.02%, CPI</v>
      </c>
      <c r="S72" s="83" t="str">
        <f t="shared" si="38"/>
        <v>0.00%</v>
      </c>
      <c r="T72" s="2">
        <f t="shared" si="46"/>
        <v>0</v>
      </c>
      <c r="U72" s="81" t="str">
        <f>TEXT('MYP Assumptions'!H75,"0.00%")&amp;", CPI"</f>
        <v>2.73%, CPI</v>
      </c>
      <c r="W72" s="83" t="str">
        <f t="shared" si="39"/>
        <v>0.00%</v>
      </c>
      <c r="X72" s="2">
        <f t="shared" si="41"/>
        <v>0</v>
      </c>
      <c r="Y72" s="81" t="str">
        <f>TEXT('MYP Assumptions'!I75,"0.00%")&amp;", CPI"</f>
        <v>2.73%, CPI</v>
      </c>
      <c r="AA72" s="83" t="str">
        <f t="shared" si="40"/>
        <v>0.00%</v>
      </c>
      <c r="AB72" s="2">
        <f t="shared" si="42"/>
        <v>0</v>
      </c>
      <c r="AC72" s="81" t="str">
        <f>TEXT('MYP Assumptions'!J75,"0.00%")&amp;", CPI"</f>
        <v>2.73%, CPI</v>
      </c>
    </row>
    <row r="73" spans="1:29" hidden="1" x14ac:dyDescent="0.25">
      <c r="A73" s="152"/>
      <c r="B73" s="939"/>
      <c r="D73" s="2">
        <v>0</v>
      </c>
      <c r="E73" s="863"/>
      <c r="F73" s="2"/>
      <c r="G73" s="83" t="str">
        <f t="shared" si="35"/>
        <v>0.00%</v>
      </c>
      <c r="H73" s="2">
        <f t="shared" si="43"/>
        <v>0</v>
      </c>
      <c r="I73" s="854" t="str">
        <f>TEXT('MYP Assumptions'!E75,"0.00%")&amp;", CPI"</f>
        <v>3.42%, CPI</v>
      </c>
      <c r="J73" s="66"/>
      <c r="K73" s="83" t="str">
        <f t="shared" si="36"/>
        <v>0.00%</v>
      </c>
      <c r="L73" s="2">
        <f t="shared" si="44"/>
        <v>0</v>
      </c>
      <c r="M73" s="854" t="str">
        <f>TEXT('MYP Assumptions'!F75,"0.00%")&amp;", CPI"</f>
        <v>3.35%, CPI</v>
      </c>
      <c r="O73" s="83" t="str">
        <f t="shared" si="37"/>
        <v>0.00%</v>
      </c>
      <c r="P73" s="2">
        <f t="shared" si="45"/>
        <v>0</v>
      </c>
      <c r="Q73" s="854" t="str">
        <f>TEXT('MYP Assumptions'!G75,"0.00%")&amp;", CPI"</f>
        <v>3.02%, CPI</v>
      </c>
      <c r="S73" s="83" t="str">
        <f t="shared" si="38"/>
        <v>0.00%</v>
      </c>
      <c r="T73" s="2">
        <f t="shared" si="46"/>
        <v>0</v>
      </c>
      <c r="U73" s="81" t="str">
        <f>TEXT('MYP Assumptions'!H75,"0.00%")&amp;", CPI"</f>
        <v>2.73%, CPI</v>
      </c>
      <c r="W73" s="83" t="str">
        <f t="shared" si="39"/>
        <v>0.00%</v>
      </c>
      <c r="X73" s="2">
        <f t="shared" si="41"/>
        <v>0</v>
      </c>
      <c r="Y73" s="81" t="str">
        <f>TEXT('MYP Assumptions'!I75,"0.00%")&amp;", CPI"</f>
        <v>2.73%, CPI</v>
      </c>
      <c r="AA73" s="83" t="str">
        <f t="shared" si="40"/>
        <v>0.00%</v>
      </c>
      <c r="AB73" s="2">
        <f t="shared" si="42"/>
        <v>0</v>
      </c>
      <c r="AC73" s="81" t="str">
        <f>TEXT('MYP Assumptions'!J75,"0.00%")&amp;", CPI"</f>
        <v>2.73%, CPI</v>
      </c>
    </row>
    <row r="74" spans="1:29" hidden="1" x14ac:dyDescent="0.25">
      <c r="A74" s="152"/>
      <c r="B74" s="939"/>
      <c r="D74" s="2">
        <v>0</v>
      </c>
      <c r="E74" s="863"/>
      <c r="F74" s="2"/>
      <c r="G74" s="83" t="str">
        <f t="shared" si="35"/>
        <v>0.00%</v>
      </c>
      <c r="H74" s="2">
        <f t="shared" si="43"/>
        <v>0</v>
      </c>
      <c r="I74" s="854" t="str">
        <f>TEXT('MYP Assumptions'!E75,"0.00%")&amp;", CPI"</f>
        <v>3.42%, CPI</v>
      </c>
      <c r="J74" s="66"/>
      <c r="K74" s="83" t="str">
        <f t="shared" si="36"/>
        <v>0.00%</v>
      </c>
      <c r="L74" s="2">
        <f t="shared" si="44"/>
        <v>0</v>
      </c>
      <c r="M74" s="854" t="str">
        <f>TEXT('MYP Assumptions'!F75,"0.00%")&amp;", CPI"</f>
        <v>3.35%, CPI</v>
      </c>
      <c r="O74" s="83" t="str">
        <f t="shared" si="37"/>
        <v>0.00%</v>
      </c>
      <c r="P74" s="2">
        <f t="shared" si="45"/>
        <v>0</v>
      </c>
      <c r="Q74" s="854" t="str">
        <f>TEXT('MYP Assumptions'!G75,"0.00%")&amp;", CPI"</f>
        <v>3.02%, CPI</v>
      </c>
      <c r="S74" s="83" t="str">
        <f t="shared" si="38"/>
        <v>0.00%</v>
      </c>
      <c r="T74" s="2">
        <f t="shared" si="46"/>
        <v>0</v>
      </c>
      <c r="U74" s="81" t="str">
        <f>TEXT('MYP Assumptions'!H75,"0.00%")&amp;", CPI"</f>
        <v>2.73%, CPI</v>
      </c>
      <c r="W74" s="83" t="str">
        <f t="shared" si="39"/>
        <v>0.00%</v>
      </c>
      <c r="X74" s="2">
        <f t="shared" si="41"/>
        <v>0</v>
      </c>
      <c r="Y74" s="81" t="str">
        <f>TEXT('MYP Assumptions'!I75,"0.00%")&amp;", CPI"</f>
        <v>2.73%, CPI</v>
      </c>
      <c r="AA74" s="83" t="str">
        <f t="shared" si="40"/>
        <v>0.00%</v>
      </c>
      <c r="AB74" s="2">
        <f t="shared" si="42"/>
        <v>0</v>
      </c>
      <c r="AC74" s="81" t="str">
        <f>TEXT('MYP Assumptions'!J75,"0.00%")&amp;", CPI"</f>
        <v>2.73%, CPI</v>
      </c>
    </row>
    <row r="75" spans="1:29" hidden="1" x14ac:dyDescent="0.25">
      <c r="A75" s="152"/>
      <c r="B75" s="939"/>
      <c r="D75" s="2">
        <v>0</v>
      </c>
      <c r="E75" s="863"/>
      <c r="F75" s="2"/>
      <c r="G75" s="83" t="str">
        <f>IF(D75=0,"0.00%",(H75-D75)/D75)</f>
        <v>0.00%</v>
      </c>
      <c r="H75" s="2">
        <f t="shared" si="43"/>
        <v>0</v>
      </c>
      <c r="I75" s="854" t="str">
        <f>TEXT('MYP Assumptions'!E75,"0.00%")&amp;", CPI"</f>
        <v>3.42%, CPI</v>
      </c>
      <c r="J75" s="66"/>
      <c r="K75" s="83" t="str">
        <f t="shared" si="36"/>
        <v>0.00%</v>
      </c>
      <c r="L75" s="2">
        <f t="shared" si="44"/>
        <v>0</v>
      </c>
      <c r="M75" s="854" t="str">
        <f>TEXT('MYP Assumptions'!F75,"0.00%")&amp;", CPI"</f>
        <v>3.35%, CPI</v>
      </c>
      <c r="O75" s="83" t="str">
        <f t="shared" si="37"/>
        <v>0.00%</v>
      </c>
      <c r="P75" s="2">
        <f t="shared" si="45"/>
        <v>0</v>
      </c>
      <c r="Q75" s="854" t="str">
        <f>TEXT('MYP Assumptions'!G75,"0.00%")&amp;", CPI"</f>
        <v>3.02%, CPI</v>
      </c>
      <c r="S75" s="83" t="str">
        <f t="shared" si="38"/>
        <v>0.00%</v>
      </c>
      <c r="T75" s="2">
        <f t="shared" si="46"/>
        <v>0</v>
      </c>
      <c r="U75" s="81" t="str">
        <f>TEXT('MYP Assumptions'!H75,"0.00%")&amp;", CPI"</f>
        <v>2.73%, CPI</v>
      </c>
      <c r="W75" s="83" t="str">
        <f t="shared" si="39"/>
        <v>0.00%</v>
      </c>
      <c r="X75" s="2">
        <f t="shared" si="41"/>
        <v>0</v>
      </c>
      <c r="Y75" s="81" t="str">
        <f>TEXT('MYP Assumptions'!I75,"0.00%")&amp;", CPI"</f>
        <v>2.73%, CPI</v>
      </c>
      <c r="AA75" s="83" t="str">
        <f t="shared" si="40"/>
        <v>0.00%</v>
      </c>
      <c r="AB75" s="2">
        <f t="shared" si="42"/>
        <v>0</v>
      </c>
      <c r="AC75" s="81" t="str">
        <f>TEXT('MYP Assumptions'!J75,"0.00%")&amp;", CPI"</f>
        <v>2.73%, CPI</v>
      </c>
    </row>
    <row r="76" spans="1:29" hidden="1" x14ac:dyDescent="0.25">
      <c r="A76" s="152"/>
      <c r="B76" s="939"/>
      <c r="D76" s="2">
        <v>0</v>
      </c>
      <c r="E76" s="863"/>
      <c r="F76" s="2"/>
      <c r="G76" s="83" t="str">
        <f t="shared" ref="G76:G82" si="47">IF(D76=0,"0.00%",(H76-D76)/D76)</f>
        <v>0.00%</v>
      </c>
      <c r="H76" s="2">
        <f t="shared" si="43"/>
        <v>0</v>
      </c>
      <c r="I76" s="854" t="str">
        <f>TEXT('MYP Assumptions'!E75,"0.00%")&amp;", CPI"</f>
        <v>3.42%, CPI</v>
      </c>
      <c r="J76" s="66"/>
      <c r="K76" s="83" t="str">
        <f t="shared" si="36"/>
        <v>0.00%</v>
      </c>
      <c r="L76" s="2">
        <f t="shared" si="44"/>
        <v>0</v>
      </c>
      <c r="M76" s="854" t="str">
        <f>TEXT('MYP Assumptions'!F75,"0.00%")&amp;", CPI"</f>
        <v>3.35%, CPI</v>
      </c>
      <c r="O76" s="83" t="str">
        <f t="shared" si="37"/>
        <v>0.00%</v>
      </c>
      <c r="P76" s="2">
        <f t="shared" si="45"/>
        <v>0</v>
      </c>
      <c r="Q76" s="854" t="str">
        <f>TEXT('MYP Assumptions'!G75,"0.00%")&amp;", CPI"</f>
        <v>3.02%, CPI</v>
      </c>
      <c r="S76" s="83" t="str">
        <f t="shared" si="38"/>
        <v>0.00%</v>
      </c>
      <c r="T76" s="2">
        <f t="shared" si="46"/>
        <v>0</v>
      </c>
      <c r="U76" s="81" t="str">
        <f>TEXT('MYP Assumptions'!H75,"0.00%")&amp;", CPI"</f>
        <v>2.73%, CPI</v>
      </c>
      <c r="W76" s="83" t="str">
        <f t="shared" si="39"/>
        <v>0.00%</v>
      </c>
      <c r="X76" s="2">
        <f t="shared" si="41"/>
        <v>0</v>
      </c>
      <c r="Y76" s="81" t="str">
        <f>TEXT('MYP Assumptions'!I75,"0.00%")&amp;", CPI"</f>
        <v>2.73%, CPI</v>
      </c>
      <c r="AA76" s="83" t="str">
        <f t="shared" si="40"/>
        <v>0.00%</v>
      </c>
      <c r="AB76" s="2">
        <f t="shared" si="42"/>
        <v>0</v>
      </c>
      <c r="AC76" s="81" t="str">
        <f>TEXT('MYP Assumptions'!J75,"0.00%")&amp;", CPI"</f>
        <v>2.73%, CPI</v>
      </c>
    </row>
    <row r="77" spans="1:29" hidden="1" x14ac:dyDescent="0.25">
      <c r="A77" s="152"/>
      <c r="B77" s="939"/>
      <c r="D77" s="2">
        <v>0</v>
      </c>
      <c r="E77" s="863"/>
      <c r="F77" s="2"/>
      <c r="G77" s="83" t="str">
        <f t="shared" si="47"/>
        <v>0.00%</v>
      </c>
      <c r="H77" s="2">
        <f>ROUND(D77*(LEFT(I77,5)+1),0)</f>
        <v>0</v>
      </c>
      <c r="I77" s="854" t="str">
        <f>TEXT('MYP Assumptions'!E75,"0.00%")&amp;", CPI"</f>
        <v>3.42%, CPI</v>
      </c>
      <c r="J77" s="66"/>
      <c r="K77" s="83" t="str">
        <f t="shared" si="36"/>
        <v>0.00%</v>
      </c>
      <c r="L77" s="2">
        <f t="shared" si="44"/>
        <v>0</v>
      </c>
      <c r="M77" s="854" t="str">
        <f>TEXT('MYP Assumptions'!F75,"0.00%")&amp;", CPI"</f>
        <v>3.35%, CPI</v>
      </c>
      <c r="O77" s="83" t="str">
        <f t="shared" si="37"/>
        <v>0.00%</v>
      </c>
      <c r="P77" s="2">
        <f t="shared" si="45"/>
        <v>0</v>
      </c>
      <c r="Q77" s="854" t="str">
        <f>TEXT('MYP Assumptions'!G75,"0.00%")&amp;", CPI"</f>
        <v>3.02%, CPI</v>
      </c>
      <c r="S77" s="83" t="str">
        <f t="shared" si="38"/>
        <v>0.00%</v>
      </c>
      <c r="T77" s="2">
        <f t="shared" si="46"/>
        <v>0</v>
      </c>
      <c r="U77" s="81" t="str">
        <f>TEXT('MYP Assumptions'!H75,"0.00%")&amp;", CPI"</f>
        <v>2.73%, CPI</v>
      </c>
      <c r="W77" s="83" t="str">
        <f t="shared" si="39"/>
        <v>0.00%</v>
      </c>
      <c r="X77" s="2">
        <f t="shared" si="41"/>
        <v>0</v>
      </c>
      <c r="Y77" s="81" t="str">
        <f>TEXT('MYP Assumptions'!I75,"0.00%")&amp;", CPI"</f>
        <v>2.73%, CPI</v>
      </c>
      <c r="AA77" s="83" t="str">
        <f t="shared" si="40"/>
        <v>0.00%</v>
      </c>
      <c r="AB77" s="2">
        <f t="shared" si="42"/>
        <v>0</v>
      </c>
      <c r="AC77" s="81" t="str">
        <f>TEXT('MYP Assumptions'!J75,"0.00%")&amp;", CPI"</f>
        <v>2.73%, CPI</v>
      </c>
    </row>
    <row r="78" spans="1:29" hidden="1" x14ac:dyDescent="0.25">
      <c r="A78" s="152"/>
      <c r="B78" s="939"/>
      <c r="D78" s="2">
        <v>0</v>
      </c>
      <c r="E78" s="863"/>
      <c r="F78" s="2"/>
      <c r="G78" s="83" t="str">
        <f t="shared" si="47"/>
        <v>0.00%</v>
      </c>
      <c r="H78" s="2">
        <f>ROUND(D78*(LEFT(I78,5)+1),0)</f>
        <v>0</v>
      </c>
      <c r="I78" s="854" t="str">
        <f>TEXT('MYP Assumptions'!E75,"0.00%")&amp;", CPI"</f>
        <v>3.42%, CPI</v>
      </c>
      <c r="J78" s="66"/>
      <c r="K78" s="83" t="str">
        <f t="shared" si="36"/>
        <v>0.00%</v>
      </c>
      <c r="L78" s="2">
        <f t="shared" si="44"/>
        <v>0</v>
      </c>
      <c r="M78" s="854" t="str">
        <f>TEXT('MYP Assumptions'!F75,"0.00%")&amp;", CPI"</f>
        <v>3.35%, CPI</v>
      </c>
      <c r="O78" s="83" t="str">
        <f t="shared" si="37"/>
        <v>0.00%</v>
      </c>
      <c r="P78" s="2">
        <f t="shared" si="45"/>
        <v>0</v>
      </c>
      <c r="Q78" s="854" t="str">
        <f>TEXT('MYP Assumptions'!G75,"0.00%")&amp;", CPI"</f>
        <v>3.02%, CPI</v>
      </c>
      <c r="S78" s="83" t="str">
        <f t="shared" si="38"/>
        <v>0.00%</v>
      </c>
      <c r="T78" s="2">
        <f t="shared" si="46"/>
        <v>0</v>
      </c>
      <c r="U78" s="81" t="str">
        <f>TEXT('MYP Assumptions'!H75,"0.00%")&amp;", CPI"</f>
        <v>2.73%, CPI</v>
      </c>
      <c r="W78" s="83" t="str">
        <f t="shared" si="39"/>
        <v>0.00%</v>
      </c>
      <c r="X78" s="2">
        <f t="shared" si="41"/>
        <v>0</v>
      </c>
      <c r="Y78" s="81" t="str">
        <f>TEXT('MYP Assumptions'!I75,"0.00%")&amp;", CPI"</f>
        <v>2.73%, CPI</v>
      </c>
      <c r="AA78" s="83" t="str">
        <f t="shared" si="40"/>
        <v>0.00%</v>
      </c>
      <c r="AB78" s="2">
        <f t="shared" si="42"/>
        <v>0</v>
      </c>
      <c r="AC78" s="81" t="str">
        <f>TEXT('MYP Assumptions'!J75,"0.00%")&amp;", CPI"</f>
        <v>2.73%, CPI</v>
      </c>
    </row>
    <row r="79" spans="1:29" hidden="1" x14ac:dyDescent="0.25">
      <c r="A79" s="152"/>
      <c r="B79" s="939"/>
      <c r="D79" s="2">
        <v>0</v>
      </c>
      <c r="E79" s="863"/>
      <c r="F79" s="2"/>
      <c r="G79" s="83" t="str">
        <f t="shared" si="47"/>
        <v>0.00%</v>
      </c>
      <c r="H79" s="2">
        <f>ROUND(D79*(LEFT(I79,5)+1),0)</f>
        <v>0</v>
      </c>
      <c r="I79" s="854" t="str">
        <f>TEXT('MYP Assumptions'!E75,"0.00%")&amp;", CPI"</f>
        <v>3.42%, CPI</v>
      </c>
      <c r="J79" s="66"/>
      <c r="K79" s="83" t="str">
        <f t="shared" si="36"/>
        <v>0.00%</v>
      </c>
      <c r="L79" s="2">
        <f t="shared" si="44"/>
        <v>0</v>
      </c>
      <c r="M79" s="854" t="str">
        <f>TEXT('MYP Assumptions'!F75,"0.00%")&amp;", CPI"</f>
        <v>3.35%, CPI</v>
      </c>
      <c r="O79" s="83" t="str">
        <f t="shared" si="37"/>
        <v>0.00%</v>
      </c>
      <c r="P79" s="2">
        <f t="shared" si="45"/>
        <v>0</v>
      </c>
      <c r="Q79" s="854" t="str">
        <f>TEXT('MYP Assumptions'!G75,"0.00%")&amp;", CPI"</f>
        <v>3.02%, CPI</v>
      </c>
      <c r="S79" s="83" t="str">
        <f t="shared" si="38"/>
        <v>0.00%</v>
      </c>
      <c r="T79" s="2">
        <f t="shared" si="46"/>
        <v>0</v>
      </c>
      <c r="U79" s="81" t="str">
        <f>TEXT('MYP Assumptions'!H75,"0.00%")&amp;", CPI"</f>
        <v>2.73%, CPI</v>
      </c>
      <c r="W79" s="83" t="str">
        <f t="shared" si="39"/>
        <v>0.00%</v>
      </c>
      <c r="X79" s="2">
        <f t="shared" si="41"/>
        <v>0</v>
      </c>
      <c r="Y79" s="81" t="str">
        <f>TEXT('MYP Assumptions'!I75,"0.00%")&amp;", CPI"</f>
        <v>2.73%, CPI</v>
      </c>
      <c r="AA79" s="83" t="str">
        <f t="shared" si="40"/>
        <v>0.00%</v>
      </c>
      <c r="AB79" s="2">
        <f t="shared" si="42"/>
        <v>0</v>
      </c>
      <c r="AC79" s="81" t="str">
        <f>TEXT('MYP Assumptions'!J75,"0.00%")&amp;", CPI"</f>
        <v>2.73%, CPI</v>
      </c>
    </row>
    <row r="80" spans="1:29" hidden="1" x14ac:dyDescent="0.25">
      <c r="A80" s="152"/>
      <c r="B80" s="939"/>
      <c r="D80" s="2">
        <v>0</v>
      </c>
      <c r="E80" s="863"/>
      <c r="F80" s="2"/>
      <c r="G80" s="83" t="str">
        <f t="shared" si="47"/>
        <v>0.00%</v>
      </c>
      <c r="H80" s="2">
        <f>ROUND(D80*(LEFT(I80,5)+1),0)</f>
        <v>0</v>
      </c>
      <c r="I80" s="854" t="str">
        <f>TEXT('MYP Assumptions'!E75,"0.00%")&amp;", CPI"</f>
        <v>3.42%, CPI</v>
      </c>
      <c r="J80" s="66"/>
      <c r="K80" s="83" t="str">
        <f t="shared" si="36"/>
        <v>0.00%</v>
      </c>
      <c r="L80" s="2">
        <f t="shared" si="44"/>
        <v>0</v>
      </c>
      <c r="M80" s="854" t="str">
        <f>TEXT('MYP Assumptions'!F75,"0.00%")&amp;", CPI"</f>
        <v>3.35%, CPI</v>
      </c>
      <c r="O80" s="83" t="str">
        <f t="shared" si="37"/>
        <v>0.00%</v>
      </c>
      <c r="P80" s="2">
        <f t="shared" si="45"/>
        <v>0</v>
      </c>
      <c r="Q80" s="854" t="str">
        <f>TEXT('MYP Assumptions'!G75,"0.00%")&amp;", CPI"</f>
        <v>3.02%, CPI</v>
      </c>
      <c r="S80" s="83" t="str">
        <f t="shared" si="38"/>
        <v>0.00%</v>
      </c>
      <c r="T80" s="2">
        <f t="shared" si="46"/>
        <v>0</v>
      </c>
      <c r="U80" s="81" t="str">
        <f>TEXT('MYP Assumptions'!H75,"0.00%")&amp;", CPI"</f>
        <v>2.73%, CPI</v>
      </c>
      <c r="W80" s="83" t="str">
        <f t="shared" si="39"/>
        <v>0.00%</v>
      </c>
      <c r="X80" s="2">
        <f t="shared" si="41"/>
        <v>0</v>
      </c>
      <c r="Y80" s="81" t="str">
        <f>TEXT('MYP Assumptions'!I75,"0.00%")&amp;", CPI"</f>
        <v>2.73%, CPI</v>
      </c>
      <c r="AA80" s="83" t="str">
        <f t="shared" si="40"/>
        <v>0.00%</v>
      </c>
      <c r="AB80" s="2">
        <f t="shared" si="42"/>
        <v>0</v>
      </c>
      <c r="AC80" s="81" t="str">
        <f>TEXT('MYP Assumptions'!J75,"0.00%")&amp;", CPI"</f>
        <v>2.73%, CPI</v>
      </c>
    </row>
    <row r="81" spans="1:29" hidden="1" x14ac:dyDescent="0.25">
      <c r="A81" s="152"/>
      <c r="B81" s="939"/>
      <c r="D81" s="2">
        <f>'RS 3010-ALL'!AF80</f>
        <v>0</v>
      </c>
      <c r="E81" s="863"/>
      <c r="F81" s="2"/>
      <c r="G81" s="83" t="str">
        <f t="shared" si="47"/>
        <v>0.00%</v>
      </c>
      <c r="H81" s="2">
        <f>ROUND(D81*(LEFT(I81,5)+1),0)</f>
        <v>0</v>
      </c>
      <c r="I81" s="854" t="str">
        <f>TEXT('MYP Assumptions'!E75,"0.00%")&amp;", CPI"</f>
        <v>3.42%, CPI</v>
      </c>
      <c r="J81" s="66"/>
      <c r="K81" s="83" t="str">
        <f t="shared" si="36"/>
        <v>0.00%</v>
      </c>
      <c r="L81" s="2">
        <f t="shared" si="44"/>
        <v>0</v>
      </c>
      <c r="M81" s="854" t="str">
        <f>TEXT('MYP Assumptions'!F75,"0.00%")&amp;", CPI"</f>
        <v>3.35%, CPI</v>
      </c>
      <c r="O81" s="83" t="str">
        <f t="shared" si="37"/>
        <v>0.00%</v>
      </c>
      <c r="P81" s="2">
        <f t="shared" si="45"/>
        <v>0</v>
      </c>
      <c r="Q81" s="854" t="str">
        <f>TEXT('MYP Assumptions'!G75,"0.00%")&amp;", CPI"</f>
        <v>3.02%, CPI</v>
      </c>
      <c r="S81" s="83" t="str">
        <f t="shared" si="38"/>
        <v>0.00%</v>
      </c>
      <c r="T81" s="2">
        <f t="shared" si="46"/>
        <v>0</v>
      </c>
      <c r="U81" s="81" t="str">
        <f>TEXT('MYP Assumptions'!H75,"0.00%")&amp;", CPI"</f>
        <v>2.73%, CPI</v>
      </c>
      <c r="W81" s="83" t="str">
        <f t="shared" si="39"/>
        <v>0.00%</v>
      </c>
      <c r="X81" s="2">
        <f t="shared" si="41"/>
        <v>0</v>
      </c>
      <c r="Y81" s="81" t="str">
        <f>TEXT('MYP Assumptions'!I75,"0.00%")&amp;", CPI"</f>
        <v>2.73%, CPI</v>
      </c>
      <c r="AA81" s="83" t="str">
        <f t="shared" si="40"/>
        <v>0.00%</v>
      </c>
      <c r="AB81" s="2">
        <f t="shared" si="42"/>
        <v>0</v>
      </c>
      <c r="AC81" s="81" t="str">
        <f>TEXT('MYP Assumptions'!J75,"0.00%")&amp;", CPI"</f>
        <v>2.73%, CPI</v>
      </c>
    </row>
    <row r="82" spans="1:29" x14ac:dyDescent="0.25">
      <c r="A82" s="153"/>
      <c r="D82" s="8">
        <f>SUM(D69:D81)</f>
        <v>33700.58</v>
      </c>
      <c r="E82" s="863"/>
      <c r="F82" s="2"/>
      <c r="G82" s="83">
        <f t="shared" si="47"/>
        <v>0.43914437080904833</v>
      </c>
      <c r="H82" s="8">
        <f>SUM(H69:H81)</f>
        <v>48500</v>
      </c>
      <c r="I82" s="1292">
        <f>+H82-D82</f>
        <v>14799.419999999998</v>
      </c>
      <c r="J82" s="29"/>
      <c r="K82" s="83">
        <f t="shared" si="36"/>
        <v>0</v>
      </c>
      <c r="L82" s="8">
        <f>SUM(L69:L81)</f>
        <v>48500</v>
      </c>
      <c r="M82" s="1292">
        <f>+L82-H82</f>
        <v>0</v>
      </c>
      <c r="O82" s="83">
        <f t="shared" si="37"/>
        <v>0</v>
      </c>
      <c r="P82" s="8">
        <f>SUM(P69:P81)</f>
        <v>48500</v>
      </c>
      <c r="Q82" s="1292">
        <f>+P82-L82</f>
        <v>0</v>
      </c>
      <c r="S82" s="83">
        <f t="shared" si="38"/>
        <v>0</v>
      </c>
      <c r="T82" s="8">
        <f>SUM(T69:T81)</f>
        <v>48500</v>
      </c>
      <c r="U82" s="73"/>
      <c r="W82" s="83">
        <f t="shared" si="39"/>
        <v>2.7298969072164947E-2</v>
      </c>
      <c r="X82" s="8">
        <f>SUM(X69:X81)</f>
        <v>49824</v>
      </c>
      <c r="Y82" s="73"/>
      <c r="AA82" s="83">
        <f t="shared" si="40"/>
        <v>2.7296082209377008E-2</v>
      </c>
      <c r="AB82" s="8">
        <f>SUM(AB69:AB81)</f>
        <v>51184</v>
      </c>
      <c r="AC82" s="73"/>
    </row>
    <row r="83" spans="1:29" x14ac:dyDescent="0.25">
      <c r="A83" s="152"/>
      <c r="B83" s="936"/>
      <c r="E83" s="863"/>
      <c r="F83" s="2"/>
      <c r="G83" s="83"/>
      <c r="H83" s="2"/>
      <c r="I83" s="871"/>
      <c r="J83" s="66"/>
      <c r="L83" s="2"/>
      <c r="M83" s="948"/>
      <c r="Q83" s="948"/>
      <c r="T83" s="2"/>
      <c r="U83" s="73"/>
      <c r="X83" s="2"/>
      <c r="Y83" s="73"/>
      <c r="AB83" s="2"/>
      <c r="AC83" s="73"/>
    </row>
    <row r="84" spans="1:29" x14ac:dyDescent="0.25">
      <c r="A84" s="152"/>
      <c r="E84" s="863"/>
      <c r="F84" s="2"/>
      <c r="H84" s="2"/>
      <c r="I84" s="871"/>
      <c r="J84" s="66"/>
      <c r="L84" s="2"/>
      <c r="M84" s="948"/>
      <c r="Q84" s="948"/>
      <c r="T84" s="2"/>
      <c r="U84" s="73"/>
      <c r="X84" s="2"/>
      <c r="Y84" s="73"/>
      <c r="AB84" s="2"/>
      <c r="AC84" s="73"/>
    </row>
    <row r="85" spans="1:29" x14ac:dyDescent="0.25">
      <c r="A85" s="153"/>
      <c r="B85" s="936" t="s">
        <v>0</v>
      </c>
      <c r="D85" s="8">
        <f>SUM(D82,D66,D55,D13)</f>
        <v>1967513.26</v>
      </c>
      <c r="E85" s="863"/>
      <c r="F85" s="2"/>
      <c r="G85" s="83">
        <f>IF(D85=0,"0.00%",(H85-D85)/D85)</f>
        <v>-0.97534959434021806</v>
      </c>
      <c r="H85" s="8">
        <f>SUM(H82,H66,H55,H13)</f>
        <v>48500</v>
      </c>
      <c r="I85" s="872"/>
      <c r="J85" s="29"/>
      <c r="K85" s="83">
        <f>IF(H85=0,"0.00%",(L85-H85)/H85)</f>
        <v>36.554226804123708</v>
      </c>
      <c r="L85" s="8">
        <f>SUM(L82,L66,L55,L13)</f>
        <v>1821380</v>
      </c>
      <c r="M85" s="948"/>
      <c r="O85" s="83">
        <f>IF(L85=0,"0.00%",(P85-L85)/L85)</f>
        <v>-0.97337183893531276</v>
      </c>
      <c r="P85" s="8">
        <f>SUM(P82,P66,P55,P13)</f>
        <v>48500</v>
      </c>
      <c r="Q85" s="948"/>
      <c r="S85" s="83">
        <f>IF(P85=0,"0.00%",(T85-P85)/P85)</f>
        <v>0</v>
      </c>
      <c r="T85" s="8">
        <f>SUM(T82,T66,T55,T13)</f>
        <v>48500</v>
      </c>
      <c r="U85" s="73"/>
      <c r="W85" s="83">
        <f>IF(T85=0,"0.00%",(X85-T85)/T85)</f>
        <v>2.7298969072164947E-2</v>
      </c>
      <c r="X85" s="8">
        <f>SUM(X82,X66,X55,X13)</f>
        <v>49824</v>
      </c>
      <c r="Y85" s="73"/>
      <c r="AA85" s="83">
        <f>IF(X85=0,"0.00%",(AB85-X85)/X85)</f>
        <v>2.7296082209377008E-2</v>
      </c>
      <c r="AB85" s="8">
        <f>SUM(AB82,AB66,AB55,AB13)</f>
        <v>51184</v>
      </c>
      <c r="AC85" s="73"/>
    </row>
    <row r="86" spans="1:29" x14ac:dyDescent="0.25">
      <c r="A86" s="152"/>
      <c r="E86" s="863"/>
      <c r="F86" s="2"/>
      <c r="H86" s="2"/>
      <c r="I86" s="871"/>
      <c r="J86" s="66"/>
      <c r="L86" s="2"/>
      <c r="M86" s="948"/>
      <c r="Q86" s="948"/>
      <c r="T86" s="2"/>
      <c r="U86" s="73"/>
      <c r="X86" s="2"/>
      <c r="Y86" s="73"/>
      <c r="AB86" s="2"/>
      <c r="AC86" s="73"/>
    </row>
    <row r="87" spans="1:29" x14ac:dyDescent="0.25">
      <c r="A87" s="152"/>
      <c r="B87" s="936" t="s">
        <v>138</v>
      </c>
      <c r="D87" s="3">
        <f>D11-D85</f>
        <v>-710513.26</v>
      </c>
      <c r="G87" s="83">
        <f>IF(D87=0,"0.00%",(H87-D87)/D87)</f>
        <v>-2.3734859782912427</v>
      </c>
      <c r="H87" s="3">
        <f>H11-H85</f>
        <v>975880</v>
      </c>
      <c r="I87" s="871"/>
      <c r="J87" s="66"/>
      <c r="K87" s="83">
        <f>IF(H87=0,"0.00%",(L87-H87)/H87)</f>
        <v>-2.4052752387588638</v>
      </c>
      <c r="L87" s="3">
        <f>L11-L85</f>
        <v>-1371380</v>
      </c>
      <c r="M87" s="948"/>
      <c r="O87" s="83">
        <f>IF(L87=0,"0.00%",(P87-L87)/L87)</f>
        <v>-1.2927707856319912</v>
      </c>
      <c r="P87" s="3">
        <f>P11-P85</f>
        <v>401500</v>
      </c>
      <c r="Q87" s="948"/>
      <c r="S87" s="83">
        <f>IF(P87=0,"0.00%",(T87-P87)/P87)</f>
        <v>0</v>
      </c>
      <c r="T87" s="3">
        <f>T11-T85</f>
        <v>401500</v>
      </c>
      <c r="U87" s="73"/>
      <c r="W87" s="83">
        <f>IF(T87=0,"0.00%",(X87-T87)/T87)</f>
        <v>-1.1240946450809464</v>
      </c>
      <c r="X87" s="3">
        <f>X11-X85</f>
        <v>-49824</v>
      </c>
      <c r="Y87" s="73"/>
      <c r="AA87" s="83">
        <f>IF(X87=0,"0.00%",(AB87-X87)/X87)</f>
        <v>2.7296082209377008E-2</v>
      </c>
      <c r="AB87" s="3">
        <f>AB11-AB85</f>
        <v>-51184</v>
      </c>
      <c r="AC87" s="73"/>
    </row>
    <row r="88" spans="1:29" x14ac:dyDescent="0.25">
      <c r="B88" s="936"/>
      <c r="C88" s="930"/>
      <c r="D88" s="3"/>
      <c r="H88" s="3"/>
      <c r="I88" s="871"/>
      <c r="J88" s="66"/>
      <c r="L88" s="3"/>
      <c r="M88" s="948"/>
      <c r="P88" s="3"/>
      <c r="Q88" s="948"/>
      <c r="T88" s="44"/>
      <c r="U88" s="73"/>
      <c r="X88" s="44"/>
      <c r="Y88" s="73"/>
      <c r="AB88" s="44"/>
      <c r="AC88" s="73"/>
    </row>
    <row r="89" spans="1:29" x14ac:dyDescent="0.25">
      <c r="B89" s="936" t="s">
        <v>136</v>
      </c>
      <c r="C89" s="932"/>
      <c r="D89" s="3">
        <f>D7+D87</f>
        <v>816257.51</v>
      </c>
      <c r="G89" s="83">
        <f>IF(D89=0,"0.00%",(H89-D89)/D89)</f>
        <v>1.1955540843967243</v>
      </c>
      <c r="H89" s="3">
        <f>H7+H87</f>
        <v>1792137.51</v>
      </c>
      <c r="I89" s="1292">
        <f>+H89-D89</f>
        <v>975880</v>
      </c>
      <c r="J89" s="66"/>
      <c r="K89" s="83">
        <f>IF(H89=0,"0.00%",(L89-H89)/H89)</f>
        <v>-0.76522029830177485</v>
      </c>
      <c r="L89" s="3">
        <f>L7+L87</f>
        <v>420757.51</v>
      </c>
      <c r="M89" s="1292">
        <f>+L89-H89</f>
        <v>-1371380</v>
      </c>
      <c r="O89" s="83">
        <f>IF(L89=0,"0.00%",(P89-L89)/L89)</f>
        <v>0.95423133386258507</v>
      </c>
      <c r="P89" s="3">
        <f>P7+P87</f>
        <v>822257.51</v>
      </c>
      <c r="Q89" s="1292">
        <f>+P89-L89</f>
        <v>401500</v>
      </c>
      <c r="S89" s="83">
        <f>IF(P89=0,"0.00%",(T89-P89)/P89)</f>
        <v>0.48828985459798352</v>
      </c>
      <c r="T89" s="49">
        <f>T7+T87</f>
        <v>1223757.51</v>
      </c>
      <c r="U89" s="73"/>
      <c r="W89" s="83">
        <f>IF(T89=0,"0.00%",(X89-T89)/T89)</f>
        <v>-4.0713948305003661E-2</v>
      </c>
      <c r="X89" s="49">
        <f>X7+X87</f>
        <v>1173933.51</v>
      </c>
      <c r="Y89" s="73"/>
      <c r="AA89" s="83">
        <f>IF(X89=0,"0.00%",(AB89-X89)/X89)</f>
        <v>-4.3600425035997141E-2</v>
      </c>
      <c r="AB89" s="49">
        <f>AB7+AB87</f>
        <v>1122749.51</v>
      </c>
      <c r="AC89" s="73"/>
    </row>
    <row r="90" spans="1:29" x14ac:dyDescent="0.25">
      <c r="C90" s="873"/>
      <c r="G90" s="374"/>
      <c r="H90" s="5"/>
      <c r="I90" s="872"/>
      <c r="J90" s="29"/>
      <c r="L90" s="5"/>
      <c r="M90" s="948"/>
      <c r="P90" s="5"/>
      <c r="Q90" s="948"/>
      <c r="T90" s="5"/>
      <c r="U90" s="73"/>
      <c r="X90" s="5"/>
      <c r="Y90" s="73"/>
      <c r="AB90" s="5"/>
      <c r="AC90" s="73"/>
    </row>
    <row r="91" spans="1:29" x14ac:dyDescent="0.25">
      <c r="C91" s="868"/>
      <c r="G91" s="374"/>
      <c r="H91" s="36"/>
      <c r="I91" s="871"/>
      <c r="J91" s="66"/>
      <c r="L91" s="2"/>
      <c r="M91" s="948"/>
      <c r="Q91" s="948"/>
      <c r="T91" s="2"/>
      <c r="U91" s="73"/>
      <c r="X91" s="2"/>
      <c r="Y91" s="73"/>
      <c r="AB91" s="2"/>
      <c r="AC91" s="73"/>
    </row>
    <row r="92" spans="1:29" x14ac:dyDescent="0.25">
      <c r="C92" s="868"/>
      <c r="G92" s="374"/>
      <c r="H92" s="36"/>
      <c r="I92" s="871"/>
      <c r="J92" s="66"/>
      <c r="L92" s="2"/>
      <c r="M92" s="948"/>
      <c r="Q92" s="948"/>
      <c r="T92" s="2"/>
      <c r="U92" s="73"/>
      <c r="X92" s="2"/>
      <c r="Y92" s="73"/>
      <c r="AB92" s="2"/>
      <c r="AC92" s="73"/>
    </row>
    <row r="93" spans="1:29" x14ac:dyDescent="0.25">
      <c r="C93" s="868"/>
      <c r="G93" s="374"/>
      <c r="H93" s="36"/>
      <c r="I93" s="871"/>
      <c r="J93" s="66"/>
      <c r="L93" s="2"/>
      <c r="M93" s="948"/>
      <c r="Q93" s="948"/>
      <c r="T93" s="2"/>
      <c r="U93" s="73"/>
      <c r="X93" s="2"/>
      <c r="Y93" s="73"/>
      <c r="AB93" s="2"/>
      <c r="AC93" s="73"/>
    </row>
    <row r="94" spans="1:29" x14ac:dyDescent="0.25">
      <c r="C94" s="868"/>
      <c r="G94" s="374"/>
      <c r="H94" s="36"/>
      <c r="I94" s="871"/>
      <c r="J94" s="66"/>
      <c r="L94" s="2"/>
      <c r="M94" s="948"/>
      <c r="Q94" s="948"/>
      <c r="T94" s="2"/>
      <c r="U94" s="73"/>
      <c r="X94" s="2"/>
      <c r="Y94" s="73"/>
      <c r="AB94" s="2"/>
      <c r="AC94" s="73"/>
    </row>
    <row r="95" spans="1:29" s="137" customFormat="1" ht="11.25" x14ac:dyDescent="0.2">
      <c r="A95" s="156"/>
      <c r="B95" s="942"/>
      <c r="C95" s="943" t="s">
        <v>223</v>
      </c>
      <c r="D95" s="134">
        <f>+D82+D66+D53+D41+D30</f>
        <v>1967513.26</v>
      </c>
      <c r="E95" s="865"/>
      <c r="G95" s="133" t="s">
        <v>223</v>
      </c>
      <c r="H95" s="134">
        <f>+H82+H66+H53+H41+H30</f>
        <v>48500</v>
      </c>
      <c r="I95" s="874"/>
      <c r="J95" s="135"/>
      <c r="K95" s="133" t="s">
        <v>223</v>
      </c>
      <c r="L95" s="134">
        <f>+L82+L66+L53+L41+L30</f>
        <v>1821380</v>
      </c>
      <c r="M95" s="951"/>
      <c r="O95" s="133" t="s">
        <v>223</v>
      </c>
      <c r="P95" s="134">
        <f>+P82+P66+P53+P41+P30</f>
        <v>48500</v>
      </c>
      <c r="Q95" s="951"/>
      <c r="R95" s="139"/>
      <c r="S95" s="133" t="s">
        <v>223</v>
      </c>
      <c r="T95" s="134">
        <f>+T82+T66+T53+T41+T30</f>
        <v>48500</v>
      </c>
      <c r="U95" s="138"/>
      <c r="W95" s="133" t="s">
        <v>223</v>
      </c>
      <c r="X95" s="134">
        <f>+X82+X66+X53+X41+X30</f>
        <v>49824</v>
      </c>
      <c r="Y95" s="138"/>
      <c r="AA95" s="133" t="s">
        <v>223</v>
      </c>
      <c r="AB95" s="134">
        <f>+AB82+AB66+AB53+AB41+AB30</f>
        <v>51184</v>
      </c>
      <c r="AC95" s="138"/>
    </row>
    <row r="96" spans="1:29" s="137" customFormat="1" ht="11.25" x14ac:dyDescent="0.2">
      <c r="A96" s="158"/>
      <c r="B96" s="942"/>
      <c r="C96" s="944" t="s">
        <v>224</v>
      </c>
      <c r="D96" s="142">
        <f>+D13</f>
        <v>0</v>
      </c>
      <c r="E96" s="866"/>
      <c r="F96" s="144"/>
      <c r="G96" s="375" t="s">
        <v>224</v>
      </c>
      <c r="H96" s="142">
        <f>+H13</f>
        <v>0</v>
      </c>
      <c r="I96" s="875"/>
      <c r="J96" s="143"/>
      <c r="K96" s="375" t="s">
        <v>224</v>
      </c>
      <c r="L96" s="142">
        <f>+L13</f>
        <v>0</v>
      </c>
      <c r="M96" s="951"/>
      <c r="O96" s="375" t="s">
        <v>224</v>
      </c>
      <c r="P96" s="142">
        <f>+P13</f>
        <v>0</v>
      </c>
      <c r="Q96" s="865"/>
      <c r="R96" s="139"/>
      <c r="S96" s="141" t="s">
        <v>224</v>
      </c>
      <c r="T96" s="142">
        <f>+T13</f>
        <v>0</v>
      </c>
      <c r="W96" s="141" t="s">
        <v>224</v>
      </c>
      <c r="X96" s="142">
        <f>+X13</f>
        <v>0</v>
      </c>
      <c r="AA96" s="141" t="s">
        <v>224</v>
      </c>
      <c r="AB96" s="142">
        <f>+AB13</f>
        <v>0</v>
      </c>
    </row>
    <row r="97" spans="1:28" s="137" customFormat="1" ht="11.25" x14ac:dyDescent="0.2">
      <c r="A97" s="158"/>
      <c r="B97" s="942"/>
      <c r="C97" s="944"/>
      <c r="D97" s="145">
        <f>+D95+D96</f>
        <v>1967513.26</v>
      </c>
      <c r="E97" s="866"/>
      <c r="F97" s="144"/>
      <c r="G97" s="375"/>
      <c r="H97" s="145">
        <f>+H95+H96</f>
        <v>48500</v>
      </c>
      <c r="I97" s="875"/>
      <c r="J97" s="143"/>
      <c r="K97" s="375"/>
      <c r="L97" s="145">
        <f>+L95+L96</f>
        <v>1821380</v>
      </c>
      <c r="M97" s="865"/>
      <c r="O97" s="375"/>
      <c r="P97" s="145">
        <f>+P95+P96</f>
        <v>48500</v>
      </c>
      <c r="Q97" s="865"/>
      <c r="R97" s="139"/>
      <c r="S97" s="141"/>
      <c r="T97" s="145">
        <f>+T95+T96</f>
        <v>48500</v>
      </c>
      <c r="W97" s="141"/>
      <c r="X97" s="145">
        <f>+X95+X96</f>
        <v>49824</v>
      </c>
      <c r="AA97" s="141"/>
      <c r="AB97" s="145">
        <f>+AB95+AB96</f>
        <v>51184</v>
      </c>
    </row>
    <row r="98" spans="1:28" ht="15" customHeight="1" x14ac:dyDescent="0.25">
      <c r="A98" s="152"/>
      <c r="B98" s="945"/>
      <c r="C98" s="945"/>
      <c r="D98" s="5">
        <f>+D85-D97</f>
        <v>0</v>
      </c>
      <c r="E98" s="863"/>
      <c r="F98" s="2"/>
      <c r="G98" s="376"/>
      <c r="H98" s="5">
        <f>+H85-H97</f>
        <v>0</v>
      </c>
      <c r="K98" s="376"/>
      <c r="L98" s="5">
        <f>+L85-L97</f>
        <v>0</v>
      </c>
      <c r="O98" s="376"/>
      <c r="P98" s="5">
        <f>+P85-P97</f>
        <v>0</v>
      </c>
      <c r="S98" s="103"/>
      <c r="T98" s="5">
        <f>+T85-T97</f>
        <v>0</v>
      </c>
      <c r="W98" s="103"/>
      <c r="X98" s="5">
        <f>+X85-X97</f>
        <v>0</v>
      </c>
      <c r="AA98" s="103"/>
      <c r="AB98" s="5">
        <f>+AB85-AB97</f>
        <v>0</v>
      </c>
    </row>
    <row r="99" spans="1:28" x14ac:dyDescent="0.25">
      <c r="A99" s="152"/>
      <c r="B99" s="945"/>
      <c r="C99" s="945"/>
      <c r="D99" s="36"/>
      <c r="E99" s="863"/>
      <c r="F99" s="2"/>
    </row>
    <row r="100" spans="1:28" x14ac:dyDescent="0.25">
      <c r="A100" s="152"/>
      <c r="B100" s="932"/>
      <c r="C100" s="868"/>
      <c r="D100" s="25"/>
      <c r="E100" s="863"/>
      <c r="F100" s="2"/>
    </row>
    <row r="101" spans="1:28" x14ac:dyDescent="0.25">
      <c r="B101" s="932"/>
      <c r="C101" s="868"/>
      <c r="D101" s="36"/>
    </row>
    <row r="102" spans="1:28" x14ac:dyDescent="0.25">
      <c r="B102" s="932"/>
      <c r="C102" s="868"/>
      <c r="D102" s="36"/>
    </row>
    <row r="103" spans="1:28" ht="15" customHeight="1" x14ac:dyDescent="0.25">
      <c r="B103" s="932"/>
      <c r="C103" s="868"/>
      <c r="D103" s="36"/>
    </row>
    <row r="104" spans="1:28" x14ac:dyDescent="0.25">
      <c r="B104" s="932"/>
      <c r="C104" s="868"/>
      <c r="D104" s="36"/>
    </row>
    <row r="105" spans="1:28" x14ac:dyDescent="0.25">
      <c r="B105" s="932"/>
      <c r="C105" s="868"/>
      <c r="D105" s="36"/>
    </row>
    <row r="106" spans="1:28" ht="15" customHeight="1" x14ac:dyDescent="0.25">
      <c r="B106" s="2209"/>
      <c r="C106" s="2209"/>
      <c r="D106" s="36"/>
    </row>
    <row r="107" spans="1:28" x14ac:dyDescent="0.25">
      <c r="B107" s="2209"/>
      <c r="C107" s="2209"/>
      <c r="D107" s="36"/>
    </row>
    <row r="108" spans="1:28" x14ac:dyDescent="0.25">
      <c r="B108" s="932"/>
      <c r="C108" s="868"/>
      <c r="D108" s="6"/>
    </row>
    <row r="109" spans="1:28" x14ac:dyDescent="0.25">
      <c r="B109" s="932"/>
      <c r="C109" s="868"/>
      <c r="D109" s="36"/>
    </row>
    <row r="110" spans="1:28" x14ac:dyDescent="0.25">
      <c r="B110" s="932"/>
      <c r="C110" s="868"/>
      <c r="D110" s="36"/>
    </row>
    <row r="111" spans="1:28" ht="28.5" customHeight="1" x14ac:dyDescent="0.25">
      <c r="B111" s="932"/>
      <c r="C111" s="868"/>
      <c r="D111" s="25"/>
    </row>
    <row r="112" spans="1:28" x14ac:dyDescent="0.25">
      <c r="B112" s="932"/>
      <c r="C112" s="868"/>
      <c r="D112" s="36"/>
    </row>
    <row r="113" spans="2:4" x14ac:dyDescent="0.25">
      <c r="B113" s="932"/>
      <c r="C113" s="868"/>
      <c r="D113" s="36"/>
    </row>
    <row r="114" spans="2:4" x14ac:dyDescent="0.25">
      <c r="B114" s="932"/>
      <c r="C114" s="868"/>
      <c r="D114" s="36"/>
    </row>
    <row r="115" spans="2:4" x14ac:dyDescent="0.25">
      <c r="B115" s="932"/>
      <c r="C115" s="868"/>
      <c r="D115" s="36"/>
    </row>
    <row r="116" spans="2:4" x14ac:dyDescent="0.25">
      <c r="B116" s="932"/>
      <c r="C116" s="868"/>
      <c r="D116" s="36"/>
    </row>
    <row r="117" spans="2:4" x14ac:dyDescent="0.25">
      <c r="B117" s="932"/>
      <c r="C117" s="868"/>
      <c r="D117" s="36"/>
    </row>
    <row r="118" spans="2:4" x14ac:dyDescent="0.25">
      <c r="B118" s="932"/>
      <c r="C118" s="868"/>
      <c r="D118" s="36"/>
    </row>
    <row r="119" spans="2:4" x14ac:dyDescent="0.25">
      <c r="B119" s="932"/>
      <c r="C119" s="868"/>
      <c r="D119" s="36"/>
    </row>
    <row r="120" spans="2:4" x14ac:dyDescent="0.25">
      <c r="B120" s="932"/>
      <c r="C120" s="868"/>
      <c r="D120" s="36"/>
    </row>
    <row r="121" spans="2:4" x14ac:dyDescent="0.25">
      <c r="B121" s="932"/>
      <c r="C121" s="868"/>
      <c r="D121" s="36"/>
    </row>
    <row r="122" spans="2:4" x14ac:dyDescent="0.25">
      <c r="B122" s="932"/>
      <c r="C122" s="868"/>
      <c r="D122" s="36"/>
    </row>
    <row r="123" spans="2:4" x14ac:dyDescent="0.25">
      <c r="B123" s="932"/>
      <c r="C123" s="868"/>
      <c r="D123" s="36"/>
    </row>
    <row r="124" spans="2:4" x14ac:dyDescent="0.25">
      <c r="B124" s="932"/>
      <c r="C124" s="868"/>
      <c r="D124" s="36"/>
    </row>
    <row r="125" spans="2:4" x14ac:dyDescent="0.25">
      <c r="B125" s="932"/>
      <c r="C125" s="868"/>
      <c r="D125" s="36"/>
    </row>
    <row r="126" spans="2:4" x14ac:dyDescent="0.25">
      <c r="B126" s="932"/>
      <c r="C126" s="868"/>
      <c r="D126" s="36"/>
    </row>
  </sheetData>
  <sheetProtection password="B79F" sheet="1" objects="1" scenarios="1"/>
  <mergeCells count="1">
    <mergeCell ref="B106:C107"/>
  </mergeCells>
  <pageMargins left="0.25" right="0.25" top="0.5" bottom="0.5" header="0.25" footer="0.25"/>
  <pageSetup paperSize="5" scale="71" orientation="portrait" r:id="rId1"/>
  <headerFooter>
    <oddHeader>&amp;L&amp;F</oddHeader>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131"/>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1.7109375" style="146" customWidth="1"/>
    <col min="2" max="2" width="8.5703125" style="930" customWidth="1"/>
    <col min="3" max="3" width="24.85546875" style="857" customWidth="1"/>
    <col min="4" max="4" width="16" style="2" customWidth="1"/>
    <col min="5" max="5" width="17.7109375" style="857" hidden="1" customWidth="1"/>
    <col min="6" max="6" width="6" style="39" customWidth="1"/>
    <col min="7" max="7" width="10.7109375" style="52" customWidth="1"/>
    <col min="8" max="8" width="13.85546875" style="122" bestFit="1" customWidth="1"/>
    <col min="9" max="9" width="26" style="868" hidden="1" customWidth="1"/>
    <col min="10" max="10" width="5.7109375" style="59" customWidth="1"/>
    <col min="11" max="11" width="10.42578125" style="377" bestFit="1" customWidth="1"/>
    <col min="12" max="12" width="14" style="123" bestFit="1" customWidth="1"/>
    <col min="13" max="13" width="26" style="857" hidden="1" customWidth="1"/>
    <col min="14" max="14" width="5.7109375" style="39" customWidth="1"/>
    <col min="15" max="15" width="9.42578125" style="377" bestFit="1" customWidth="1"/>
    <col min="16" max="16" width="14" style="2" bestFit="1" customWidth="1"/>
    <col min="17" max="17" width="24.85546875" style="857"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930" t="s">
        <v>61</v>
      </c>
      <c r="C1" s="931" t="s">
        <v>714</v>
      </c>
      <c r="D1" s="97">
        <v>0</v>
      </c>
      <c r="E1" s="855"/>
      <c r="F1" s="98"/>
      <c r="G1" s="369"/>
      <c r="H1" s="99">
        <v>0</v>
      </c>
      <c r="I1" s="855"/>
      <c r="L1" s="122">
        <v>0</v>
      </c>
      <c r="M1" s="855"/>
      <c r="P1" s="122">
        <v>0</v>
      </c>
      <c r="Q1" s="855"/>
      <c r="T1" s="86">
        <v>0</v>
      </c>
      <c r="U1" s="98"/>
      <c r="X1" s="86">
        <v>0</v>
      </c>
      <c r="Y1" s="98"/>
      <c r="AB1" s="86">
        <v>0</v>
      </c>
      <c r="AC1" s="98"/>
    </row>
    <row r="2" spans="1:29" ht="17.25" x14ac:dyDescent="0.4">
      <c r="B2" s="932" t="s">
        <v>59</v>
      </c>
      <c r="C2" s="1031" t="s">
        <v>886</v>
      </c>
      <c r="D2" s="99">
        <v>0</v>
      </c>
      <c r="E2" s="855"/>
      <c r="F2" s="98"/>
      <c r="G2" s="370"/>
      <c r="H2" s="99">
        <v>0</v>
      </c>
      <c r="I2" s="855"/>
      <c r="L2" s="87">
        <v>0</v>
      </c>
      <c r="M2" s="855"/>
      <c r="P2" s="87">
        <v>0</v>
      </c>
      <c r="Q2" s="855"/>
      <c r="T2" s="87">
        <v>0</v>
      </c>
      <c r="U2" s="98"/>
      <c r="X2" s="87">
        <v>0</v>
      </c>
      <c r="Y2" s="98"/>
      <c r="AB2" s="87">
        <v>0</v>
      </c>
      <c r="AC2" s="98"/>
    </row>
    <row r="3" spans="1:29" x14ac:dyDescent="0.25">
      <c r="D3" s="323">
        <f>+SUM(D1:D2)</f>
        <v>0</v>
      </c>
      <c r="E3" s="856"/>
      <c r="F3" s="100"/>
      <c r="G3" s="83"/>
      <c r="H3" s="323">
        <f>+SUM(H1:H2)</f>
        <v>0</v>
      </c>
      <c r="I3" s="867"/>
      <c r="L3" s="122">
        <f>SUM(L1:L2)</f>
        <v>0</v>
      </c>
      <c r="M3" s="868"/>
      <c r="P3" s="122">
        <f>SUM(P1:P2)</f>
        <v>0</v>
      </c>
      <c r="Q3" s="868"/>
      <c r="T3" s="86">
        <f>SUM(T1:T2)</f>
        <v>0</v>
      </c>
      <c r="U3" s="51"/>
      <c r="X3" s="86">
        <f>SUM(X1:X2)</f>
        <v>0</v>
      </c>
      <c r="Y3" s="51"/>
      <c r="AB3" s="86">
        <f>SUM(AB1:AB2)</f>
        <v>0</v>
      </c>
      <c r="AC3" s="51"/>
    </row>
    <row r="4" spans="1:29" x14ac:dyDescent="0.25">
      <c r="L4" s="122"/>
      <c r="M4" s="868"/>
      <c r="P4" s="122"/>
      <c r="Q4" s="868"/>
      <c r="T4" s="86"/>
      <c r="U4" s="51"/>
      <c r="X4" s="86"/>
      <c r="Y4" s="51"/>
      <c r="AB4" s="86"/>
      <c r="AC4" s="51"/>
    </row>
    <row r="5" spans="1:29" ht="15.75" x14ac:dyDescent="0.25">
      <c r="B5" s="934" t="s">
        <v>56</v>
      </c>
      <c r="P5" s="123"/>
      <c r="T5" s="73"/>
      <c r="X5" s="73"/>
      <c r="AB5" s="73"/>
    </row>
    <row r="6" spans="1:29" s="89" customFormat="1" ht="15.75" x14ac:dyDescent="0.25">
      <c r="A6" s="147"/>
      <c r="B6" s="935"/>
      <c r="C6" s="935"/>
      <c r="D6" s="284" t="s">
        <v>55</v>
      </c>
      <c r="E6" s="858"/>
      <c r="G6" s="371"/>
      <c r="H6" s="324" t="str">
        <f>LEFT(D6,4)+1&amp;"-"&amp;RIGHT(D6,4)+1</f>
        <v>2017-2018</v>
      </c>
      <c r="I6" s="869"/>
      <c r="J6" s="93"/>
      <c r="K6" s="378"/>
      <c r="L6" s="124" t="str">
        <f>LEFT(H6,4)+1&amp;"-"&amp;RIGHT(H6,4)+1</f>
        <v>2018-2019</v>
      </c>
      <c r="M6" s="946"/>
      <c r="N6" s="96"/>
      <c r="O6" s="381"/>
      <c r="P6" s="124" t="str">
        <f>LEFT(L6,4)+1&amp;"-"&amp;RIGHT(L6,4)+1</f>
        <v>2019-2020</v>
      </c>
      <c r="Q6" s="94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936" t="s">
        <v>54</v>
      </c>
      <c r="D7" s="2">
        <v>12360.74</v>
      </c>
      <c r="E7" s="928"/>
      <c r="H7" s="2">
        <f>D94</f>
        <v>0</v>
      </c>
      <c r="I7" s="928"/>
      <c r="J7" s="60"/>
      <c r="L7" s="2">
        <f>H94</f>
        <v>-360</v>
      </c>
      <c r="M7" s="928"/>
      <c r="P7" s="2">
        <f>L94</f>
        <v>7034</v>
      </c>
      <c r="Q7" s="928"/>
      <c r="T7" s="2">
        <f>P94</f>
        <v>14364</v>
      </c>
      <c r="U7" s="105"/>
      <c r="X7" s="2">
        <f>T94</f>
        <v>4143</v>
      </c>
      <c r="Y7" s="105"/>
      <c r="AB7" s="2">
        <f>X94</f>
        <v>-6331</v>
      </c>
      <c r="AC7" s="105"/>
    </row>
    <row r="8" spans="1:29" x14ac:dyDescent="0.25">
      <c r="E8" s="928"/>
      <c r="H8" s="2"/>
      <c r="I8" s="928"/>
      <c r="L8" s="2"/>
      <c r="M8" s="928"/>
      <c r="Q8" s="928"/>
      <c r="U8" s="105"/>
      <c r="Y8" s="105"/>
      <c r="AC8" s="105"/>
    </row>
    <row r="9" spans="1:29" x14ac:dyDescent="0.25">
      <c r="B9" s="930" t="s">
        <v>52</v>
      </c>
      <c r="C9" s="857" t="s">
        <v>408</v>
      </c>
      <c r="D9" s="2">
        <v>15570.08</v>
      </c>
      <c r="E9" s="928" t="s">
        <v>473</v>
      </c>
      <c r="G9" s="83">
        <f>IF(D9=0,"0.00%",(H9-D9)/D9)</f>
        <v>0.10911440403645968</v>
      </c>
      <c r="H9" s="3">
        <v>17269</v>
      </c>
      <c r="I9" s="928"/>
      <c r="J9" s="61"/>
      <c r="K9" s="83">
        <f>IF(H9=0,"0.00%",(L9-H9)/H9)</f>
        <v>0</v>
      </c>
      <c r="L9" s="3">
        <f>+H9</f>
        <v>17269</v>
      </c>
      <c r="M9" s="928" t="s">
        <v>174</v>
      </c>
      <c r="O9" s="83">
        <f>IF(L9=0,"0.00%",(P9-L9)/L9)</f>
        <v>0</v>
      </c>
      <c r="P9" s="3">
        <f>+L9</f>
        <v>17269</v>
      </c>
      <c r="Q9" s="928" t="s">
        <v>174</v>
      </c>
      <c r="S9" s="83">
        <f>IF(P9=0,"0.00%",(T9-P9)/P9)</f>
        <v>-1</v>
      </c>
      <c r="T9" s="3">
        <f>T3</f>
        <v>0</v>
      </c>
      <c r="U9" s="105"/>
      <c r="W9" s="83" t="str">
        <f>IF(T9=0,"0.00%",(X9-T9)/T9)</f>
        <v>0.00%</v>
      </c>
      <c r="X9" s="3">
        <f>X3</f>
        <v>0</v>
      </c>
      <c r="Y9" s="105"/>
      <c r="AA9" s="83" t="str">
        <f>IF(X9=0,"0.00%",(AB9-X9)/X9)</f>
        <v>0.00%</v>
      </c>
      <c r="AB9" s="3">
        <f>AB3</f>
        <v>0</v>
      </c>
      <c r="AC9" s="105"/>
    </row>
    <row r="10" spans="1:29" x14ac:dyDescent="0.25">
      <c r="D10" s="2">
        <v>0</v>
      </c>
      <c r="E10" s="928"/>
      <c r="G10" s="83" t="str">
        <f t="shared" ref="G10:G15" si="0">IF(D10=0,"0.00%",(H10-D10)/D10)</f>
        <v>0.00%</v>
      </c>
      <c r="H10" s="3">
        <v>0</v>
      </c>
      <c r="I10" s="928"/>
      <c r="J10" s="61"/>
      <c r="K10" s="83" t="str">
        <f>IF(H10=0,"0.00%",(L10-H10)/H10)</f>
        <v>0.00%</v>
      </c>
      <c r="L10" s="3">
        <f>-H2</f>
        <v>0</v>
      </c>
      <c r="M10" s="928"/>
      <c r="O10" s="83" t="str">
        <f>IF(L10=0,"0.00%",(P10-L10)/L10)</f>
        <v>0.00%</v>
      </c>
      <c r="P10" s="3">
        <f>-L2</f>
        <v>0</v>
      </c>
      <c r="Q10" s="928"/>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936" t="s">
        <v>137</v>
      </c>
      <c r="D11" s="8">
        <f>SUM(D9:D10)</f>
        <v>15570.08</v>
      </c>
      <c r="E11" s="928"/>
      <c r="G11" s="83">
        <f t="shared" si="0"/>
        <v>0.10911440403645968</v>
      </c>
      <c r="H11" s="8">
        <f>SUM(H9:H10)</f>
        <v>17269</v>
      </c>
      <c r="I11" s="1292">
        <f>+H11-D11</f>
        <v>1698.92</v>
      </c>
      <c r="J11" s="62"/>
      <c r="K11" s="83">
        <f>IF(H11=0,"0.00%",(L11-H11)/H11)</f>
        <v>0</v>
      </c>
      <c r="L11" s="8">
        <f>SUM(L9:L10)</f>
        <v>17269</v>
      </c>
      <c r="M11" s="1292">
        <f>+L11-H11</f>
        <v>0</v>
      </c>
      <c r="O11" s="83">
        <f>IF(L11=0,"0.00%",(P11-L11)/L11)</f>
        <v>0</v>
      </c>
      <c r="P11" s="8">
        <f>SUM(P9:P10)</f>
        <v>17269</v>
      </c>
      <c r="Q11" s="1292">
        <f>+P11-L11</f>
        <v>0</v>
      </c>
      <c r="S11" s="83">
        <f>IF(P11=0,"0.00%",(T11-P11)/P11)</f>
        <v>-1</v>
      </c>
      <c r="T11" s="78">
        <f>SUM(T9:T10)</f>
        <v>0</v>
      </c>
      <c r="U11" s="105"/>
      <c r="W11" s="83" t="str">
        <f>IF(T11=0,"0.00%",(X11-T11)/T11)</f>
        <v>0.00%</v>
      </c>
      <c r="X11" s="78">
        <f>SUM(X9:X10)</f>
        <v>0</v>
      </c>
      <c r="Y11" s="105"/>
      <c r="AA11" s="83" t="str">
        <f>IF(X11=0,"0.00%",(AB11-X11)/X11)</f>
        <v>0.00%</v>
      </c>
      <c r="AB11" s="78">
        <f>SUM(AB9:AB10)</f>
        <v>0</v>
      </c>
      <c r="AC11" s="105"/>
    </row>
    <row r="12" spans="1:29" x14ac:dyDescent="0.25">
      <c r="E12" s="928"/>
      <c r="H12" s="3"/>
      <c r="I12" s="928"/>
      <c r="J12" s="63"/>
      <c r="K12" s="52"/>
      <c r="L12" s="3"/>
      <c r="M12" s="928"/>
      <c r="O12" s="52"/>
      <c r="P12" s="3"/>
      <c r="Q12" s="928"/>
      <c r="S12" s="46"/>
      <c r="T12" s="44"/>
      <c r="U12" s="105"/>
      <c r="W12" s="46"/>
      <c r="X12" s="44"/>
      <c r="Y12" s="105"/>
      <c r="AA12" s="46"/>
      <c r="AB12" s="44"/>
      <c r="AC12" s="105"/>
    </row>
    <row r="13" spans="1:29" x14ac:dyDescent="0.25">
      <c r="B13" s="937"/>
      <c r="C13" s="938" t="s">
        <v>64</v>
      </c>
      <c r="D13" s="9">
        <f>ROUND(D11-(D11/(1+B13)),0)</f>
        <v>0</v>
      </c>
      <c r="E13" s="928"/>
      <c r="G13" s="83" t="str">
        <f t="shared" si="0"/>
        <v>0.00%</v>
      </c>
      <c r="H13" s="9">
        <f>ROUND(H11-(H11/(1+B13)),0)</f>
        <v>0</v>
      </c>
      <c r="I13" s="928"/>
      <c r="J13" s="64"/>
      <c r="K13" s="83" t="str">
        <f>IF(H13=0,"0.00%",(L13-H13)/H13)</f>
        <v>0.00%</v>
      </c>
      <c r="L13" s="9">
        <f>ROUND(L11-(L11/(1+B13)),0)</f>
        <v>0</v>
      </c>
      <c r="M13" s="928"/>
      <c r="O13" s="83" t="str">
        <f>IF(L13=0,"0.00%",(P13-L13)/L13)</f>
        <v>0.00%</v>
      </c>
      <c r="P13" s="9">
        <f>ROUND(P11-(P11/(1+B13)),0)</f>
        <v>0</v>
      </c>
      <c r="Q13" s="928"/>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928"/>
      <c r="H14" s="3"/>
      <c r="I14" s="928"/>
      <c r="J14" s="63"/>
      <c r="K14" s="52"/>
      <c r="L14" s="3"/>
      <c r="M14" s="928"/>
      <c r="O14" s="52"/>
      <c r="P14" s="3"/>
      <c r="Q14" s="928"/>
      <c r="S14" s="46"/>
      <c r="T14" s="44"/>
      <c r="U14" s="105"/>
      <c r="W14" s="46"/>
      <c r="X14" s="44"/>
      <c r="Y14" s="105"/>
      <c r="AA14" s="46"/>
      <c r="AB14" s="44"/>
      <c r="AC14" s="105"/>
    </row>
    <row r="15" spans="1:29" x14ac:dyDescent="0.25">
      <c r="B15" s="936" t="s">
        <v>50</v>
      </c>
      <c r="D15" s="10">
        <f>D11-D13+D7</f>
        <v>27930.82</v>
      </c>
      <c r="E15" s="928"/>
      <c r="G15" s="83">
        <f t="shared" si="0"/>
        <v>-0.38172241273260149</v>
      </c>
      <c r="H15" s="10">
        <f>H11-H13+H7</f>
        <v>17269</v>
      </c>
      <c r="I15" s="1292">
        <f>+H15-D15</f>
        <v>-10661.82</v>
      </c>
      <c r="J15" s="62"/>
      <c r="K15" s="83">
        <f>IF(H15=0,"0.00%",(L15-H15)/H15)</f>
        <v>-2.0846603740807226E-2</v>
      </c>
      <c r="L15" s="10">
        <f>L11-L13+L7</f>
        <v>16909</v>
      </c>
      <c r="M15" s="1292">
        <f>+L15-H15</f>
        <v>-360</v>
      </c>
      <c r="O15" s="83">
        <f>IF(L15=0,"0.00%",(P15-L15)/L15)</f>
        <v>0.4372819208705423</v>
      </c>
      <c r="P15" s="10">
        <f>P11-P13+P7</f>
        <v>24303</v>
      </c>
      <c r="Q15" s="1292">
        <f>+P15-L15</f>
        <v>7394</v>
      </c>
      <c r="S15" s="83">
        <f>IF(P15=0,"0.00%",(T15-P15)/P15)</f>
        <v>-1</v>
      </c>
      <c r="T15" s="19">
        <f>T11-T13</f>
        <v>0</v>
      </c>
      <c r="U15" s="105"/>
      <c r="W15" s="83" t="str">
        <f>IF(T15=0,"0.00%",(X15-T15)/T15)</f>
        <v>0.00%</v>
      </c>
      <c r="X15" s="19">
        <f>X11-X13</f>
        <v>0</v>
      </c>
      <c r="Y15" s="105"/>
      <c r="AA15" s="83" t="str">
        <f>IF(X15=0,"0.00%",(AB15-X15)/X15)</f>
        <v>0.00%</v>
      </c>
      <c r="AB15" s="19">
        <f>AB11-AB13</f>
        <v>0</v>
      </c>
      <c r="AC15" s="105"/>
    </row>
    <row r="16" spans="1:29" x14ac:dyDescent="0.25">
      <c r="E16" s="928"/>
      <c r="H16" s="3"/>
      <c r="I16" s="928"/>
      <c r="J16" s="62"/>
      <c r="L16" s="3"/>
      <c r="M16" s="928"/>
      <c r="P16" s="3"/>
      <c r="Q16" s="928"/>
      <c r="T16" s="49"/>
      <c r="U16" s="105"/>
      <c r="X16" s="49"/>
      <c r="Y16" s="105"/>
      <c r="AB16" s="49"/>
      <c r="AC16" s="105"/>
    </row>
    <row r="17" spans="1:29" x14ac:dyDescent="0.25">
      <c r="C17" s="930"/>
      <c r="E17" s="928"/>
      <c r="H17" s="3"/>
      <c r="I17" s="928"/>
      <c r="J17" s="63"/>
      <c r="L17" s="3"/>
      <c r="M17" s="928"/>
      <c r="P17" s="3"/>
      <c r="Q17" s="928"/>
      <c r="T17" s="44"/>
      <c r="U17" s="105"/>
      <c r="X17" s="44"/>
      <c r="Y17" s="105"/>
      <c r="AB17" s="44"/>
      <c r="AC17" s="105"/>
    </row>
    <row r="18" spans="1:29" x14ac:dyDescent="0.25">
      <c r="A18" s="148"/>
      <c r="D18" s="29" t="s">
        <v>826</v>
      </c>
      <c r="E18" s="929"/>
      <c r="F18" s="32"/>
      <c r="H18" s="29" t="s">
        <v>177</v>
      </c>
      <c r="I18" s="929"/>
      <c r="J18" s="65"/>
      <c r="M18" s="929"/>
      <c r="Q18" s="929"/>
      <c r="U18" s="106"/>
      <c r="Y18" s="106"/>
      <c r="AC18" s="106"/>
    </row>
    <row r="19" spans="1:29" ht="17.25" x14ac:dyDescent="0.4">
      <c r="A19" s="149"/>
      <c r="D19" s="35" t="s">
        <v>827</v>
      </c>
      <c r="E19" s="860"/>
      <c r="F19" s="34"/>
      <c r="H19" s="35" t="s">
        <v>48</v>
      </c>
      <c r="I19" s="870"/>
      <c r="J19" s="29"/>
      <c r="L19" s="14" t="s">
        <v>48</v>
      </c>
      <c r="M19" s="870"/>
      <c r="P19" s="14" t="s">
        <v>48</v>
      </c>
      <c r="Q19" s="870"/>
      <c r="T19" s="14" t="s">
        <v>48</v>
      </c>
      <c r="U19" s="104">
        <v>0.02</v>
      </c>
      <c r="X19" s="14" t="s">
        <v>48</v>
      </c>
      <c r="Y19" s="104">
        <v>0.02</v>
      </c>
      <c r="AB19" s="14" t="s">
        <v>48</v>
      </c>
      <c r="AC19" s="104">
        <v>0.02</v>
      </c>
    </row>
    <row r="20" spans="1:29" s="13" customFormat="1" x14ac:dyDescent="0.25">
      <c r="A20" s="150"/>
      <c r="B20" s="936" t="s">
        <v>46</v>
      </c>
      <c r="C20" s="938"/>
      <c r="D20" s="10"/>
      <c r="E20" s="861"/>
      <c r="F20" s="10"/>
      <c r="G20" s="372"/>
      <c r="H20" s="10"/>
      <c r="I20" s="864"/>
      <c r="J20" s="57"/>
      <c r="K20" s="379"/>
      <c r="L20" s="10"/>
      <c r="M20" s="947"/>
      <c r="O20" s="379"/>
      <c r="P20" s="10"/>
      <c r="Q20" s="947"/>
      <c r="R20" s="111"/>
      <c r="T20" s="10"/>
      <c r="U20" s="74"/>
      <c r="X20" s="10"/>
      <c r="Y20" s="74"/>
      <c r="AB20" s="10"/>
      <c r="AC20" s="74"/>
    </row>
    <row r="21" spans="1:29" x14ac:dyDescent="0.25">
      <c r="A21" s="151"/>
      <c r="B21" s="939">
        <v>1181</v>
      </c>
      <c r="C21" s="857" t="s">
        <v>443</v>
      </c>
      <c r="D21" s="2">
        <v>2660</v>
      </c>
      <c r="E21" s="863"/>
      <c r="F21" s="2"/>
      <c r="G21" s="83">
        <f t="shared" ref="G21:G32" si="1">IF(D21=0,"0.00%",(H21-D21)/D21)</f>
        <v>9.0225563909774431E-2</v>
      </c>
      <c r="H21" s="2">
        <v>2900</v>
      </c>
      <c r="I21" s="854"/>
      <c r="J21" s="66"/>
      <c r="K21" s="83">
        <f t="shared" ref="K21:K27" si="2">IF(H21=0,"0.00%",(L21-H21)/H21)</f>
        <v>0</v>
      </c>
      <c r="L21" s="2">
        <f>+H21</f>
        <v>2900</v>
      </c>
      <c r="M21" s="871" t="s">
        <v>174</v>
      </c>
      <c r="O21" s="83">
        <f t="shared" ref="O21:O27" si="3">IF(L21=0,"0.00%",(P21-L21)/L21)</f>
        <v>0</v>
      </c>
      <c r="P21" s="2">
        <f>+L21</f>
        <v>2900</v>
      </c>
      <c r="Q21" s="871" t="s">
        <v>174</v>
      </c>
      <c r="S21" s="83">
        <f t="shared" ref="S21:S27" si="4">IF(P21=0,"0.00%",(T21-P21)/P21)</f>
        <v>0.02</v>
      </c>
      <c r="T21" s="2">
        <f>ROUND(P21*(1+U19),0)</f>
        <v>2958</v>
      </c>
      <c r="U21" s="36" t="str">
        <f>TEXT(U19,"0.0%")&amp;" = Est. S &amp; C"</f>
        <v>2.0% = Est. S &amp; C</v>
      </c>
      <c r="W21" s="83">
        <f t="shared" ref="W21:W27" si="5">IF(T21=0,"0.00%",(X21-T21)/T21)</f>
        <v>1.9945909398242055E-2</v>
      </c>
      <c r="X21" s="2">
        <f>ROUND(T21*(1+Y19),0)</f>
        <v>3017</v>
      </c>
      <c r="Y21" s="36" t="str">
        <f>TEXT(Y19,"0.0%")&amp;" = Est. S &amp; C"</f>
        <v>2.0% = Est. S &amp; C</v>
      </c>
      <c r="AA21" s="83">
        <f t="shared" ref="AA21:AA27" si="6">IF(X21=0,"0.00%",(AB21-X21)/X21)</f>
        <v>1.9887305270135897E-2</v>
      </c>
      <c r="AB21" s="2">
        <f>ROUND(X21*(1+AC19),0)</f>
        <v>3077</v>
      </c>
      <c r="AC21" s="36" t="str">
        <f>TEXT(AC19,"0.0%")&amp;" = Est. S &amp; C"</f>
        <v>2.0% = Est. S &amp; C</v>
      </c>
    </row>
    <row r="22" spans="1:29" hidden="1" x14ac:dyDescent="0.25">
      <c r="A22" s="152"/>
      <c r="B22" s="939"/>
      <c r="E22" s="863"/>
      <c r="F22" s="2"/>
      <c r="G22" s="83" t="str">
        <f t="shared" si="1"/>
        <v>0.00%</v>
      </c>
      <c r="H22" s="2">
        <f t="shared" ref="H22:H30" si="7">ROUND(D22*(1+$I$19),0)</f>
        <v>0</v>
      </c>
      <c r="I22" s="871" t="str">
        <f t="shared" ref="I22:I30" si="8">TEXT($I$19,"0.0%")&amp;" = Est. S &amp; C"</f>
        <v>0.0% = Est. S &amp; C</v>
      </c>
      <c r="J22" s="66"/>
      <c r="K22" s="83" t="str">
        <f t="shared" si="2"/>
        <v>0.00%</v>
      </c>
      <c r="L22" s="2">
        <f>ROUND(H22*(1+M19),0)</f>
        <v>0</v>
      </c>
      <c r="M22" s="871" t="str">
        <f>TEXT(M19,"0.0%")&amp;" = Est. S &amp; C"</f>
        <v>0.0% = Est. S &amp; C</v>
      </c>
      <c r="O22" s="83" t="str">
        <f t="shared" si="3"/>
        <v>0.00%</v>
      </c>
      <c r="P22" s="2">
        <f>ROUND(L22*(1+Q19),0)</f>
        <v>0</v>
      </c>
      <c r="Q22" s="871" t="str">
        <f>TEXT(Q19,"0.0%")&amp;" = Est. S &amp; C"</f>
        <v>0.0% = Est. S &amp; C</v>
      </c>
      <c r="S22" s="83" t="str">
        <f t="shared" si="4"/>
        <v>0.00%</v>
      </c>
      <c r="T22" s="2">
        <f>ROUND(P22*(1+U19),0)</f>
        <v>0</v>
      </c>
      <c r="U22" s="36" t="str">
        <f>TEXT(U19,"0.0%")&amp;" = Est. S &amp; C"</f>
        <v>2.0% = Est. S &amp; C</v>
      </c>
      <c r="W22" s="83" t="str">
        <f t="shared" si="5"/>
        <v>0.00%</v>
      </c>
      <c r="X22" s="2">
        <f>ROUND(T22*(1+Y19),0)</f>
        <v>0</v>
      </c>
      <c r="Y22" s="36" t="str">
        <f>TEXT(Y19,"0.0%")&amp;" = Est. S &amp; C"</f>
        <v>2.0% = Est. S &amp; C</v>
      </c>
      <c r="AA22" s="83" t="str">
        <f t="shared" si="6"/>
        <v>0.00%</v>
      </c>
      <c r="AB22" s="2">
        <f>ROUND(X22*(1+AC19),0)</f>
        <v>0</v>
      </c>
      <c r="AC22" s="36" t="str">
        <f>TEXT(AC19,"0.0%")&amp;" = Est. S &amp; C"</f>
        <v>2.0% = Est. S &amp; C</v>
      </c>
    </row>
    <row r="23" spans="1:29" hidden="1" x14ac:dyDescent="0.25">
      <c r="A23" s="152"/>
      <c r="B23" s="939"/>
      <c r="E23" s="863"/>
      <c r="F23" s="2"/>
      <c r="G23" s="83" t="str">
        <f t="shared" si="1"/>
        <v>0.00%</v>
      </c>
      <c r="H23" s="2">
        <f t="shared" si="7"/>
        <v>0</v>
      </c>
      <c r="I23" s="871" t="str">
        <f t="shared" si="8"/>
        <v>0.0% = Est. S &amp; C</v>
      </c>
      <c r="J23" s="66"/>
      <c r="K23" s="83" t="str">
        <f t="shared" si="2"/>
        <v>0.00%</v>
      </c>
      <c r="L23" s="2">
        <f>ROUND(H23*(1+M19),0)</f>
        <v>0</v>
      </c>
      <c r="M23" s="871" t="str">
        <f>TEXT(M19,"0.0%")&amp;" = Est. S &amp; C"</f>
        <v>0.0% = Est. S &amp; C</v>
      </c>
      <c r="O23" s="83" t="str">
        <f t="shared" si="3"/>
        <v>0.00%</v>
      </c>
      <c r="P23" s="2">
        <f>ROUND(L23*(1+Q19),0)</f>
        <v>0</v>
      </c>
      <c r="Q23" s="871" t="str">
        <f>TEXT(Q19,"0.0%")&amp;" = Est. S &amp; C"</f>
        <v>0.0% = Est. S &amp; C</v>
      </c>
      <c r="S23" s="83" t="str">
        <f t="shared" si="4"/>
        <v>0.00%</v>
      </c>
      <c r="T23" s="2">
        <f>ROUND(P23*(1+U19),0)</f>
        <v>0</v>
      </c>
      <c r="U23" s="36" t="str">
        <f>TEXT(U19,"0.0%")&amp;" = Est. S &amp; C"</f>
        <v>2.0% = Est. S &amp; C</v>
      </c>
      <c r="W23" s="83" t="str">
        <f t="shared" si="5"/>
        <v>0.00%</v>
      </c>
      <c r="X23" s="2">
        <f>ROUND(T23*(1+Y19),0)</f>
        <v>0</v>
      </c>
      <c r="Y23" s="36" t="str">
        <f>TEXT(Y19,"0.0%")&amp;" = Est. S &amp; C"</f>
        <v>2.0% = Est. S &amp; C</v>
      </c>
      <c r="AA23" s="83" t="str">
        <f t="shared" si="6"/>
        <v>0.00%</v>
      </c>
      <c r="AB23" s="2">
        <f>ROUND(X23*(1+AC19),0)</f>
        <v>0</v>
      </c>
      <c r="AC23" s="36" t="str">
        <f>TEXT(AC19,"0.0%")&amp;" = Est. S &amp; C"</f>
        <v>2.0% = Est. S &amp; C</v>
      </c>
    </row>
    <row r="24" spans="1:29" hidden="1" x14ac:dyDescent="0.25">
      <c r="A24" s="152"/>
      <c r="B24" s="939"/>
      <c r="E24" s="863"/>
      <c r="F24" s="2"/>
      <c r="G24" s="83" t="str">
        <f t="shared" si="1"/>
        <v>0.00%</v>
      </c>
      <c r="H24" s="2">
        <f t="shared" si="7"/>
        <v>0</v>
      </c>
      <c r="I24" s="871" t="str">
        <f t="shared" si="8"/>
        <v>0.0% = Est. S &amp; C</v>
      </c>
      <c r="J24" s="66"/>
      <c r="K24" s="83" t="str">
        <f t="shared" si="2"/>
        <v>0.00%</v>
      </c>
      <c r="L24" s="2">
        <f>ROUND(H24*(1+M19),0)</f>
        <v>0</v>
      </c>
      <c r="M24" s="871" t="str">
        <f>TEXT(M19,"0.0%")&amp;" = Est. S &amp; C"</f>
        <v>0.0% = Est. S &amp; C</v>
      </c>
      <c r="O24" s="83" t="str">
        <f t="shared" si="3"/>
        <v>0.00%</v>
      </c>
      <c r="P24" s="2">
        <f>ROUND(L24*(1+Q19),0)</f>
        <v>0</v>
      </c>
      <c r="Q24" s="871" t="str">
        <f>TEXT(Q19,"0.0%")&amp;" = Est. S &amp; C"</f>
        <v>0.0% = Est. S &amp; C</v>
      </c>
      <c r="S24" s="83" t="str">
        <f t="shared" si="4"/>
        <v>0.00%</v>
      </c>
      <c r="T24" s="2">
        <f>ROUND(P24*(1+U19),0)</f>
        <v>0</v>
      </c>
      <c r="U24" s="36" t="str">
        <f>TEXT(U19,"0.0%")&amp;" = Est. S &amp; C"</f>
        <v>2.0% = Est. S &amp; C</v>
      </c>
      <c r="W24" s="83" t="str">
        <f t="shared" si="5"/>
        <v>0.00%</v>
      </c>
      <c r="X24" s="2">
        <f>ROUND(T24*(1+Y19),0)</f>
        <v>0</v>
      </c>
      <c r="Y24" s="36" t="str">
        <f>TEXT(Y19,"0.0%")&amp;" = Est. S &amp; C"</f>
        <v>2.0% = Est. S &amp; C</v>
      </c>
      <c r="AA24" s="83" t="str">
        <f t="shared" si="6"/>
        <v>0.00%</v>
      </c>
      <c r="AB24" s="2">
        <f>ROUND(X24*(1+AC19),0)</f>
        <v>0</v>
      </c>
      <c r="AC24" s="36" t="str">
        <f>TEXT(AC19,"0.0%")&amp;" = Est. S &amp; C"</f>
        <v>2.0% = Est. S &amp; C</v>
      </c>
    </row>
    <row r="25" spans="1:29" hidden="1" x14ac:dyDescent="0.25">
      <c r="A25" s="152"/>
      <c r="B25" s="939"/>
      <c r="E25" s="863"/>
      <c r="F25" s="2"/>
      <c r="G25" s="83" t="str">
        <f t="shared" si="1"/>
        <v>0.00%</v>
      </c>
      <c r="H25" s="2">
        <f t="shared" si="7"/>
        <v>0</v>
      </c>
      <c r="I25" s="871" t="str">
        <f t="shared" si="8"/>
        <v>0.0% = Est. S &amp; C</v>
      </c>
      <c r="J25" s="66"/>
      <c r="K25" s="83" t="str">
        <f t="shared" si="2"/>
        <v>0.00%</v>
      </c>
      <c r="L25" s="2">
        <f>ROUND(H25*(1+M19),0)</f>
        <v>0</v>
      </c>
      <c r="M25" s="871" t="str">
        <f>TEXT(M19,"0.0%")&amp;" = Est. S &amp; C"</f>
        <v>0.0% = Est. S &amp; C</v>
      </c>
      <c r="O25" s="83" t="str">
        <f t="shared" si="3"/>
        <v>0.00%</v>
      </c>
      <c r="P25" s="2">
        <f>ROUND(L25*(1+Q19),0)</f>
        <v>0</v>
      </c>
      <c r="Q25" s="871" t="str">
        <f>TEXT(Q19,"0.0%")&amp;" = Est. S &amp; C"</f>
        <v>0.0% = Est. S &amp; C</v>
      </c>
      <c r="S25" s="83" t="str">
        <f t="shared" si="4"/>
        <v>0.00%</v>
      </c>
      <c r="T25" s="2">
        <f>ROUND(P25*(1+U19),0)</f>
        <v>0</v>
      </c>
      <c r="U25" s="36" t="str">
        <f>TEXT(U19,"0.0%")&amp;" = Est. S &amp; C"</f>
        <v>2.0% = Est. S &amp; C</v>
      </c>
      <c r="W25" s="83" t="str">
        <f t="shared" si="5"/>
        <v>0.00%</v>
      </c>
      <c r="X25" s="2">
        <f>ROUND(T25*(1+Y19),0)</f>
        <v>0</v>
      </c>
      <c r="Y25" s="36" t="str">
        <f>TEXT(Y19,"0.0%")&amp;" = Est. S &amp; C"</f>
        <v>2.0% = Est. S &amp; C</v>
      </c>
      <c r="AA25" s="83" t="str">
        <f t="shared" si="6"/>
        <v>0.00%</v>
      </c>
      <c r="AB25" s="2">
        <f>ROUND(X25*(1+AC19),0)</f>
        <v>0</v>
      </c>
      <c r="AC25" s="36" t="str">
        <f>TEXT(AC19,"0.0%")&amp;" = Est. S &amp; C"</f>
        <v>2.0% = Est. S &amp; C</v>
      </c>
    </row>
    <row r="26" spans="1:29" hidden="1" x14ac:dyDescent="0.25">
      <c r="A26" s="152"/>
      <c r="B26" s="939"/>
      <c r="E26" s="863"/>
      <c r="F26" s="2"/>
      <c r="G26" s="83" t="str">
        <f t="shared" si="1"/>
        <v>0.00%</v>
      </c>
      <c r="H26" s="2">
        <f t="shared" si="7"/>
        <v>0</v>
      </c>
      <c r="I26" s="871" t="str">
        <f t="shared" si="8"/>
        <v>0.0% = Est. S &amp; C</v>
      </c>
      <c r="J26" s="66"/>
      <c r="K26" s="83" t="str">
        <f t="shared" si="2"/>
        <v>0.00%</v>
      </c>
      <c r="L26" s="2">
        <f>ROUND(H26*(1+M19),0)</f>
        <v>0</v>
      </c>
      <c r="M26" s="382" t="str">
        <f>TEXT(M19,"0.0%")&amp;" = Est. S &amp; C"</f>
        <v>0.0% = Est. S &amp; C</v>
      </c>
      <c r="O26" s="83" t="str">
        <f t="shared" si="3"/>
        <v>0.00%</v>
      </c>
      <c r="P26" s="2">
        <f>ROUND(L26*(1+Q19),0)</f>
        <v>0</v>
      </c>
      <c r="Q26" s="871" t="str">
        <f>TEXT(Q19,"0.0%")&amp;" = Est. S &amp; C"</f>
        <v>0.0% = Est. S &amp; C</v>
      </c>
      <c r="S26" s="83" t="str">
        <f t="shared" si="4"/>
        <v>0.00%</v>
      </c>
      <c r="T26" s="2">
        <f>ROUND(P26*(1+U19),0)</f>
        <v>0</v>
      </c>
      <c r="U26" s="36" t="str">
        <f>TEXT(U19,"0.0%")&amp;" = Est. S &amp; C"</f>
        <v>2.0% = Est. S &amp; C</v>
      </c>
      <c r="W26" s="83" t="str">
        <f t="shared" si="5"/>
        <v>0.00%</v>
      </c>
      <c r="X26" s="2">
        <f>ROUND(T26*(1+Y19),0)</f>
        <v>0</v>
      </c>
      <c r="Y26" s="36" t="str">
        <f>TEXT(Y19,"0.0%")&amp;" = Est. S &amp; C"</f>
        <v>2.0% = Est. S &amp; C</v>
      </c>
      <c r="AA26" s="83" t="str">
        <f t="shared" si="6"/>
        <v>0.00%</v>
      </c>
      <c r="AB26" s="2">
        <f>ROUND(X26*(1+AC19),0)</f>
        <v>0</v>
      </c>
      <c r="AC26" s="36" t="str">
        <f>TEXT(AC19,"0.0%")&amp;" = Est. S &amp; C"</f>
        <v>2.0% = Est. S &amp; C</v>
      </c>
    </row>
    <row r="27" spans="1:29" hidden="1" x14ac:dyDescent="0.25">
      <c r="A27" s="152"/>
      <c r="B27" s="939"/>
      <c r="E27" s="863"/>
      <c r="F27" s="2"/>
      <c r="G27" s="83" t="str">
        <f t="shared" si="1"/>
        <v>0.00%</v>
      </c>
      <c r="H27" s="2">
        <f t="shared" si="7"/>
        <v>0</v>
      </c>
      <c r="I27" s="871" t="str">
        <f t="shared" si="8"/>
        <v>0.0% = Est. S &amp; C</v>
      </c>
      <c r="J27" s="66"/>
      <c r="K27" s="83" t="str">
        <f t="shared" si="2"/>
        <v>0.00%</v>
      </c>
      <c r="L27" s="2">
        <f>ROUND(H27*(1+$M$19),0)</f>
        <v>0</v>
      </c>
      <c r="M27" s="871" t="str">
        <f>TEXT(M19,"0.0%")&amp;" = Est. S &amp; C"</f>
        <v>0.0% = Est. S &amp; C</v>
      </c>
      <c r="O27" s="83" t="str">
        <f t="shared" si="3"/>
        <v>0.00%</v>
      </c>
      <c r="P27" s="2">
        <f>ROUND(L27*(1+$Q$19),0)</f>
        <v>0</v>
      </c>
      <c r="Q27" s="871" t="str">
        <f>TEXT($Q$19,"0.0%")&amp;" = Est. S &amp; C"</f>
        <v>0.0% = Est. S &amp; C</v>
      </c>
      <c r="S27" s="83" t="str">
        <f t="shared" si="4"/>
        <v>0.00%</v>
      </c>
      <c r="T27" s="2">
        <f>ROUND(P27*(1+U19),0)</f>
        <v>0</v>
      </c>
      <c r="U27" s="36" t="str">
        <f>TEXT(U19,"0.0%")&amp;" = Est. S &amp; C"</f>
        <v>2.0% = Est. S &amp; C</v>
      </c>
      <c r="W27" s="83" t="str">
        <f t="shared" si="5"/>
        <v>0.00%</v>
      </c>
      <c r="X27" s="2">
        <f>ROUND(T27*(1+Y19),0)</f>
        <v>0</v>
      </c>
      <c r="Y27" s="36" t="str">
        <f>TEXT(Y19,"0.0%")&amp;" = Est. S &amp; C"</f>
        <v>2.0% = Est. S &amp; C</v>
      </c>
      <c r="AA27" s="83" t="str">
        <f t="shared" si="6"/>
        <v>0.00%</v>
      </c>
      <c r="AB27" s="2">
        <f>ROUND(X27*(1+AC19),0)</f>
        <v>0</v>
      </c>
      <c r="AC27" s="36" t="str">
        <f>TEXT(AC19,"0.0%")&amp;" = Est. S &amp; C"</f>
        <v>2.0% = Est. S &amp; C</v>
      </c>
    </row>
    <row r="28" spans="1:29" hidden="1" x14ac:dyDescent="0.25">
      <c r="A28" s="152"/>
      <c r="B28" s="939"/>
      <c r="E28" s="863"/>
      <c r="F28" s="2"/>
      <c r="G28" s="83" t="str">
        <f>IF(D28=0,"0.00%",(H28-D28)/D28)</f>
        <v>0.00%</v>
      </c>
      <c r="H28" s="2">
        <f t="shared" si="7"/>
        <v>0</v>
      </c>
      <c r="I28" s="871" t="str">
        <f t="shared" si="8"/>
        <v>0.0% = Est. S &amp; C</v>
      </c>
      <c r="J28" s="66"/>
      <c r="K28" s="83" t="str">
        <f>IF(H28=0,"0.00%",(L28-H28)/H28)</f>
        <v>0.00%</v>
      </c>
      <c r="L28" s="2">
        <f t="shared" ref="L28:L30" si="9">ROUND(H28*(1+$M$19),0)</f>
        <v>0</v>
      </c>
      <c r="M28" s="871" t="str">
        <f>TEXT($M$19,"0.0%")&amp;" = Est. S &amp; C"</f>
        <v>0.0% = Est. S &amp; C</v>
      </c>
      <c r="O28" s="83" t="str">
        <f>IF(L28=0,"0.00%",(P28-L28)/L28)</f>
        <v>0.00%</v>
      </c>
      <c r="P28" s="2">
        <f t="shared" ref="P28:P30" si="10">ROUND(L28*(1+$Q$19),0)</f>
        <v>0</v>
      </c>
      <c r="Q28" s="871" t="str">
        <f t="shared" ref="Q28:Q30" si="11">TEXT($Q$19,"0.0%")&amp;"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idden="1" x14ac:dyDescent="0.25">
      <c r="A29" s="152"/>
      <c r="B29" s="939"/>
      <c r="E29" s="863"/>
      <c r="F29" s="2"/>
      <c r="G29" s="83" t="str">
        <f>IF(D29=0,"0.00%",(H29-D29)/D29)</f>
        <v>0.00%</v>
      </c>
      <c r="H29" s="2">
        <f t="shared" si="7"/>
        <v>0</v>
      </c>
      <c r="I29" s="871" t="str">
        <f t="shared" si="8"/>
        <v>0.0% = Est. S &amp; C</v>
      </c>
      <c r="J29" s="66"/>
      <c r="K29" s="83" t="str">
        <f t="shared" ref="K29:K31" si="12">IF(H29=0,"0.00%",(L29-H29)/H29)</f>
        <v>0.00%</v>
      </c>
      <c r="L29" s="2">
        <f t="shared" si="9"/>
        <v>0</v>
      </c>
      <c r="M29" s="871" t="str">
        <f t="shared" ref="M29:M30" si="13">TEXT($M$19,"0.0%")&amp;" = Est. S &amp; C"</f>
        <v>0.0% = Est. S &amp; C</v>
      </c>
      <c r="O29" s="83" t="str">
        <f t="shared" ref="O29:O32" si="14">IF(L29=0,"0.00%",(P29-L29)/L29)</f>
        <v>0.00%</v>
      </c>
      <c r="P29" s="2">
        <f t="shared" si="10"/>
        <v>0</v>
      </c>
      <c r="Q29" s="871" t="str">
        <f t="shared" si="11"/>
        <v>0.0% = Est. S &amp; C</v>
      </c>
      <c r="T29" s="2"/>
      <c r="U29" s="73"/>
      <c r="X29" s="2"/>
      <c r="Y29" s="73"/>
      <c r="AB29" s="2"/>
      <c r="AC29" s="73"/>
    </row>
    <row r="30" spans="1:29" hidden="1" x14ac:dyDescent="0.25">
      <c r="A30" s="152"/>
      <c r="B30" s="939"/>
      <c r="E30" s="863"/>
      <c r="F30" s="2"/>
      <c r="G30" s="83" t="str">
        <f>IF(D30=0,"0.00%",(H30-D30)/D30)</f>
        <v>0.00%</v>
      </c>
      <c r="H30" s="2">
        <f t="shared" si="7"/>
        <v>0</v>
      </c>
      <c r="I30" s="871" t="str">
        <f t="shared" si="8"/>
        <v>0.0% = Est. S &amp; C</v>
      </c>
      <c r="J30" s="66"/>
      <c r="K30" s="83" t="str">
        <f t="shared" si="12"/>
        <v>0.00%</v>
      </c>
      <c r="L30" s="2">
        <f t="shared" si="9"/>
        <v>0</v>
      </c>
      <c r="M30" s="871" t="str">
        <f t="shared" si="13"/>
        <v>0.0% = Est. S &amp; C</v>
      </c>
      <c r="O30" s="83" t="str">
        <f t="shared" si="14"/>
        <v>0.00%</v>
      </c>
      <c r="P30" s="2">
        <f t="shared" si="10"/>
        <v>0</v>
      </c>
      <c r="Q30" s="871" t="str">
        <f t="shared" si="11"/>
        <v>0.0% = Est. S &amp; C</v>
      </c>
      <c r="T30" s="2"/>
      <c r="U30" s="73"/>
      <c r="X30" s="2"/>
      <c r="Y30" s="73"/>
      <c r="AB30" s="2"/>
      <c r="AC30" s="73"/>
    </row>
    <row r="31" spans="1:29" hidden="1" x14ac:dyDescent="0.25">
      <c r="A31" s="152"/>
      <c r="B31" s="939"/>
      <c r="E31" s="863"/>
      <c r="F31" s="2"/>
      <c r="G31" s="83" t="str">
        <f>IF(D31=0,"0.00%",(H31-D31)/D31)</f>
        <v>0.00%</v>
      </c>
      <c r="H31" s="2">
        <v>0</v>
      </c>
      <c r="I31" s="854"/>
      <c r="J31" s="66"/>
      <c r="K31" s="83" t="str">
        <f t="shared" si="12"/>
        <v>0.00%</v>
      </c>
      <c r="L31" s="2">
        <v>0</v>
      </c>
      <c r="M31" s="854"/>
      <c r="O31" s="83" t="str">
        <f t="shared" si="14"/>
        <v>0.00%</v>
      </c>
      <c r="P31" s="2">
        <v>0</v>
      </c>
      <c r="Q31" s="854"/>
      <c r="T31" s="2"/>
      <c r="U31" s="73"/>
      <c r="X31" s="2"/>
      <c r="Y31" s="73"/>
      <c r="AB31" s="2"/>
      <c r="AC31" s="73"/>
    </row>
    <row r="32" spans="1:29" x14ac:dyDescent="0.25">
      <c r="A32" s="153"/>
      <c r="B32" s="939"/>
      <c r="D32" s="8">
        <f>SUM(D21:D31)</f>
        <v>2660</v>
      </c>
      <c r="E32" s="863"/>
      <c r="F32" s="2"/>
      <c r="G32" s="83">
        <f t="shared" si="1"/>
        <v>9.0225563909774431E-2</v>
      </c>
      <c r="H32" s="8">
        <f>SUM(H21:H31)</f>
        <v>2900</v>
      </c>
      <c r="I32" s="1292">
        <f>+H32-D32</f>
        <v>240</v>
      </c>
      <c r="J32" s="29"/>
      <c r="K32" s="83">
        <f>IF(H32=0,"0.00%",(L32-H32)/H32)</f>
        <v>0</v>
      </c>
      <c r="L32" s="8">
        <f>SUM(L21:L31)</f>
        <v>2900</v>
      </c>
      <c r="M32" s="1292">
        <f>+L32-H32</f>
        <v>0</v>
      </c>
      <c r="O32" s="83">
        <f t="shared" si="14"/>
        <v>0</v>
      </c>
      <c r="P32" s="8">
        <f>SUM(P21:P31)</f>
        <v>2900</v>
      </c>
      <c r="Q32" s="1292">
        <f>+P32-L32</f>
        <v>0</v>
      </c>
      <c r="S32" s="83">
        <f>IF(P32=0,"0.00%",(T32-P32)/P32)</f>
        <v>0.02</v>
      </c>
      <c r="T32" s="8">
        <f>SUM(T21:T29)</f>
        <v>2958</v>
      </c>
      <c r="U32" s="73"/>
      <c r="W32" s="83">
        <f>IF(T32=0,"0.00%",(X32-T32)/T32)</f>
        <v>1.9945909398242055E-2</v>
      </c>
      <c r="X32" s="8">
        <f>SUM(X21:X29)</f>
        <v>3017</v>
      </c>
      <c r="Y32" s="73"/>
      <c r="AA32" s="83">
        <f>IF(X32=0,"0.00%",(AB32-X32)/X32)</f>
        <v>1.9887305270135897E-2</v>
      </c>
      <c r="AB32" s="8">
        <f>SUM(AB21:AB29)</f>
        <v>3077</v>
      </c>
      <c r="AC32" s="73"/>
    </row>
    <row r="33" spans="1:29" x14ac:dyDescent="0.25">
      <c r="A33" s="152"/>
      <c r="E33" s="863"/>
      <c r="F33" s="2"/>
      <c r="H33" s="2"/>
      <c r="I33" s="871"/>
      <c r="J33" s="66"/>
      <c r="L33" s="2"/>
      <c r="M33" s="948"/>
      <c r="Q33" s="948"/>
      <c r="T33" s="2"/>
      <c r="U33" s="73"/>
      <c r="X33" s="2"/>
      <c r="Y33" s="73"/>
      <c r="AB33" s="2"/>
      <c r="AC33" s="73"/>
    </row>
    <row r="34" spans="1:29" s="4" customFormat="1" x14ac:dyDescent="0.25">
      <c r="A34" s="150"/>
      <c r="B34" s="940" t="s">
        <v>35</v>
      </c>
      <c r="C34" s="873"/>
      <c r="D34" s="6"/>
      <c r="E34" s="864"/>
      <c r="F34" s="6"/>
      <c r="G34" s="373"/>
      <c r="H34" s="6"/>
      <c r="I34" s="864"/>
      <c r="J34" s="57"/>
      <c r="K34" s="380"/>
      <c r="L34" s="6"/>
      <c r="M34" s="950"/>
      <c r="O34" s="380"/>
      <c r="P34" s="6"/>
      <c r="Q34" s="950"/>
      <c r="R34" s="111"/>
      <c r="T34" s="6"/>
      <c r="U34" s="71"/>
      <c r="X34" s="6"/>
      <c r="Y34" s="71"/>
      <c r="AB34" s="6"/>
      <c r="AC34" s="71"/>
    </row>
    <row r="35" spans="1:29" x14ac:dyDescent="0.25">
      <c r="A35" s="152"/>
      <c r="B35" s="939">
        <v>2910</v>
      </c>
      <c r="C35" s="857" t="s">
        <v>117</v>
      </c>
      <c r="D35" s="2">
        <v>172.02</v>
      </c>
      <c r="E35" s="863"/>
      <c r="F35" s="2"/>
      <c r="G35" s="83">
        <f t="shared" ref="G35:G41" si="15">IF(D35=0,"0.00%",(H35-D35)/D35)</f>
        <v>1.0055807464248343</v>
      </c>
      <c r="H35" s="2">
        <v>345</v>
      </c>
      <c r="I35" s="871"/>
      <c r="J35" s="66"/>
      <c r="K35" s="83">
        <f t="shared" ref="K35:K41" si="16">IF(H35=0,"0.00%",(L35-H35)/H35)</f>
        <v>0</v>
      </c>
      <c r="L35" s="2">
        <f>+H35</f>
        <v>345</v>
      </c>
      <c r="M35" s="871" t="s">
        <v>174</v>
      </c>
      <c r="O35" s="83">
        <f t="shared" ref="O35:O41" si="17">IF(L35=0,"0.00%",(P35-L35)/L35)</f>
        <v>0</v>
      </c>
      <c r="P35" s="2">
        <f>+L35</f>
        <v>345</v>
      </c>
      <c r="Q35" s="871" t="s">
        <v>174</v>
      </c>
      <c r="S35" s="83">
        <f t="shared" ref="S35:S41" si="18">IF(P35=0,"0.00%",(T35-P35)/P35)</f>
        <v>2.0289855072463767E-2</v>
      </c>
      <c r="T35" s="2">
        <f>ROUND(P35*(1+U19),0)</f>
        <v>352</v>
      </c>
      <c r="U35" s="36" t="str">
        <f>TEXT(U19,"0.0%")&amp;" = Est. S &amp; C"</f>
        <v>2.0% = Est. S &amp; C</v>
      </c>
      <c r="W35" s="83">
        <f t="shared" ref="W35:W41" si="19">IF(T35=0,"0.00%",(X35-T35)/T35)</f>
        <v>1.9886363636363636E-2</v>
      </c>
      <c r="X35" s="2">
        <f>ROUND(T35*(1+Y19),0)</f>
        <v>359</v>
      </c>
      <c r="Y35" s="36" t="str">
        <f>TEXT(Y19,"0.0%")&amp;" = Est. S &amp; C"</f>
        <v>2.0% = Est. S &amp; C</v>
      </c>
      <c r="AA35" s="83">
        <f t="shared" ref="AA35:AA41" si="20">IF(X35=0,"0.00%",(AB35-X35)/X35)</f>
        <v>1.9498607242339833E-2</v>
      </c>
      <c r="AB35" s="2">
        <f>ROUND(X35*(1+AC19),0)</f>
        <v>366</v>
      </c>
      <c r="AC35" s="36" t="str">
        <f>TEXT(AC19,"0.0%")&amp;" = Est. S &amp; C"</f>
        <v>2.0% = Est. S &amp; C</v>
      </c>
    </row>
    <row r="36" spans="1:29" hidden="1" x14ac:dyDescent="0.25">
      <c r="A36" s="152"/>
      <c r="B36" s="939"/>
      <c r="E36" s="863"/>
      <c r="F36" s="2"/>
      <c r="G36" s="83" t="str">
        <f t="shared" si="15"/>
        <v>0.00%</v>
      </c>
      <c r="H36" s="2">
        <f t="shared" ref="H36:H41" si="21">ROUND(D36*(1+$I$19),0)</f>
        <v>0</v>
      </c>
      <c r="I36" s="871" t="str">
        <f t="shared" ref="I36:I41" si="22">TEXT($I$19,"0.0%")&amp;" = Est. S &amp; C"</f>
        <v>0.0% = Est. S &amp; C</v>
      </c>
      <c r="J36" s="66"/>
      <c r="K36" s="83" t="str">
        <f t="shared" si="16"/>
        <v>0.00%</v>
      </c>
      <c r="L36" s="2">
        <f>ROUND(H36*(1+M19),0)</f>
        <v>0</v>
      </c>
      <c r="M36" s="871" t="str">
        <f>TEXT(M19,"0.0%")&amp;" = Est. S &amp; C"</f>
        <v>0.0% = Est. S &amp; C</v>
      </c>
      <c r="O36" s="83" t="str">
        <f t="shared" si="17"/>
        <v>0.00%</v>
      </c>
      <c r="P36" s="2">
        <f>ROUND(L36*(1+Q19),0)</f>
        <v>0</v>
      </c>
      <c r="Q36" s="871" t="str">
        <f>TEXT(Q19,"0.0%")&amp;" = Est. S &amp; C"</f>
        <v>0.0% = Est. S &amp; C</v>
      </c>
      <c r="S36" s="83" t="str">
        <f t="shared" si="18"/>
        <v>0.00%</v>
      </c>
      <c r="T36" s="2">
        <f>ROUND(P36*(1+U19),0)</f>
        <v>0</v>
      </c>
      <c r="U36" s="36" t="str">
        <f>TEXT(U19,"0.0%")&amp;" = Est. S &amp; C"</f>
        <v>2.0% = Est. S &amp; C</v>
      </c>
      <c r="W36" s="83" t="str">
        <f t="shared" si="19"/>
        <v>0.00%</v>
      </c>
      <c r="X36" s="2">
        <f>ROUND(T36*(1+Y19),0)</f>
        <v>0</v>
      </c>
      <c r="Y36" s="36" t="str">
        <f>TEXT(Y19,"0.0%")&amp;" = Est. S &amp; C"</f>
        <v>2.0% = Est. S &amp; C</v>
      </c>
      <c r="AA36" s="83" t="str">
        <f t="shared" si="20"/>
        <v>0.00%</v>
      </c>
      <c r="AB36" s="2">
        <f>ROUND(X36*(1+AC19),0)</f>
        <v>0</v>
      </c>
      <c r="AC36" s="36" t="str">
        <f>TEXT(AC19,"0.0%")&amp;" = Est. S &amp; C"</f>
        <v>2.0% = Est. S &amp; C</v>
      </c>
    </row>
    <row r="37" spans="1:29" hidden="1" x14ac:dyDescent="0.25">
      <c r="A37" s="152"/>
      <c r="B37" s="939"/>
      <c r="E37" s="863"/>
      <c r="F37" s="2"/>
      <c r="G37" s="83" t="str">
        <f t="shared" si="15"/>
        <v>0.00%</v>
      </c>
      <c r="H37" s="2">
        <f t="shared" si="21"/>
        <v>0</v>
      </c>
      <c r="I37" s="871" t="str">
        <f t="shared" si="22"/>
        <v>0.0% = Est. S &amp; C</v>
      </c>
      <c r="J37" s="66"/>
      <c r="K37" s="83" t="str">
        <f t="shared" si="16"/>
        <v>0.00%</v>
      </c>
      <c r="L37" s="2">
        <f>ROUND(H37*(1+M19),0)</f>
        <v>0</v>
      </c>
      <c r="M37" s="871" t="str">
        <f>TEXT(M19,"0.0%")&amp;" = Est. S &amp; C"</f>
        <v>0.0% = Est. S &amp; C</v>
      </c>
      <c r="O37" s="83" t="str">
        <f t="shared" si="17"/>
        <v>0.00%</v>
      </c>
      <c r="P37" s="2">
        <f>ROUND(L37*(1+Q19),0)</f>
        <v>0</v>
      </c>
      <c r="Q37" s="871" t="str">
        <f>TEXT(Q19,"0.0%")&amp;" = Est. S &amp; C"</f>
        <v>0.0% = Est. S &amp; C</v>
      </c>
      <c r="S37" s="83" t="str">
        <f t="shared" si="18"/>
        <v>0.00%</v>
      </c>
      <c r="T37" s="2">
        <f>ROUND(P37*(1+U19),0)</f>
        <v>0</v>
      </c>
      <c r="U37" s="36" t="str">
        <f>TEXT(U19,"0.0%")&amp;" = Est. S &amp; C"</f>
        <v>2.0% = Est. S &amp; C</v>
      </c>
      <c r="W37" s="83" t="str">
        <f t="shared" si="19"/>
        <v>0.00%</v>
      </c>
      <c r="X37" s="2">
        <f>ROUND(T37*(1+Y19),0)</f>
        <v>0</v>
      </c>
      <c r="Y37" s="36" t="str">
        <f>TEXT(Y19,"0.0%")&amp;" = Est. S &amp; C"</f>
        <v>2.0% = Est. S &amp; C</v>
      </c>
      <c r="AA37" s="83" t="str">
        <f t="shared" si="20"/>
        <v>0.00%</v>
      </c>
      <c r="AB37" s="2">
        <f>ROUND(X37*(1+AC19),0)</f>
        <v>0</v>
      </c>
      <c r="AC37" s="36" t="str">
        <f>TEXT(AC19,"0.0%")&amp;" = Est. S &amp; C"</f>
        <v>2.0% = Est. S &amp; C</v>
      </c>
    </row>
    <row r="38" spans="1:29" hidden="1" x14ac:dyDescent="0.25">
      <c r="A38" s="152"/>
      <c r="B38" s="939"/>
      <c r="E38" s="863"/>
      <c r="F38" s="2"/>
      <c r="G38" s="83" t="str">
        <f t="shared" si="15"/>
        <v>0.00%</v>
      </c>
      <c r="H38" s="2">
        <f t="shared" si="21"/>
        <v>0</v>
      </c>
      <c r="I38" s="871" t="str">
        <f t="shared" si="22"/>
        <v>0.0% = Est. S &amp; C</v>
      </c>
      <c r="J38" s="66"/>
      <c r="K38" s="83" t="str">
        <f t="shared" si="16"/>
        <v>0.00%</v>
      </c>
      <c r="L38" s="2">
        <f>ROUND(H38*(1+M19),0)</f>
        <v>0</v>
      </c>
      <c r="M38" s="871" t="str">
        <f>TEXT(M19,"0.0%")&amp;" = Est. S &amp; C"</f>
        <v>0.0% = Est. S &amp; C</v>
      </c>
      <c r="O38" s="83" t="str">
        <f t="shared" si="17"/>
        <v>0.00%</v>
      </c>
      <c r="P38" s="2">
        <f>ROUND(L38*(1+Q19),0)</f>
        <v>0</v>
      </c>
      <c r="Q38" s="871" t="str">
        <f>TEXT(Q19,"0.0%")&amp;" = Est. S &amp; C"</f>
        <v>0.0% = Est. S &amp; C</v>
      </c>
      <c r="S38" s="83" t="str">
        <f t="shared" si="18"/>
        <v>0.00%</v>
      </c>
      <c r="T38" s="2">
        <f>ROUND(P38*(1+U19),0)</f>
        <v>0</v>
      </c>
      <c r="U38" s="36" t="str">
        <f>TEXT(U19,"0.0%")&amp;" = Est. S &amp; C"</f>
        <v>2.0% = Est. S &amp; C</v>
      </c>
      <c r="W38" s="83" t="str">
        <f t="shared" si="19"/>
        <v>0.00%</v>
      </c>
      <c r="X38" s="2">
        <f>ROUND(T38*(1+Y19),0)</f>
        <v>0</v>
      </c>
      <c r="Y38" s="36" t="str">
        <f>TEXT(Y19,"0.0%")&amp;" = Est. S &amp; C"</f>
        <v>2.0% = Est. S &amp; C</v>
      </c>
      <c r="AA38" s="83" t="str">
        <f t="shared" si="20"/>
        <v>0.00%</v>
      </c>
      <c r="AB38" s="2">
        <f>ROUND(X38*(1+AC19),0)</f>
        <v>0</v>
      </c>
      <c r="AC38" s="36" t="str">
        <f>TEXT(AC19,"0.0%")&amp;" = Est. S &amp; C"</f>
        <v>2.0% = Est. S &amp; C</v>
      </c>
    </row>
    <row r="39" spans="1:29" hidden="1" x14ac:dyDescent="0.25">
      <c r="A39" s="152"/>
      <c r="B39" s="939"/>
      <c r="D39" s="2">
        <v>0</v>
      </c>
      <c r="E39" s="863"/>
      <c r="F39" s="2"/>
      <c r="G39" s="83" t="str">
        <f t="shared" si="15"/>
        <v>0.00%</v>
      </c>
      <c r="H39" s="2">
        <f t="shared" si="21"/>
        <v>0</v>
      </c>
      <c r="I39" s="871" t="str">
        <f t="shared" si="22"/>
        <v>0.0% = Est. S &amp; C</v>
      </c>
      <c r="J39" s="66"/>
      <c r="K39" s="83" t="str">
        <f t="shared" si="16"/>
        <v>0.00%</v>
      </c>
      <c r="L39" s="2">
        <f>ROUND(H39*(1+M19),0)</f>
        <v>0</v>
      </c>
      <c r="M39" s="871" t="str">
        <f>TEXT(M19,"0.0%")&amp;" = Est. S &amp; C"</f>
        <v>0.0% = Est. S &amp; C</v>
      </c>
      <c r="O39" s="83" t="str">
        <f t="shared" si="17"/>
        <v>0.00%</v>
      </c>
      <c r="P39" s="2">
        <f>ROUND(L39*(1+Q19),0)</f>
        <v>0</v>
      </c>
      <c r="Q39" s="871" t="str">
        <f>TEXT(Q19,"0.0%")&amp;" = Est. S &amp; C"</f>
        <v>0.0% = Est. S &amp; C</v>
      </c>
      <c r="S39" s="83" t="str">
        <f t="shared" si="18"/>
        <v>0.00%</v>
      </c>
      <c r="T39" s="2">
        <f>ROUND(P39*(1+U19),0)</f>
        <v>0</v>
      </c>
      <c r="U39" s="36" t="str">
        <f>TEXT(U19,"0.0%")&amp;" = Est. S &amp; C"</f>
        <v>2.0% = Est. S &amp; C</v>
      </c>
      <c r="W39" s="83" t="str">
        <f t="shared" si="19"/>
        <v>0.00%</v>
      </c>
      <c r="X39" s="2">
        <f>ROUND(T39*(1+Y19),0)</f>
        <v>0</v>
      </c>
      <c r="Y39" s="36" t="str">
        <f>TEXT(Y19,"0.0%")&amp;" = Est. S &amp; C"</f>
        <v>2.0% = Est. S &amp; C</v>
      </c>
      <c r="AA39" s="83" t="str">
        <f t="shared" si="20"/>
        <v>0.00%</v>
      </c>
      <c r="AB39" s="2">
        <f>ROUND(X39*(1+AC19),0)</f>
        <v>0</v>
      </c>
      <c r="AC39" s="36" t="str">
        <f>TEXT(AC19,"0.0%")&amp;" = Est. S &amp; C"</f>
        <v>2.0% = Est. S &amp; C</v>
      </c>
    </row>
    <row r="40" spans="1:29" hidden="1" x14ac:dyDescent="0.25">
      <c r="A40" s="152"/>
      <c r="B40" s="939"/>
      <c r="D40" s="2">
        <v>0</v>
      </c>
      <c r="E40" s="863"/>
      <c r="F40" s="2"/>
      <c r="G40" s="83" t="str">
        <f t="shared" si="15"/>
        <v>0.00%</v>
      </c>
      <c r="H40" s="2">
        <f t="shared" si="21"/>
        <v>0</v>
      </c>
      <c r="I40" s="871" t="str">
        <f t="shared" si="22"/>
        <v>0.0% = Est. S &amp; C</v>
      </c>
      <c r="J40" s="66"/>
      <c r="K40" s="83" t="str">
        <f t="shared" si="16"/>
        <v>0.00%</v>
      </c>
      <c r="L40" s="2">
        <f>ROUND(H40*(1+M19),0)</f>
        <v>0</v>
      </c>
      <c r="M40" s="871" t="str">
        <f>TEXT(M19,"0.0%")&amp;" = Est. S &amp; C"</f>
        <v>0.0% = Est. S &amp; C</v>
      </c>
      <c r="O40" s="83" t="str">
        <f t="shared" si="17"/>
        <v>0.00%</v>
      </c>
      <c r="P40" s="2">
        <f>ROUND(L40*(1+Q19),0)</f>
        <v>0</v>
      </c>
      <c r="Q40" s="871" t="str">
        <f>TEXT(Q19,"0.0%")&amp;" = Est. S &amp; C"</f>
        <v>0.0% = Est. S &amp; C</v>
      </c>
      <c r="S40" s="83" t="str">
        <f t="shared" si="18"/>
        <v>0.00%</v>
      </c>
      <c r="T40" s="2">
        <f>ROUND(P40*(1+U19),0)</f>
        <v>0</v>
      </c>
      <c r="U40" s="36" t="str">
        <f>TEXT(U19,"0.0%")&amp;" = Est. S &amp; C"</f>
        <v>2.0% = Est. S &amp; C</v>
      </c>
      <c r="W40" s="83" t="str">
        <f t="shared" si="19"/>
        <v>0.00%</v>
      </c>
      <c r="X40" s="2">
        <f>ROUND(T40*(1+Y19),0)</f>
        <v>0</v>
      </c>
      <c r="Y40" s="36" t="str">
        <f>TEXT(Y19,"0.0%")&amp;" = Est. S &amp; C"</f>
        <v>2.0% = Est. S &amp; C</v>
      </c>
      <c r="AA40" s="83" t="str">
        <f t="shared" si="20"/>
        <v>0.00%</v>
      </c>
      <c r="AB40" s="2">
        <f>ROUND(X40*(1+AC19),0)</f>
        <v>0</v>
      </c>
      <c r="AC40" s="36" t="str">
        <f>TEXT(AC19,"0.0%")&amp;" = Est. S &amp; C"</f>
        <v>2.0% = Est. S &amp; C</v>
      </c>
    </row>
    <row r="41" spans="1:29" hidden="1" x14ac:dyDescent="0.25">
      <c r="A41" s="152"/>
      <c r="B41" s="939"/>
      <c r="D41" s="2">
        <v>0</v>
      </c>
      <c r="E41" s="863"/>
      <c r="F41" s="2"/>
      <c r="G41" s="83" t="str">
        <f t="shared" si="15"/>
        <v>0.00%</v>
      </c>
      <c r="H41" s="2">
        <f t="shared" si="21"/>
        <v>0</v>
      </c>
      <c r="I41" s="871" t="str">
        <f t="shared" si="22"/>
        <v>0.0% = Est. S &amp; C</v>
      </c>
      <c r="J41" s="66"/>
      <c r="K41" s="83" t="str">
        <f t="shared" si="16"/>
        <v>0.00%</v>
      </c>
      <c r="L41" s="2">
        <f>ROUND(H41*(1+M19),0)</f>
        <v>0</v>
      </c>
      <c r="M41" s="871" t="str">
        <f>TEXT(M19,"0.0%")&amp;" = Est. S &amp; C"</f>
        <v>0.0% = Est. S &amp; C</v>
      </c>
      <c r="O41" s="83" t="str">
        <f t="shared" si="17"/>
        <v>0.00%</v>
      </c>
      <c r="P41" s="2">
        <f>ROUND(L41*(1+Q19),0)</f>
        <v>0</v>
      </c>
      <c r="Q41" s="871" t="str">
        <f>TEXT(Q19,"0.0%")&amp;" = Est. S &amp; C"</f>
        <v>0.0% = Est. S &amp; C</v>
      </c>
      <c r="S41" s="83" t="str">
        <f t="shared" si="18"/>
        <v>0.00%</v>
      </c>
      <c r="T41" s="2">
        <f>ROUND(P41*(1+U19),0)</f>
        <v>0</v>
      </c>
      <c r="U41" s="36" t="str">
        <f>TEXT(U19,"0.0%")&amp;" = Est. S &amp; C"</f>
        <v>2.0% = Est. S &amp; C</v>
      </c>
      <c r="W41" s="83" t="str">
        <f t="shared" si="19"/>
        <v>0.00%</v>
      </c>
      <c r="X41" s="2">
        <f>ROUND(T41*(1+Y19),0)</f>
        <v>0</v>
      </c>
      <c r="Y41" s="36" t="str">
        <f>TEXT(Y19,"0.0%")&amp;" = Est. S &amp; C"</f>
        <v>2.0% = Est. S &amp; C</v>
      </c>
      <c r="AA41" s="83" t="str">
        <f t="shared" si="20"/>
        <v>0.00%</v>
      </c>
      <c r="AB41" s="2">
        <f>ROUND(X41*(1+AC19),0)</f>
        <v>0</v>
      </c>
      <c r="AC41" s="36" t="str">
        <f>TEXT(AC19,"0.0%")&amp;" = Est. S &amp; C"</f>
        <v>2.0% = Est. S &amp; C</v>
      </c>
    </row>
    <row r="42" spans="1:29" ht="6" hidden="1" customHeight="1" x14ac:dyDescent="0.25">
      <c r="A42" s="152"/>
      <c r="B42" s="939"/>
      <c r="E42" s="863"/>
      <c r="F42" s="2"/>
      <c r="H42" s="2"/>
      <c r="I42" s="871"/>
      <c r="J42" s="66"/>
      <c r="L42" s="2"/>
      <c r="M42" s="948"/>
      <c r="Q42" s="948"/>
      <c r="T42" s="2"/>
      <c r="U42" s="73"/>
      <c r="X42" s="2"/>
      <c r="Y42" s="73"/>
      <c r="AB42" s="2"/>
      <c r="AC42" s="73"/>
    </row>
    <row r="43" spans="1:29" x14ac:dyDescent="0.25">
      <c r="A43" s="153"/>
      <c r="B43" s="939"/>
      <c r="D43" s="8">
        <f>SUM(D35:D42)</f>
        <v>172.02</v>
      </c>
      <c r="E43" s="863"/>
      <c r="F43" s="2"/>
      <c r="G43" s="83">
        <f>IF(D43=0,"0.00%",(H43-D43)/D43)</f>
        <v>1.0055807464248343</v>
      </c>
      <c r="H43" s="8">
        <f>SUM(H35:H42)</f>
        <v>345</v>
      </c>
      <c r="I43" s="872"/>
      <c r="J43" s="29"/>
      <c r="K43" s="83">
        <f>IF(H43=0,"0.00%",(L43-H43)/H43)</f>
        <v>0</v>
      </c>
      <c r="L43" s="8">
        <f>SUM(L35:L42)</f>
        <v>345</v>
      </c>
      <c r="M43" s="948"/>
      <c r="O43" s="83">
        <f>IF(L43=0,"0.00%",(P43-L43)/L43)</f>
        <v>0</v>
      </c>
      <c r="P43" s="8">
        <f>SUM(P35:P42)</f>
        <v>345</v>
      </c>
      <c r="Q43" s="948"/>
      <c r="S43" s="83">
        <f>IF(P43=0,"0.00%",(T43-P43)/P43)</f>
        <v>2.0289855072463767E-2</v>
      </c>
      <c r="T43" s="8">
        <f>SUM(T35:T42)</f>
        <v>352</v>
      </c>
      <c r="U43" s="73"/>
      <c r="W43" s="83">
        <f>IF(T43=0,"0.00%",(X43-T43)/T43)</f>
        <v>1.9886363636363636E-2</v>
      </c>
      <c r="X43" s="8">
        <f>SUM(X35:X42)</f>
        <v>359</v>
      </c>
      <c r="Y43" s="73"/>
      <c r="AA43" s="83">
        <f>IF(X43=0,"0.00%",(AB43-X43)/X43)</f>
        <v>1.9498607242339833E-2</v>
      </c>
      <c r="AB43" s="8">
        <f>SUM(AB35:AB42)</f>
        <v>366</v>
      </c>
      <c r="AC43" s="73"/>
    </row>
    <row r="44" spans="1:29" x14ac:dyDescent="0.25">
      <c r="A44" s="152"/>
      <c r="B44" s="930" t="s">
        <v>28</v>
      </c>
      <c r="E44" s="863"/>
      <c r="F44" s="2"/>
      <c r="H44" s="2"/>
      <c r="I44" s="871"/>
      <c r="J44" s="66"/>
      <c r="L44" s="2"/>
      <c r="M44" s="948"/>
      <c r="Q44" s="948"/>
      <c r="T44" s="2"/>
      <c r="U44" s="73"/>
      <c r="X44" s="2"/>
      <c r="Y44" s="73"/>
      <c r="AB44" s="2"/>
      <c r="AC44" s="73"/>
    </row>
    <row r="45" spans="1:29" x14ac:dyDescent="0.25">
      <c r="A45" s="154"/>
      <c r="B45" s="936" t="s">
        <v>27</v>
      </c>
      <c r="E45" s="863"/>
      <c r="F45" s="2"/>
      <c r="H45" s="2"/>
      <c r="I45" s="871"/>
      <c r="J45" s="66"/>
      <c r="L45" s="2"/>
      <c r="M45" s="948"/>
      <c r="Q45" s="948"/>
      <c r="T45" s="2"/>
      <c r="U45" s="73"/>
      <c r="X45" s="2"/>
      <c r="Y45" s="73"/>
      <c r="AB45" s="2"/>
      <c r="AC45" s="73"/>
    </row>
    <row r="46" spans="1:29" x14ac:dyDescent="0.25">
      <c r="A46" s="152"/>
      <c r="B46" s="939" t="s">
        <v>83</v>
      </c>
      <c r="C46" s="857" t="s">
        <v>76</v>
      </c>
      <c r="D46" s="2">
        <v>309.22000000000003</v>
      </c>
      <c r="E46" s="854" t="str">
        <f>TEXT('MYP Assumptions'!$D$55,"0.00%")&amp;", STRS rate"</f>
        <v>12.58%, STRS rate</v>
      </c>
      <c r="F46" s="2"/>
      <c r="G46" s="83">
        <f t="shared" ref="G46:G55" si="23">IF(D46=0,"0.00%",(H46-D46)/D46)</f>
        <v>2.9195394864497763</v>
      </c>
      <c r="H46" s="2">
        <v>1212</v>
      </c>
      <c r="I46" s="854" t="str">
        <f>TEXT('MYP Assumptions'!E55,"0.00%")&amp;", projected STRS rate"</f>
        <v>14.43%, projected STRS rate</v>
      </c>
      <c r="J46" s="66"/>
      <c r="K46" s="83">
        <f t="shared" ref="K46:K55" si="24">IF(H46=0,"0.00%",(L46-H46)/H46)</f>
        <v>-0.61056105610561051</v>
      </c>
      <c r="L46" s="2">
        <f>ROUND(L32*LEFT(M46,6),0)</f>
        <v>472</v>
      </c>
      <c r="M46" s="854" t="str">
        <f>TEXT('MYP Assumptions'!F55,"0.00%")&amp;", projected STRS rate"</f>
        <v>16.28%, projected STRS rate</v>
      </c>
      <c r="O46" s="83">
        <f t="shared" ref="O46:O55" si="25">IF(L46=0,"0.00%",(P46-L46)/L46)</f>
        <v>0.11440677966101695</v>
      </c>
      <c r="P46" s="2">
        <f>ROUND(P32*LEFT(Q46,6),0)</f>
        <v>526</v>
      </c>
      <c r="Q46" s="854" t="str">
        <f>TEXT('MYP Assumptions'!G55,"0.00%")&amp;", projected STRS rate"</f>
        <v>18.13%, projected STRS rate</v>
      </c>
      <c r="S46" s="83">
        <f t="shared" ref="S46:S55" si="26">IF(P46=0,"0.00%",(T46-P46)/P46)</f>
        <v>7.4144486692015205E-2</v>
      </c>
      <c r="T46" s="2">
        <f>ROUND(T32*LEFT(U46,6),0)</f>
        <v>565</v>
      </c>
      <c r="U46" s="81" t="str">
        <f>TEXT('MYP Assumptions'!H55,"0.00%")&amp;", projected STRS rate"</f>
        <v>19.10%, projected STRS rate</v>
      </c>
      <c r="W46" s="83">
        <f t="shared" ref="W46:W55" si="27">IF(T46=0,"0.00%",(X46-T46)/T46)</f>
        <v>1.9469026548672566E-2</v>
      </c>
      <c r="X46" s="2">
        <f>ROUND(X32*LEFT(Y46,6),0)</f>
        <v>576</v>
      </c>
      <c r="Y46" s="81" t="str">
        <f>TEXT('MYP Assumptions'!I55,"0.00%")&amp;", projected STRS rate"</f>
        <v>19.10%, projected STRS rate</v>
      </c>
      <c r="AA46" s="83">
        <f t="shared" ref="AA46:AA55" si="28">IF(X46=0,"0.00%",(AB46-X46)/X46)</f>
        <v>2.0833333333333332E-2</v>
      </c>
      <c r="AB46" s="2">
        <f>ROUND(AB32*LEFT(AC46,6),0)</f>
        <v>588</v>
      </c>
      <c r="AC46" s="81" t="str">
        <f>TEXT('MYP Assumptions'!J55,"0.00%")&amp;", projected STRS rate"</f>
        <v>19.10%, projected STRS rate</v>
      </c>
    </row>
    <row r="47" spans="1:29" x14ac:dyDescent="0.25">
      <c r="A47" s="152"/>
      <c r="B47" s="939" t="s">
        <v>84</v>
      </c>
      <c r="C47" s="857" t="s">
        <v>77</v>
      </c>
      <c r="D47" s="2">
        <v>19.190000000000001</v>
      </c>
      <c r="E47" s="854" t="str">
        <f>TEXT('MYP Assumptions'!$D$56,"0.00%")&amp;", PERS rate"</f>
        <v>13.89%, PERS rate</v>
      </c>
      <c r="F47" s="2"/>
      <c r="G47" s="83">
        <f t="shared" si="23"/>
        <v>1.8139656070870245</v>
      </c>
      <c r="H47" s="2">
        <v>54</v>
      </c>
      <c r="I47" s="854" t="str">
        <f>TEXT('MYP Assumptions'!E56,"0.00%")&amp;", projected PERS rate"</f>
        <v>15.53%, projected PERS rate</v>
      </c>
      <c r="J47" s="66"/>
      <c r="K47" s="83">
        <f t="shared" si="24"/>
        <v>0.14814814814814814</v>
      </c>
      <c r="L47" s="2">
        <f>ROUND(L43*LEFT(M47,6),0)</f>
        <v>62</v>
      </c>
      <c r="M47" s="854" t="str">
        <f>TEXT('MYP Assumptions'!F56,"0.00%")&amp;", projected PERS rate"</f>
        <v>18.10%, projected PERS rate</v>
      </c>
      <c r="O47" s="83">
        <f t="shared" si="25"/>
        <v>0.16129032258064516</v>
      </c>
      <c r="P47" s="2">
        <f>ROUND(P43*LEFT(Q47,6),0)</f>
        <v>72</v>
      </c>
      <c r="Q47" s="854" t="str">
        <f>TEXT('MYP Assumptions'!G56,"0.00%")&amp;", projected PERS rate"</f>
        <v>20.80%, projected PERS rate</v>
      </c>
      <c r="S47" s="83">
        <f t="shared" si="26"/>
        <v>0.16666666666666666</v>
      </c>
      <c r="T47" s="2">
        <f>ROUND(T43*LEFT(U47,6),0)</f>
        <v>84</v>
      </c>
      <c r="U47" s="81" t="str">
        <f>TEXT('MYP Assumptions'!H56,"0.00%")&amp;", projected PERS rate"</f>
        <v>23.80%, projected PERS rate</v>
      </c>
      <c r="W47" s="83">
        <f t="shared" si="27"/>
        <v>7.1428571428571425E-2</v>
      </c>
      <c r="X47" s="2">
        <f>ROUND(X43*LEFT(Y47,6),0)</f>
        <v>90</v>
      </c>
      <c r="Y47" s="81" t="str">
        <f>TEXT('MYP Assumptions'!I56,"0.00%")&amp;", projected PERS rate"</f>
        <v>25.20%, projected PERS rate</v>
      </c>
      <c r="AA47" s="83">
        <f t="shared" si="28"/>
        <v>6.6666666666666666E-2</v>
      </c>
      <c r="AB47" s="2">
        <f>ROUND(AB43*LEFT(AC47,6),0)</f>
        <v>96</v>
      </c>
      <c r="AC47" s="81" t="str">
        <f>TEXT('MYP Assumptions'!J56,"0.00%")&amp;", projected PERS rate"</f>
        <v>26.10%, projected PERS rate</v>
      </c>
    </row>
    <row r="48" spans="1:29" x14ac:dyDescent="0.25">
      <c r="A48" s="152"/>
      <c r="B48" s="939" t="s">
        <v>85</v>
      </c>
      <c r="C48" s="857" t="s">
        <v>78</v>
      </c>
      <c r="D48" s="2">
        <f>17.36+10.67</f>
        <v>28.03</v>
      </c>
      <c r="E48" s="854" t="str">
        <f>TEXT('MYP Assumptions'!$D$57,"0.00%")&amp;", SS rate"</f>
        <v>6.20%, SS rate</v>
      </c>
      <c r="F48" s="2"/>
      <c r="G48" s="83">
        <f t="shared" si="23"/>
        <v>-0.25080271138066362</v>
      </c>
      <c r="H48" s="2">
        <v>21</v>
      </c>
      <c r="I48" s="854" t="str">
        <f>TEXT('MYP Assumptions'!E57,"0.00%")&amp;", no rate change"</f>
        <v>6.20%, no rate change</v>
      </c>
      <c r="J48" s="66"/>
      <c r="K48" s="83">
        <f t="shared" si="24"/>
        <v>0</v>
      </c>
      <c r="L48" s="2">
        <f>ROUND(L43*LEFT(M48,5),0)</f>
        <v>21</v>
      </c>
      <c r="M48" s="854" t="str">
        <f>TEXT('MYP Assumptions'!F57,"0.00%")&amp;", no rate change"</f>
        <v>6.20%, no rate change</v>
      </c>
      <c r="O48" s="83">
        <f t="shared" si="25"/>
        <v>0</v>
      </c>
      <c r="P48" s="2">
        <f>ROUND(P43*LEFT(Q48,5),0)</f>
        <v>21</v>
      </c>
      <c r="Q48" s="854" t="str">
        <f>TEXT('MYP Assumptions'!G57,"0.00%")&amp;", no rate change"</f>
        <v>6.20%, no rate change</v>
      </c>
      <c r="S48" s="83">
        <f t="shared" si="26"/>
        <v>4.7619047619047616E-2</v>
      </c>
      <c r="T48" s="2">
        <f>ROUND(T43*LEFT(U48,5),0)</f>
        <v>22</v>
      </c>
      <c r="U48" s="81" t="str">
        <f>TEXT('MYP Assumptions'!H57,"0.00%")&amp;", no rate change"</f>
        <v>6.20%, no rate change</v>
      </c>
      <c r="W48" s="83">
        <f t="shared" si="27"/>
        <v>0</v>
      </c>
      <c r="X48" s="2">
        <f>ROUND(X43*LEFT(Y48,5),0)</f>
        <v>22</v>
      </c>
      <c r="Y48" s="81" t="str">
        <f>TEXT('MYP Assumptions'!I57,"0.00%")&amp;", no rate change"</f>
        <v>6.20%, no rate change</v>
      </c>
      <c r="AA48" s="83">
        <f t="shared" si="28"/>
        <v>4.5454545454545456E-2</v>
      </c>
      <c r="AB48" s="2">
        <f>ROUND(AB43*LEFT(AC48,5),0)</f>
        <v>23</v>
      </c>
      <c r="AC48" s="81" t="str">
        <f>TEXT('MYP Assumptions'!J57,"0.00%")&amp;", no rate change"</f>
        <v>6.20%, no rate change</v>
      </c>
    </row>
    <row r="49" spans="1:29" x14ac:dyDescent="0.25">
      <c r="A49" s="152"/>
      <c r="B49" s="939" t="s">
        <v>86</v>
      </c>
      <c r="C49" s="857" t="s">
        <v>79</v>
      </c>
      <c r="D49" s="2">
        <f>44.66+2.49</f>
        <v>47.15</v>
      </c>
      <c r="E49" s="854" t="str">
        <f>TEXT('MYP Assumptions'!$D$58,"0.00%")&amp;", Medicare rate"</f>
        <v>1.45%, Medicare rate</v>
      </c>
      <c r="F49" s="2"/>
      <c r="G49" s="83">
        <f t="shared" si="23"/>
        <v>1.6935312831389182</v>
      </c>
      <c r="H49" s="2">
        <f>122+5</f>
        <v>127</v>
      </c>
      <c r="I49" s="854" t="str">
        <f>TEXT('MYP Assumptions'!E58,"0.00%")&amp;", no rate change"</f>
        <v>1.45%, no rate change</v>
      </c>
      <c r="J49" s="66"/>
      <c r="K49" s="83">
        <f t="shared" si="24"/>
        <v>-0.62992125984251968</v>
      </c>
      <c r="L49" s="2">
        <f>ROUND((L43+L32)*LEFT(M49,5),0)</f>
        <v>47</v>
      </c>
      <c r="M49" s="854" t="str">
        <f>TEXT('MYP Assumptions'!F58,"0.00%")&amp;", no rate change"</f>
        <v>1.45%, no rate change</v>
      </c>
      <c r="O49" s="83">
        <f t="shared" si="25"/>
        <v>0</v>
      </c>
      <c r="P49" s="2">
        <f>ROUND((P43+P32)*LEFT(Q49,5),0)</f>
        <v>47</v>
      </c>
      <c r="Q49" s="854" t="str">
        <f>TEXT('MYP Assumptions'!G58,"0.00%")&amp;", no rate change"</f>
        <v>1.45%, no rate change</v>
      </c>
      <c r="S49" s="83">
        <f t="shared" si="26"/>
        <v>2.1276595744680851E-2</v>
      </c>
      <c r="T49" s="2">
        <f>ROUND((T43+T32)*LEFT(U49,5),0)</f>
        <v>48</v>
      </c>
      <c r="U49" s="81" t="str">
        <f>TEXT('MYP Assumptions'!H58,"0.00%")&amp;", no rate change"</f>
        <v>1.45%, no rate change</v>
      </c>
      <c r="W49" s="83">
        <f t="shared" si="27"/>
        <v>2.0833333333333332E-2</v>
      </c>
      <c r="X49" s="2">
        <f>ROUND((X43+X32)*LEFT(Y49,5),0)</f>
        <v>49</v>
      </c>
      <c r="Y49" s="81" t="str">
        <f>TEXT('MYP Assumptions'!I58,"0.00%")&amp;", no rate change"</f>
        <v>1.45%, no rate change</v>
      </c>
      <c r="AA49" s="83">
        <f t="shared" si="28"/>
        <v>2.0408163265306121E-2</v>
      </c>
      <c r="AB49" s="2">
        <f>ROUND((AB43+AB32)*LEFT(AC49,5),0)</f>
        <v>50</v>
      </c>
      <c r="AC49" s="81" t="str">
        <f>TEXT('MYP Assumptions'!J58,"0.00%")&amp;", no rate change"</f>
        <v>1.45%, no rate change</v>
      </c>
    </row>
    <row r="50" spans="1:29" x14ac:dyDescent="0.25">
      <c r="A50" s="152"/>
      <c r="B50" s="939" t="s">
        <v>87</v>
      </c>
      <c r="C50" s="857" t="s">
        <v>80</v>
      </c>
      <c r="D50" s="2">
        <v>0</v>
      </c>
      <c r="E50" s="854"/>
      <c r="F50" s="2"/>
      <c r="G50" s="83" t="str">
        <f t="shared" si="23"/>
        <v>0.00%</v>
      </c>
      <c r="H50" s="2"/>
      <c r="I50" s="854"/>
      <c r="J50" s="66"/>
      <c r="K50" s="83" t="str">
        <f t="shared" si="24"/>
        <v>0.00%</v>
      </c>
      <c r="L50" s="2">
        <f>ROUND((H50)*(LEFT(M50,5)+1),0)</f>
        <v>0</v>
      </c>
      <c r="M50" s="854" t="str">
        <f>TEXT('MYP Assumptions'!$M$65,"0.00%")&amp;", projected increase"</f>
        <v>7.00%, projected increase</v>
      </c>
      <c r="O50" s="83" t="str">
        <f t="shared" si="25"/>
        <v>0.00%</v>
      </c>
      <c r="P50" s="2">
        <f>ROUND((L50)*(LEFT(Q50,5)+1),0)</f>
        <v>0</v>
      </c>
      <c r="Q50" s="854" t="str">
        <f>TEXT('MYP Assumptions'!$M$65,"0.00%")&amp;", projected increase"</f>
        <v>7.00%, projected increase</v>
      </c>
      <c r="S50" s="83" t="str">
        <f t="shared" si="26"/>
        <v>0.00%</v>
      </c>
      <c r="T50" s="2">
        <f>ROUND((P50)*(LEFT(U50,5)+1),0)</f>
        <v>0</v>
      </c>
      <c r="U50" s="81" t="str">
        <f>TEXT('MYP Assumptions'!$M$65,"0.00%")&amp;", projected increase"</f>
        <v>7.00%, projected increase</v>
      </c>
      <c r="W50" s="83" t="str">
        <f t="shared" si="27"/>
        <v>0.00%</v>
      </c>
      <c r="X50" s="2">
        <f>ROUND((T50)*(LEFT(Y50,5)+1),0)</f>
        <v>0</v>
      </c>
      <c r="Y50" s="81" t="str">
        <f>TEXT('MYP Assumptions'!$M$65,"0.00%")&amp;", projected increase"</f>
        <v>7.00%, projected increase</v>
      </c>
      <c r="AA50" s="83" t="str">
        <f t="shared" si="28"/>
        <v>0.00%</v>
      </c>
      <c r="AB50" s="2">
        <f>ROUND((X50)*(LEFT(AC50,5)+1),0)</f>
        <v>0</v>
      </c>
      <c r="AC50" s="81" t="str">
        <f>TEXT('MYP Assumptions'!$M$65,"0.00%")&amp;", projected increase"</f>
        <v>7.00%, projected increase</v>
      </c>
    </row>
    <row r="51" spans="1:29" x14ac:dyDescent="0.25">
      <c r="A51" s="152"/>
      <c r="B51" s="939" t="s">
        <v>88</v>
      </c>
      <c r="C51" s="857" t="s">
        <v>81</v>
      </c>
      <c r="D51" s="2">
        <f>1.55+0.09</f>
        <v>1.6400000000000001</v>
      </c>
      <c r="E51" s="854" t="str">
        <f>TEXT('MYP Assumptions'!$D$59,"0.00%")&amp;", SUI rate"</f>
        <v>0.05%, SUI rate</v>
      </c>
      <c r="F51" s="2"/>
      <c r="G51" s="83">
        <f t="shared" si="23"/>
        <v>1.4390243902439022</v>
      </c>
      <c r="H51" s="2">
        <v>4</v>
      </c>
      <c r="I51" s="854" t="str">
        <f>TEXT('MYP Assumptions'!E59,"0.00%")&amp;", no rate change"</f>
        <v>0.05%, no rate change</v>
      </c>
      <c r="J51" s="66"/>
      <c r="K51" s="83">
        <f t="shared" si="24"/>
        <v>-0.5</v>
      </c>
      <c r="L51" s="2">
        <f>ROUND((L43+L32)*LEFT(M51,5),0)</f>
        <v>2</v>
      </c>
      <c r="M51" s="854" t="str">
        <f>TEXT('MYP Assumptions'!F59,"0.00%")&amp;", no rate change"</f>
        <v>0.05%, no rate change</v>
      </c>
      <c r="O51" s="83">
        <f t="shared" si="25"/>
        <v>0</v>
      </c>
      <c r="P51" s="2">
        <f>ROUND((P43+P32)*LEFT(Q51,5),0)</f>
        <v>2</v>
      </c>
      <c r="Q51" s="854" t="str">
        <f>TEXT('MYP Assumptions'!G59,"0.00%")&amp;", no rate change"</f>
        <v>0.05%, no rate change</v>
      </c>
      <c r="S51" s="83">
        <f t="shared" si="26"/>
        <v>0</v>
      </c>
      <c r="T51" s="2">
        <f>ROUND((T43+T32)*LEFT(U51,5),0)</f>
        <v>2</v>
      </c>
      <c r="U51" s="81" t="str">
        <f>TEXT('MYP Assumptions'!H59,"0.00%")&amp;", no rate change"</f>
        <v>0.05%, no rate change</v>
      </c>
      <c r="W51" s="83">
        <f t="shared" si="27"/>
        <v>0</v>
      </c>
      <c r="X51" s="2">
        <f>ROUND((X43+X32)*LEFT(Y51,5),0)</f>
        <v>2</v>
      </c>
      <c r="Y51" s="81" t="str">
        <f>TEXT('MYP Assumptions'!I59,"0.00%")&amp;", no rate change"</f>
        <v>0.05%, no rate change</v>
      </c>
      <c r="AA51" s="83">
        <f t="shared" si="28"/>
        <v>0</v>
      </c>
      <c r="AB51" s="2">
        <f>ROUND((AB43+AB32)*LEFT(AC51,5),0)</f>
        <v>2</v>
      </c>
      <c r="AC51" s="81" t="str">
        <f>TEXT('MYP Assumptions'!J59,"0.00%")&amp;", no rate change"</f>
        <v>0.05%, no rate change</v>
      </c>
    </row>
    <row r="52" spans="1:29" x14ac:dyDescent="0.25">
      <c r="A52" s="152"/>
      <c r="B52" s="939" t="s">
        <v>89</v>
      </c>
      <c r="C52" s="857" t="s">
        <v>82</v>
      </c>
      <c r="D52" s="2">
        <f>33.88+1.89</f>
        <v>35.770000000000003</v>
      </c>
      <c r="E52" s="854" t="str">
        <f>TEXT('MYP Assumptions'!$D$60,"0.00%")&amp;", W/C rate"</f>
        <v>1.10%, W/C rate</v>
      </c>
      <c r="F52" s="2"/>
      <c r="G52" s="83">
        <f t="shared" si="23"/>
        <v>1.6838132513279283</v>
      </c>
      <c r="H52" s="2">
        <f>92+4</f>
        <v>96</v>
      </c>
      <c r="I52" s="854" t="str">
        <f>TEXT('MYP Assumptions'!E60,"0.00%")&amp;", no rate change"</f>
        <v>0.80%, no rate change</v>
      </c>
      <c r="J52" s="66"/>
      <c r="K52" s="83">
        <f t="shared" si="24"/>
        <v>-0.72916666666666663</v>
      </c>
      <c r="L52" s="2">
        <f>ROUND((L43+L32)*LEFT(M52,5),0)</f>
        <v>26</v>
      </c>
      <c r="M52" s="854" t="str">
        <f>TEXT('MYP Assumptions'!F60,"0.00%")&amp;", no rate change"</f>
        <v>0.80%, no rate change</v>
      </c>
      <c r="O52" s="83">
        <f t="shared" si="25"/>
        <v>0</v>
      </c>
      <c r="P52" s="2">
        <f>ROUND((P43+P32)*LEFT(Q52,5),0)</f>
        <v>26</v>
      </c>
      <c r="Q52" s="854" t="str">
        <f>TEXT('MYP Assumptions'!G60,"0.00%")&amp;", no rate change"</f>
        <v>0.80%, no rate change</v>
      </c>
      <c r="S52" s="83">
        <f t="shared" si="26"/>
        <v>0</v>
      </c>
      <c r="T52" s="2">
        <f>ROUND((T43+T32)*LEFT(U52,5),0)</f>
        <v>26</v>
      </c>
      <c r="U52" s="81" t="str">
        <f>TEXT('MYP Assumptions'!H60,"0.00%")&amp;", no rate change"</f>
        <v>0.80%, no rate change</v>
      </c>
      <c r="W52" s="83">
        <f t="shared" si="27"/>
        <v>3.8461538461538464E-2</v>
      </c>
      <c r="X52" s="2">
        <f>ROUND((X43+X32)*LEFT(Y52,5),0)</f>
        <v>27</v>
      </c>
      <c r="Y52" s="81" t="str">
        <f>TEXT('MYP Assumptions'!I60,"0.00%")&amp;", no rate change"</f>
        <v>0.80%, no rate change</v>
      </c>
      <c r="AA52" s="83">
        <f t="shared" si="28"/>
        <v>3.7037037037037035E-2</v>
      </c>
      <c r="AB52" s="2">
        <f>ROUND((AB43+AB32)*LEFT(AC52,5),0)</f>
        <v>28</v>
      </c>
      <c r="AC52" s="81" t="str">
        <f>TEXT('MYP Assumptions'!J60,"0.00%")&amp;", no rate change"</f>
        <v>0.80%, no rate change</v>
      </c>
    </row>
    <row r="53" spans="1:29" x14ac:dyDescent="0.25">
      <c r="A53" s="152"/>
      <c r="B53" s="939" t="s">
        <v>91</v>
      </c>
      <c r="C53" s="857" t="s">
        <v>93</v>
      </c>
      <c r="D53" s="2">
        <v>0</v>
      </c>
      <c r="E53" s="863"/>
      <c r="F53" s="2"/>
      <c r="G53" s="83" t="str">
        <f t="shared" si="23"/>
        <v>0.00%</v>
      </c>
      <c r="H53" s="2">
        <f>D53</f>
        <v>0</v>
      </c>
      <c r="I53" s="854" t="s">
        <v>166</v>
      </c>
      <c r="J53" s="66"/>
      <c r="K53" s="83" t="str">
        <f t="shared" si="24"/>
        <v>0.00%</v>
      </c>
      <c r="L53" s="2">
        <f>H53</f>
        <v>0</v>
      </c>
      <c r="M53" s="854" t="s">
        <v>166</v>
      </c>
      <c r="O53" s="83" t="str">
        <f t="shared" si="25"/>
        <v>0.00%</v>
      </c>
      <c r="P53" s="2">
        <f>L53</f>
        <v>0</v>
      </c>
      <c r="Q53" s="854" t="s">
        <v>166</v>
      </c>
      <c r="S53" s="83" t="str">
        <f t="shared" si="26"/>
        <v>0.00%</v>
      </c>
      <c r="T53" s="2">
        <f>P53</f>
        <v>0</v>
      </c>
      <c r="U53" s="81" t="s">
        <v>166</v>
      </c>
      <c r="W53" s="83" t="str">
        <f t="shared" si="27"/>
        <v>0.00%</v>
      </c>
      <c r="X53" s="2">
        <f>T53</f>
        <v>0</v>
      </c>
      <c r="Y53" s="81" t="s">
        <v>166</v>
      </c>
      <c r="AA53" s="83" t="str">
        <f t="shared" si="28"/>
        <v>0.00%</v>
      </c>
      <c r="AB53" s="2">
        <f>X53</f>
        <v>0</v>
      </c>
      <c r="AC53" s="81" t="s">
        <v>166</v>
      </c>
    </row>
    <row r="54" spans="1:29" x14ac:dyDescent="0.25">
      <c r="A54" s="152"/>
      <c r="B54" s="939"/>
      <c r="D54" s="2">
        <v>0</v>
      </c>
      <c r="E54" s="863"/>
      <c r="F54" s="2"/>
      <c r="G54" s="83"/>
      <c r="H54" s="2"/>
      <c r="I54" s="854"/>
      <c r="J54" s="66"/>
      <c r="K54" s="83"/>
      <c r="L54" s="2"/>
      <c r="M54" s="854"/>
      <c r="O54" s="83"/>
      <c r="Q54" s="854"/>
      <c r="S54" s="83"/>
      <c r="T54" s="2"/>
      <c r="U54" s="81"/>
      <c r="W54" s="83"/>
      <c r="X54" s="2"/>
      <c r="Y54" s="81"/>
      <c r="AA54" s="83"/>
      <c r="AB54" s="2"/>
      <c r="AC54" s="81"/>
    </row>
    <row r="55" spans="1:29" x14ac:dyDescent="0.25">
      <c r="A55" s="153"/>
      <c r="B55" s="939"/>
      <c r="D55" s="8">
        <f>SUM(D46:D54)</f>
        <v>441</v>
      </c>
      <c r="E55" s="863"/>
      <c r="F55" s="2"/>
      <c r="G55" s="83">
        <f t="shared" si="23"/>
        <v>2.4331065759637189</v>
      </c>
      <c r="H55" s="8">
        <f>SUM(H46:H54)</f>
        <v>1514</v>
      </c>
      <c r="I55" s="1292">
        <f>+H55-D55</f>
        <v>1073</v>
      </c>
      <c r="J55" s="29"/>
      <c r="K55" s="83">
        <f t="shared" si="24"/>
        <v>-0.58388375165125495</v>
      </c>
      <c r="L55" s="8">
        <f>SUM(L46:L54)</f>
        <v>630</v>
      </c>
      <c r="M55" s="1292">
        <f>+L55-H55</f>
        <v>-884</v>
      </c>
      <c r="O55" s="83">
        <f t="shared" si="25"/>
        <v>0.10158730158730159</v>
      </c>
      <c r="P55" s="8">
        <f>SUM(P46:P54)</f>
        <v>694</v>
      </c>
      <c r="Q55" s="1292">
        <f>+P55-L55</f>
        <v>64</v>
      </c>
      <c r="S55" s="83">
        <f t="shared" si="26"/>
        <v>7.6368876080691636E-2</v>
      </c>
      <c r="T55" s="8">
        <f>SUM(T46:T54)</f>
        <v>747</v>
      </c>
      <c r="U55" s="73"/>
      <c r="W55" s="83">
        <f t="shared" si="27"/>
        <v>2.5435073627844713E-2</v>
      </c>
      <c r="X55" s="8">
        <f>SUM(X46:X54)</f>
        <v>766</v>
      </c>
      <c r="Y55" s="73"/>
      <c r="AA55" s="83">
        <f t="shared" si="28"/>
        <v>2.7415143603133161E-2</v>
      </c>
      <c r="AB55" s="8">
        <f>SUM(AB46:AB54)</f>
        <v>787</v>
      </c>
      <c r="AC55" s="73"/>
    </row>
    <row r="56" spans="1:29" x14ac:dyDescent="0.25">
      <c r="A56" s="154"/>
      <c r="B56" s="939"/>
      <c r="E56" s="863"/>
      <c r="F56" s="2"/>
      <c r="H56" s="2"/>
      <c r="I56" s="871"/>
      <c r="J56" s="66"/>
      <c r="L56" s="2"/>
      <c r="M56" s="948"/>
      <c r="Q56" s="948"/>
      <c r="T56" s="2"/>
      <c r="U56" s="73"/>
      <c r="X56" s="2"/>
      <c r="Y56" s="73"/>
      <c r="AB56" s="2"/>
      <c r="AC56" s="73"/>
    </row>
    <row r="57" spans="1:29" x14ac:dyDescent="0.25">
      <c r="A57" s="153"/>
      <c r="B57" s="936" t="s">
        <v>26</v>
      </c>
      <c r="D57" s="8">
        <f>SUM(D55,D43,D32)</f>
        <v>3273.02</v>
      </c>
      <c r="E57" s="863"/>
      <c r="F57" s="2"/>
      <c r="G57" s="83">
        <f>IF(D57=0,"0.00%",(H57-D57)/D57)</f>
        <v>0.45400883587634661</v>
      </c>
      <c r="H57" s="8">
        <f>SUM(H55,H43,H32)</f>
        <v>4759</v>
      </c>
      <c r="I57" s="1292">
        <f>+H57-D57</f>
        <v>1485.98</v>
      </c>
      <c r="J57" s="29"/>
      <c r="K57" s="83">
        <f>IF(H57=0,"0.00%",(L57-H57)/H57)</f>
        <v>-0.18575330951880648</v>
      </c>
      <c r="L57" s="8">
        <f>SUM(L55,L43,L32)</f>
        <v>3875</v>
      </c>
      <c r="M57" s="1292">
        <f>+L57-H57</f>
        <v>-884</v>
      </c>
      <c r="O57" s="83">
        <f>IF(L57=0,"0.00%",(P57-L57)/L57)</f>
        <v>1.6516129032258065E-2</v>
      </c>
      <c r="P57" s="8">
        <f>SUM(P55,P43,P32)</f>
        <v>3939</v>
      </c>
      <c r="Q57" s="1292">
        <f>+P57-L57</f>
        <v>64</v>
      </c>
      <c r="S57" s="83">
        <f>IF(P57=0,"0.00%",(T57-P57)/P57)</f>
        <v>2.9956841838029956E-2</v>
      </c>
      <c r="T57" s="8">
        <f>SUM(T55,T43,T32)</f>
        <v>4057</v>
      </c>
      <c r="U57" s="73"/>
      <c r="W57" s="83">
        <f>IF(T57=0,"0.00%",(X57-T57)/T57)</f>
        <v>2.0951441952181415E-2</v>
      </c>
      <c r="X57" s="8">
        <f>SUM(X55,X43,X32)</f>
        <v>4142</v>
      </c>
      <c r="Y57" s="73"/>
      <c r="AA57" s="83">
        <f>IF(X57=0,"0.00%",(AB57-X57)/X57)</f>
        <v>2.1245774987928536E-2</v>
      </c>
      <c r="AB57" s="8">
        <f>SUM(AB55,AB43,AB32)</f>
        <v>4230</v>
      </c>
      <c r="AC57" s="73"/>
    </row>
    <row r="58" spans="1:29" x14ac:dyDescent="0.25">
      <c r="A58" s="155"/>
      <c r="E58" s="863"/>
      <c r="F58" s="2"/>
      <c r="H58" s="2"/>
      <c r="I58" s="871"/>
      <c r="J58" s="66"/>
      <c r="L58" s="2"/>
      <c r="M58" s="948"/>
      <c r="Q58" s="948"/>
      <c r="T58" s="2"/>
      <c r="U58" s="73"/>
      <c r="X58" s="2"/>
      <c r="Y58" s="73"/>
      <c r="AB58" s="2"/>
      <c r="AC58" s="73"/>
    </row>
    <row r="59" spans="1:29" x14ac:dyDescent="0.25">
      <c r="A59" s="152"/>
      <c r="E59" s="863"/>
      <c r="F59" s="2"/>
      <c r="H59" s="2"/>
      <c r="I59" s="871"/>
      <c r="J59" s="66"/>
      <c r="L59" s="2"/>
      <c r="M59" s="948"/>
      <c r="Q59" s="948"/>
      <c r="T59" s="2"/>
      <c r="U59" s="73"/>
      <c r="X59" s="2"/>
      <c r="Y59" s="73"/>
      <c r="AB59" s="2"/>
      <c r="AC59" s="73"/>
    </row>
    <row r="60" spans="1:29" x14ac:dyDescent="0.25">
      <c r="A60" s="155"/>
      <c r="B60" s="940" t="s">
        <v>25</v>
      </c>
      <c r="C60" s="873"/>
      <c r="E60" s="863"/>
      <c r="F60" s="2"/>
      <c r="H60" s="2"/>
      <c r="I60" s="871"/>
      <c r="J60" s="66"/>
      <c r="L60" s="2"/>
      <c r="M60" s="948"/>
      <c r="Q60" s="948"/>
      <c r="T60" s="2"/>
      <c r="U60" s="73"/>
      <c r="X60" s="2"/>
      <c r="Y60" s="73"/>
      <c r="AB60" s="2"/>
      <c r="AC60" s="73"/>
    </row>
    <row r="61" spans="1:29" x14ac:dyDescent="0.25">
      <c r="A61" s="152"/>
      <c r="B61" s="939">
        <v>4310</v>
      </c>
      <c r="C61" s="857" t="s">
        <v>282</v>
      </c>
      <c r="D61" s="2">
        <v>23780.36</v>
      </c>
      <c r="E61" s="863"/>
      <c r="F61" s="2"/>
      <c r="G61" s="83">
        <f t="shared" ref="G61:G71" si="29">IF(D61=0,"0.00%",(H61-D61)/D61)</f>
        <v>-0.54290010748365458</v>
      </c>
      <c r="H61" s="2">
        <v>10870</v>
      </c>
      <c r="I61" s="854"/>
      <c r="J61" s="66"/>
      <c r="K61" s="83">
        <f t="shared" ref="K61:K71" si="30">IF(H61=0,"0.00%",(L61-H61)/H61)</f>
        <v>-0.54001839926402939</v>
      </c>
      <c r="L61" s="2">
        <v>5000</v>
      </c>
      <c r="M61" s="854"/>
      <c r="O61" s="83">
        <f t="shared" ref="O61:O71" si="31">IF(L61=0,"0.00%",(P61-L61)/L61)</f>
        <v>0</v>
      </c>
      <c r="P61" s="2">
        <f>+L61</f>
        <v>5000</v>
      </c>
      <c r="Q61" s="854"/>
      <c r="S61" s="83">
        <f t="shared" ref="S61:S71" si="32">IF(P61=0,"0.00%",(T61-P61)/P61)</f>
        <v>2.7400000000000001E-2</v>
      </c>
      <c r="T61" s="2">
        <f>ROUND(P61*(LEFT(U61,5)+1),0)</f>
        <v>5137</v>
      </c>
      <c r="U61" s="81" t="str">
        <f>TEXT('MYP Assumptions'!H75,"0.00%")&amp;", CPI"</f>
        <v>2.73%, CPI</v>
      </c>
      <c r="W61" s="83">
        <f t="shared" ref="W61:W71" si="33">IF(T61=0,"0.00%",(X61-T61)/T61)</f>
        <v>2.7253260657971578E-2</v>
      </c>
      <c r="X61" s="2">
        <f>ROUND(T61*(LEFT(Y61,5)+1),0)</f>
        <v>5277</v>
      </c>
      <c r="Y61" s="81" t="str">
        <f>TEXT('MYP Assumptions'!I75,"0.00%")&amp;", CPI"</f>
        <v>2.73%, CPI</v>
      </c>
      <c r="AA61" s="83">
        <f t="shared" ref="AA61:AA71" si="34">IF(X61=0,"0.00%",(AB61-X61)/X61)</f>
        <v>2.7288231949971573E-2</v>
      </c>
      <c r="AB61" s="2">
        <f>ROUND(X61*(LEFT(AC61,5)+1),0)</f>
        <v>5421</v>
      </c>
      <c r="AC61" s="81" t="str">
        <f>TEXT('MYP Assumptions'!J75,"0.00%")&amp;", CPI"</f>
        <v>2.73%, CPI</v>
      </c>
    </row>
    <row r="62" spans="1:29" hidden="1" x14ac:dyDescent="0.25">
      <c r="A62" s="152"/>
      <c r="B62" s="939"/>
      <c r="D62" s="2">
        <v>0</v>
      </c>
      <c r="E62" s="863"/>
      <c r="F62" s="2"/>
      <c r="G62" s="83" t="str">
        <f t="shared" si="29"/>
        <v>0.00%</v>
      </c>
      <c r="H62" s="2">
        <f t="shared" ref="H62:H70" si="35">ROUND(D62*(LEFT(I62,5)+1),0)</f>
        <v>0</v>
      </c>
      <c r="I62" s="854" t="str">
        <f>TEXT('MYP Assumptions'!E75,"0.00%")&amp;", CPI"</f>
        <v>3.42%, CPI</v>
      </c>
      <c r="J62" s="66"/>
      <c r="K62" s="83" t="str">
        <f t="shared" si="30"/>
        <v>0.00%</v>
      </c>
      <c r="L62" s="2">
        <f t="shared" ref="L62:L65" si="36">ROUND(H62*(LEFT(M62,5)+1),0)</f>
        <v>0</v>
      </c>
      <c r="M62" s="854" t="str">
        <f>TEXT('MYP Assumptions'!F75,"0.00%")&amp;", CPI"</f>
        <v>3.35%, CPI</v>
      </c>
      <c r="O62" s="83" t="str">
        <f t="shared" si="31"/>
        <v>0.00%</v>
      </c>
      <c r="P62" s="2">
        <f t="shared" ref="P62:P65" si="37">ROUND(L62*(LEFT(Q62,5)+1),0)</f>
        <v>0</v>
      </c>
      <c r="Q62" s="854" t="str">
        <f>TEXT('MYP Assumptions'!G75,"0.00%")&amp;", CPI"</f>
        <v>3.02%, CPI</v>
      </c>
      <c r="S62" s="83" t="str">
        <f t="shared" si="32"/>
        <v>0.00%</v>
      </c>
      <c r="T62" s="2">
        <f t="shared" ref="T62:T70" si="38">ROUND(P62*(LEFT(U62,5)+1),0)</f>
        <v>0</v>
      </c>
      <c r="U62" s="81" t="str">
        <f>TEXT('MYP Assumptions'!H75,"0.00%")&amp;", CPI"</f>
        <v>2.73%, CPI</v>
      </c>
      <c r="W62" s="83" t="str">
        <f t="shared" si="33"/>
        <v>0.00%</v>
      </c>
      <c r="X62" s="2">
        <f t="shared" ref="X62:X70" si="39">ROUND(T62*(LEFT(Y62,5)+1),0)</f>
        <v>0</v>
      </c>
      <c r="Y62" s="81" t="str">
        <f>TEXT('MYP Assumptions'!I75,"0.00%")&amp;", CPI"</f>
        <v>2.73%, CPI</v>
      </c>
      <c r="AA62" s="83" t="str">
        <f t="shared" si="34"/>
        <v>0.00%</v>
      </c>
      <c r="AB62" s="2">
        <f t="shared" ref="AB62:AB70" si="40">ROUND(X62*(LEFT(AC62,5)+1),0)</f>
        <v>0</v>
      </c>
      <c r="AC62" s="81" t="str">
        <f>TEXT('MYP Assumptions'!J75,"0.00%")&amp;", CPI"</f>
        <v>2.73%, CPI</v>
      </c>
    </row>
    <row r="63" spans="1:29" hidden="1" x14ac:dyDescent="0.25">
      <c r="A63" s="152"/>
      <c r="B63" s="939"/>
      <c r="D63" s="2">
        <v>0</v>
      </c>
      <c r="E63" s="863"/>
      <c r="F63" s="2"/>
      <c r="G63" s="83" t="str">
        <f t="shared" si="29"/>
        <v>0.00%</v>
      </c>
      <c r="H63" s="2">
        <f t="shared" si="35"/>
        <v>0</v>
      </c>
      <c r="I63" s="854" t="str">
        <f>TEXT('MYP Assumptions'!E75,"0.00%")&amp;", CPI"</f>
        <v>3.42%, CPI</v>
      </c>
      <c r="J63" s="66"/>
      <c r="K63" s="83" t="str">
        <f t="shared" si="30"/>
        <v>0.00%</v>
      </c>
      <c r="L63" s="2">
        <f t="shared" si="36"/>
        <v>0</v>
      </c>
      <c r="M63" s="854" t="str">
        <f>TEXT('MYP Assumptions'!F75,"0.00%")&amp;", CPI"</f>
        <v>3.35%, CPI</v>
      </c>
      <c r="O63" s="83" t="str">
        <f t="shared" si="31"/>
        <v>0.00%</v>
      </c>
      <c r="P63" s="2">
        <f t="shared" si="37"/>
        <v>0</v>
      </c>
      <c r="Q63" s="854" t="str">
        <f>TEXT('MYP Assumptions'!G75,"0.00%")&amp;", CPI"</f>
        <v>3.02%, CPI</v>
      </c>
      <c r="S63" s="83" t="str">
        <f t="shared" si="32"/>
        <v>0.00%</v>
      </c>
      <c r="T63" s="2">
        <f t="shared" si="38"/>
        <v>0</v>
      </c>
      <c r="U63" s="81" t="str">
        <f>TEXT('MYP Assumptions'!H75,"0.00%")&amp;", CPI"</f>
        <v>2.73%, CPI</v>
      </c>
      <c r="W63" s="83" t="str">
        <f t="shared" si="33"/>
        <v>0.00%</v>
      </c>
      <c r="X63" s="2">
        <f t="shared" si="39"/>
        <v>0</v>
      </c>
      <c r="Y63" s="81" t="str">
        <f>TEXT('MYP Assumptions'!I75,"0.00%")&amp;", CPI"</f>
        <v>2.73%, CPI</v>
      </c>
      <c r="AA63" s="83" t="str">
        <f t="shared" si="34"/>
        <v>0.00%</v>
      </c>
      <c r="AB63" s="2">
        <f t="shared" si="40"/>
        <v>0</v>
      </c>
      <c r="AC63" s="81" t="str">
        <f>TEXT('MYP Assumptions'!J75,"0.00%")&amp;", CPI"</f>
        <v>2.73%, CPI</v>
      </c>
    </row>
    <row r="64" spans="1:29" hidden="1" x14ac:dyDescent="0.25">
      <c r="A64" s="152"/>
      <c r="B64" s="939"/>
      <c r="D64" s="2">
        <v>0</v>
      </c>
      <c r="E64" s="863"/>
      <c r="F64" s="2"/>
      <c r="G64" s="83" t="str">
        <f t="shared" si="29"/>
        <v>0.00%</v>
      </c>
      <c r="H64" s="2">
        <f t="shared" si="35"/>
        <v>0</v>
      </c>
      <c r="I64" s="854" t="str">
        <f>TEXT('MYP Assumptions'!E75,"0.00%")&amp;", CPI"</f>
        <v>3.42%, CPI</v>
      </c>
      <c r="J64" s="66"/>
      <c r="K64" s="83" t="str">
        <f t="shared" si="30"/>
        <v>0.00%</v>
      </c>
      <c r="L64" s="2">
        <f t="shared" si="36"/>
        <v>0</v>
      </c>
      <c r="M64" s="854" t="str">
        <f>TEXT('MYP Assumptions'!F75,"0.00%")&amp;", CPI"</f>
        <v>3.35%, CPI</v>
      </c>
      <c r="O64" s="83" t="str">
        <f t="shared" si="31"/>
        <v>0.00%</v>
      </c>
      <c r="P64" s="2">
        <f t="shared" si="37"/>
        <v>0</v>
      </c>
      <c r="Q64" s="854" t="str">
        <f>TEXT('MYP Assumptions'!G75,"0.00%")&amp;", CPI"</f>
        <v>3.02%, CPI</v>
      </c>
      <c r="S64" s="83" t="str">
        <f t="shared" si="32"/>
        <v>0.00%</v>
      </c>
      <c r="T64" s="2">
        <f t="shared" si="38"/>
        <v>0</v>
      </c>
      <c r="U64" s="81" t="str">
        <f>TEXT('MYP Assumptions'!H75,"0.00%")&amp;", CPI"</f>
        <v>2.73%, CPI</v>
      </c>
      <c r="W64" s="83" t="str">
        <f t="shared" si="33"/>
        <v>0.00%</v>
      </c>
      <c r="X64" s="2">
        <f t="shared" si="39"/>
        <v>0</v>
      </c>
      <c r="Y64" s="81" t="str">
        <f>TEXT('MYP Assumptions'!I75,"0.00%")&amp;", CPI"</f>
        <v>2.73%, CPI</v>
      </c>
      <c r="AA64" s="83" t="str">
        <f t="shared" si="34"/>
        <v>0.00%</v>
      </c>
      <c r="AB64" s="2">
        <f t="shared" si="40"/>
        <v>0</v>
      </c>
      <c r="AC64" s="81" t="str">
        <f>TEXT('MYP Assumptions'!J75,"0.00%")&amp;", CPI"</f>
        <v>2.73%, CPI</v>
      </c>
    </row>
    <row r="65" spans="1:29" hidden="1" x14ac:dyDescent="0.25">
      <c r="A65" s="152"/>
      <c r="B65" s="939"/>
      <c r="D65" s="2">
        <v>0</v>
      </c>
      <c r="E65" s="863"/>
      <c r="F65" s="2"/>
      <c r="G65" s="83" t="str">
        <f t="shared" si="29"/>
        <v>0.00%</v>
      </c>
      <c r="H65" s="2">
        <f t="shared" si="35"/>
        <v>0</v>
      </c>
      <c r="I65" s="854" t="str">
        <f>TEXT('MYP Assumptions'!E75,"0.00%")&amp;", CPI"</f>
        <v>3.42%, CPI</v>
      </c>
      <c r="J65" s="66"/>
      <c r="K65" s="83" t="str">
        <f t="shared" si="30"/>
        <v>0.00%</v>
      </c>
      <c r="L65" s="2">
        <f t="shared" si="36"/>
        <v>0</v>
      </c>
      <c r="M65" s="854" t="str">
        <f>TEXT('MYP Assumptions'!F75,"0.00%")&amp;", CPI"</f>
        <v>3.35%, CPI</v>
      </c>
      <c r="O65" s="83" t="str">
        <f t="shared" si="31"/>
        <v>0.00%</v>
      </c>
      <c r="P65" s="2">
        <f t="shared" si="37"/>
        <v>0</v>
      </c>
      <c r="Q65" s="854" t="str">
        <f>TEXT('MYP Assumptions'!G75,"0.00%")&amp;", CPI"</f>
        <v>3.02%, CPI</v>
      </c>
      <c r="S65" s="83" t="str">
        <f t="shared" si="32"/>
        <v>0.00%</v>
      </c>
      <c r="T65" s="2">
        <f t="shared" si="38"/>
        <v>0</v>
      </c>
      <c r="U65" s="81" t="str">
        <f>TEXT('MYP Assumptions'!H75,"0.00%")&amp;", CPI"</f>
        <v>2.73%, CPI</v>
      </c>
      <c r="W65" s="83" t="str">
        <f t="shared" si="33"/>
        <v>0.00%</v>
      </c>
      <c r="X65" s="2">
        <f t="shared" si="39"/>
        <v>0</v>
      </c>
      <c r="Y65" s="81" t="str">
        <f>TEXT('MYP Assumptions'!I75,"0.00%")&amp;", CPI"</f>
        <v>2.73%, CPI</v>
      </c>
      <c r="AA65" s="83" t="str">
        <f t="shared" si="34"/>
        <v>0.00%</v>
      </c>
      <c r="AB65" s="2">
        <f t="shared" si="40"/>
        <v>0</v>
      </c>
      <c r="AC65" s="81" t="str">
        <f>TEXT('MYP Assumptions'!J75,"0.00%")&amp;", CPI"</f>
        <v>2.73%, CPI</v>
      </c>
    </row>
    <row r="66" spans="1:29" hidden="1" x14ac:dyDescent="0.25">
      <c r="A66" s="152"/>
      <c r="B66" s="939"/>
      <c r="D66" s="2">
        <v>0</v>
      </c>
      <c r="E66" s="863"/>
      <c r="F66" s="2"/>
      <c r="G66" s="83" t="str">
        <f t="shared" si="29"/>
        <v>0.00%</v>
      </c>
      <c r="H66" s="2">
        <f t="shared" si="35"/>
        <v>0</v>
      </c>
      <c r="I66" s="854" t="str">
        <f>TEXT('MYP Assumptions'!$E$75,"0.00%")&amp;", CPI"</f>
        <v>3.42%, CPI</v>
      </c>
      <c r="J66" s="66"/>
      <c r="K66" s="83" t="str">
        <f t="shared" si="30"/>
        <v>0.00%</v>
      </c>
      <c r="L66" s="2">
        <f>ROUND(H66*(LEFT(M66,5)+1),0)</f>
        <v>0</v>
      </c>
      <c r="M66" s="854" t="str">
        <f>TEXT('MYP Assumptions'!$F$75,"0.00%")&amp;", CPI"</f>
        <v>3.35%, CPI</v>
      </c>
      <c r="O66" s="83" t="str">
        <f t="shared" si="31"/>
        <v>0.00%</v>
      </c>
      <c r="P66" s="2">
        <f>ROUND(L66*(LEFT(Q66,5)+1),0)</f>
        <v>0</v>
      </c>
      <c r="Q66" s="854" t="str">
        <f>TEXT('MYP Assumptions'!$G$75,"0.00%")&amp;", CPI"</f>
        <v>3.02%, CPI</v>
      </c>
      <c r="S66" s="83" t="str">
        <f t="shared" si="32"/>
        <v>0.00%</v>
      </c>
      <c r="T66" s="2">
        <f t="shared" si="38"/>
        <v>0</v>
      </c>
      <c r="U66" s="81" t="str">
        <f>TEXT('MYP Assumptions'!H75,"0.00%")&amp;", CPI"</f>
        <v>2.73%, CPI</v>
      </c>
      <c r="W66" s="83" t="str">
        <f t="shared" si="33"/>
        <v>0.00%</v>
      </c>
      <c r="X66" s="2">
        <f t="shared" si="39"/>
        <v>0</v>
      </c>
      <c r="Y66" s="81" t="str">
        <f>TEXT('MYP Assumptions'!I75,"0.00%")&amp;", CPI"</f>
        <v>2.73%, CPI</v>
      </c>
      <c r="AA66" s="83" t="str">
        <f t="shared" si="34"/>
        <v>0.00%</v>
      </c>
      <c r="AB66" s="2">
        <f t="shared" si="40"/>
        <v>0</v>
      </c>
      <c r="AC66" s="81" t="str">
        <f>TEXT('MYP Assumptions'!J75,"0.00%")&amp;", CPI"</f>
        <v>2.73%, CPI</v>
      </c>
    </row>
    <row r="67" spans="1:29" hidden="1" x14ac:dyDescent="0.25">
      <c r="A67" s="152"/>
      <c r="B67" s="939"/>
      <c r="D67" s="2">
        <v>0</v>
      </c>
      <c r="E67" s="863"/>
      <c r="F67" s="2"/>
      <c r="G67" s="83" t="str">
        <f t="shared" si="29"/>
        <v>0.00%</v>
      </c>
      <c r="H67" s="2">
        <f t="shared" si="35"/>
        <v>0</v>
      </c>
      <c r="I67" s="854" t="str">
        <f>TEXT('MYP Assumptions'!$E$75,"0.00%")&amp;", CPI"</f>
        <v>3.42%, CPI</v>
      </c>
      <c r="J67" s="66"/>
      <c r="K67" s="83" t="str">
        <f t="shared" si="30"/>
        <v>0.00%</v>
      </c>
      <c r="L67" s="2">
        <f t="shared" ref="L67:L70" si="41">ROUND(H67*(LEFT(M67,5)+1),0)</f>
        <v>0</v>
      </c>
      <c r="M67" s="854" t="str">
        <f>TEXT('MYP Assumptions'!$F$75,"0.00%")&amp;", CPI"</f>
        <v>3.35%, CPI</v>
      </c>
      <c r="O67" s="83" t="str">
        <f t="shared" si="31"/>
        <v>0.00%</v>
      </c>
      <c r="P67" s="2">
        <f t="shared" ref="P67:P70" si="42">ROUND(L67*(LEFT(Q67,5)+1),0)</f>
        <v>0</v>
      </c>
      <c r="Q67" s="854" t="str">
        <f>TEXT('MYP Assumptions'!$G$75,"0.00%")&amp;", CPI"</f>
        <v>3.02%, CPI</v>
      </c>
      <c r="S67" s="83"/>
      <c r="T67" s="2"/>
      <c r="U67" s="81"/>
      <c r="W67" s="83"/>
      <c r="X67" s="2"/>
      <c r="Y67" s="81"/>
      <c r="AA67" s="83"/>
      <c r="AB67" s="2"/>
      <c r="AC67" s="81"/>
    </row>
    <row r="68" spans="1:29" hidden="1" x14ac:dyDescent="0.25">
      <c r="A68" s="152"/>
      <c r="B68" s="939"/>
      <c r="D68" s="2">
        <v>0</v>
      </c>
      <c r="E68" s="863"/>
      <c r="F68" s="2"/>
      <c r="G68" s="83" t="str">
        <f t="shared" si="29"/>
        <v>0.00%</v>
      </c>
      <c r="H68" s="2">
        <f t="shared" si="35"/>
        <v>0</v>
      </c>
      <c r="I68" s="854" t="str">
        <f>TEXT('MYP Assumptions'!$E$75,"0.00%")&amp;", CPI"</f>
        <v>3.42%, CPI</v>
      </c>
      <c r="J68" s="66"/>
      <c r="K68" s="83" t="str">
        <f t="shared" si="30"/>
        <v>0.00%</v>
      </c>
      <c r="L68" s="2">
        <f t="shared" si="41"/>
        <v>0</v>
      </c>
      <c r="M68" s="854" t="str">
        <f>TEXT('MYP Assumptions'!$F$75,"0.00%")&amp;", CPI"</f>
        <v>3.35%, CPI</v>
      </c>
      <c r="O68" s="83" t="str">
        <f t="shared" si="31"/>
        <v>0.00%</v>
      </c>
      <c r="P68" s="2">
        <f t="shared" si="42"/>
        <v>0</v>
      </c>
      <c r="Q68" s="854" t="str">
        <f>TEXT('MYP Assumptions'!$G$75,"0.00%")&amp;", CPI"</f>
        <v>3.02%, CPI</v>
      </c>
      <c r="S68" s="83"/>
      <c r="T68" s="2"/>
      <c r="U68" s="81"/>
      <c r="W68" s="83"/>
      <c r="X68" s="2"/>
      <c r="Y68" s="81"/>
      <c r="AA68" s="83"/>
      <c r="AB68" s="2"/>
      <c r="AC68" s="81"/>
    </row>
    <row r="69" spans="1:29" hidden="1" x14ac:dyDescent="0.25">
      <c r="A69" s="152"/>
      <c r="B69" s="939"/>
      <c r="E69" s="863"/>
      <c r="F69" s="2"/>
      <c r="G69" s="83" t="str">
        <f t="shared" si="29"/>
        <v>0.00%</v>
      </c>
      <c r="H69" s="2">
        <f t="shared" si="35"/>
        <v>0</v>
      </c>
      <c r="I69" s="854" t="str">
        <f>TEXT('MYP Assumptions'!$E$75,"0.00%")&amp;", CPI"</f>
        <v>3.42%, CPI</v>
      </c>
      <c r="J69" s="66"/>
      <c r="K69" s="83" t="str">
        <f t="shared" si="30"/>
        <v>0.00%</v>
      </c>
      <c r="L69" s="2">
        <f t="shared" si="41"/>
        <v>0</v>
      </c>
      <c r="M69" s="854" t="str">
        <f>TEXT('MYP Assumptions'!$F$75,"0.00%")&amp;", CPI"</f>
        <v>3.35%, CPI</v>
      </c>
      <c r="O69" s="83" t="str">
        <f t="shared" si="31"/>
        <v>0.00%</v>
      </c>
      <c r="P69" s="2">
        <f t="shared" si="42"/>
        <v>0</v>
      </c>
      <c r="Q69" s="854" t="str">
        <f>TEXT('MYP Assumptions'!$G$75,"0.00%")&amp;", CPI"</f>
        <v>3.02%, CPI</v>
      </c>
      <c r="S69" s="83"/>
      <c r="T69" s="2"/>
      <c r="U69" s="81"/>
      <c r="W69" s="83"/>
      <c r="X69" s="2"/>
      <c r="Y69" s="81"/>
      <c r="AA69" s="83"/>
      <c r="AB69" s="2"/>
      <c r="AC69" s="81"/>
    </row>
    <row r="70" spans="1:29" hidden="1" x14ac:dyDescent="0.25">
      <c r="A70" s="152"/>
      <c r="B70" s="939"/>
      <c r="E70" s="863"/>
      <c r="F70" s="2"/>
      <c r="G70" s="83" t="str">
        <f t="shared" si="29"/>
        <v>0.00%</v>
      </c>
      <c r="H70" s="2">
        <f t="shared" si="35"/>
        <v>0</v>
      </c>
      <c r="I70" s="854" t="str">
        <f>TEXT('MYP Assumptions'!$E$75,"0.00%")&amp;", CPI"</f>
        <v>3.42%, CPI</v>
      </c>
      <c r="J70" s="66"/>
      <c r="K70" s="83" t="str">
        <f t="shared" si="30"/>
        <v>0.00%</v>
      </c>
      <c r="L70" s="2">
        <f t="shared" si="41"/>
        <v>0</v>
      </c>
      <c r="M70" s="854" t="str">
        <f>TEXT('MYP Assumptions'!$F$75,"0.00%")&amp;", CPI"</f>
        <v>3.35%, CPI</v>
      </c>
      <c r="O70" s="83" t="str">
        <f t="shared" si="31"/>
        <v>0.00%</v>
      </c>
      <c r="P70" s="2">
        <f t="shared" si="42"/>
        <v>0</v>
      </c>
      <c r="Q70" s="854" t="str">
        <f>TEXT('MYP Assumptions'!$G$75,"0.00%")&amp;", CPI"</f>
        <v>3.02%, CPI</v>
      </c>
      <c r="S70" s="83" t="str">
        <f t="shared" si="32"/>
        <v>0.00%</v>
      </c>
      <c r="T70" s="2">
        <f t="shared" si="38"/>
        <v>0</v>
      </c>
      <c r="U70" s="81" t="str">
        <f>TEXT('MYP Assumptions'!H75,"0.00%")&amp;", CPI"</f>
        <v>2.73%, CPI</v>
      </c>
      <c r="W70" s="83" t="str">
        <f t="shared" si="33"/>
        <v>0.00%</v>
      </c>
      <c r="X70" s="2">
        <f t="shared" si="39"/>
        <v>0</v>
      </c>
      <c r="Y70" s="81" t="str">
        <f>TEXT('MYP Assumptions'!I75,"0.00%")&amp;", CPI"</f>
        <v>2.73%, CPI</v>
      </c>
      <c r="AA70" s="83" t="str">
        <f t="shared" si="34"/>
        <v>0.00%</v>
      </c>
      <c r="AB70" s="2">
        <f t="shared" si="40"/>
        <v>0</v>
      </c>
      <c r="AC70" s="81" t="str">
        <f>TEXT('MYP Assumptions'!J75,"0.00%")&amp;", CPI"</f>
        <v>2.73%, CPI</v>
      </c>
    </row>
    <row r="71" spans="1:29" x14ac:dyDescent="0.25">
      <c r="A71" s="153"/>
      <c r="B71" s="857"/>
      <c r="D71" s="8">
        <f>SUM(D61:D70)</f>
        <v>23780.36</v>
      </c>
      <c r="E71" s="863"/>
      <c r="F71" s="2"/>
      <c r="G71" s="83">
        <f t="shared" si="29"/>
        <v>-0.54290010748365458</v>
      </c>
      <c r="H71" s="8">
        <f>SUM(H61:H70)</f>
        <v>10870</v>
      </c>
      <c r="I71" s="1292">
        <f>+H71-D71</f>
        <v>-12910.36</v>
      </c>
      <c r="J71" s="29"/>
      <c r="K71" s="83">
        <f t="shared" si="30"/>
        <v>-0.54001839926402939</v>
      </c>
      <c r="L71" s="8">
        <f>SUM(L61:L70)</f>
        <v>5000</v>
      </c>
      <c r="M71" s="1292">
        <f>+L71-H71</f>
        <v>-5870</v>
      </c>
      <c r="O71" s="83">
        <f t="shared" si="31"/>
        <v>0</v>
      </c>
      <c r="P71" s="8">
        <f>SUM(P61:P70)</f>
        <v>5000</v>
      </c>
      <c r="Q71" s="1292">
        <f>+P71-L71</f>
        <v>0</v>
      </c>
      <c r="S71" s="83">
        <f t="shared" si="32"/>
        <v>2.7400000000000001E-2</v>
      </c>
      <c r="T71" s="8">
        <f>SUM(T61:T70)</f>
        <v>5137</v>
      </c>
      <c r="U71" s="73"/>
      <c r="W71" s="83">
        <f t="shared" si="33"/>
        <v>2.7253260657971578E-2</v>
      </c>
      <c r="X71" s="8">
        <f>SUM(X61:X70)</f>
        <v>5277</v>
      </c>
      <c r="Y71" s="73"/>
      <c r="AA71" s="83">
        <f t="shared" si="34"/>
        <v>2.7288231949971573E-2</v>
      </c>
      <c r="AB71" s="8">
        <f>SUM(AB61:AB70)</f>
        <v>5421</v>
      </c>
      <c r="AC71" s="73"/>
    </row>
    <row r="72" spans="1:29" x14ac:dyDescent="0.25">
      <c r="A72" s="152"/>
      <c r="E72" s="863"/>
      <c r="F72" s="2"/>
      <c r="H72" s="2"/>
      <c r="I72" s="871"/>
      <c r="J72" s="66"/>
      <c r="L72" s="2"/>
      <c r="M72" s="948"/>
      <c r="Q72" s="948"/>
      <c r="T72" s="2"/>
      <c r="U72" s="73"/>
      <c r="X72" s="2"/>
      <c r="Y72" s="73"/>
      <c r="AB72" s="2"/>
      <c r="AC72" s="73"/>
    </row>
    <row r="73" spans="1:29" s="4" customFormat="1" x14ac:dyDescent="0.25">
      <c r="A73" s="150"/>
      <c r="B73" s="936" t="s">
        <v>16</v>
      </c>
      <c r="C73" s="873"/>
      <c r="D73" s="6"/>
      <c r="E73" s="864"/>
      <c r="F73" s="6"/>
      <c r="G73" s="373"/>
      <c r="H73" s="6"/>
      <c r="I73" s="873"/>
      <c r="J73" s="58"/>
      <c r="K73" s="380"/>
      <c r="L73" s="6"/>
      <c r="M73" s="950"/>
      <c r="O73" s="380"/>
      <c r="P73" s="6"/>
      <c r="Q73" s="950"/>
      <c r="R73" s="111"/>
      <c r="U73" s="71"/>
      <c r="Y73" s="71"/>
      <c r="AC73" s="71"/>
    </row>
    <row r="74" spans="1:29" x14ac:dyDescent="0.25">
      <c r="A74" s="152"/>
      <c r="B74" s="939">
        <v>5213</v>
      </c>
      <c r="C74" s="857" t="s">
        <v>258</v>
      </c>
      <c r="D74" s="2">
        <v>877.44</v>
      </c>
      <c r="E74" s="863"/>
      <c r="F74" s="2"/>
      <c r="G74" s="83">
        <f t="shared" ref="G74:G79" si="43">IF(D74=0,"0.00%",(H74-D74)/D74)</f>
        <v>1.2793581327498176</v>
      </c>
      <c r="H74" s="2">
        <v>2000</v>
      </c>
      <c r="I74" s="854"/>
      <c r="J74" s="66"/>
      <c r="K74" s="83">
        <f t="shared" ref="K74:K87" si="44">IF(H74=0,"0.00%",(L74-H74)/H74)</f>
        <v>-0.5</v>
      </c>
      <c r="L74" s="2">
        <v>1000</v>
      </c>
      <c r="M74" s="854"/>
      <c r="O74" s="83">
        <f t="shared" ref="O74:O87" si="45">IF(L74=0,"0.00%",(P74-L74)/L74)</f>
        <v>0</v>
      </c>
      <c r="P74" s="2">
        <f>+L74</f>
        <v>1000</v>
      </c>
      <c r="Q74" s="854"/>
      <c r="S74" s="83">
        <f t="shared" ref="S74:S87" si="46">IF(P74=0,"0.00%",(T74-P74)/P74)</f>
        <v>2.7E-2</v>
      </c>
      <c r="T74" s="2">
        <f>ROUND(P74*(LEFT(U74,5)+1),0)</f>
        <v>1027</v>
      </c>
      <c r="U74" s="81" t="str">
        <f>TEXT('MYP Assumptions'!H75,"0.00%")&amp;", CPI"</f>
        <v>2.73%, CPI</v>
      </c>
      <c r="W74" s="83">
        <f t="shared" ref="W74:W87" si="47">IF(T74=0,"0.00%",(X74-T74)/T74)</f>
        <v>2.7263875365141188E-2</v>
      </c>
      <c r="X74" s="2">
        <f>ROUND(T74*(LEFT(Y74,5)+1),0)</f>
        <v>1055</v>
      </c>
      <c r="Y74" s="81" t="str">
        <f>TEXT('MYP Assumptions'!I75,"0.00%")&amp;", CPI"</f>
        <v>2.73%, CPI</v>
      </c>
      <c r="AA74" s="83">
        <f t="shared" ref="AA74:AA87" si="48">IF(X74=0,"0.00%",(AB74-X74)/X74)</f>
        <v>2.7488151658767772E-2</v>
      </c>
      <c r="AB74" s="2">
        <f>ROUND(X74*(LEFT(AC74,5)+1),0)</f>
        <v>1084</v>
      </c>
      <c r="AC74" s="81" t="str">
        <f>TEXT('MYP Assumptions'!J75,"0.00%")&amp;", CPI"</f>
        <v>2.73%, CPI</v>
      </c>
    </row>
    <row r="75" spans="1:29" hidden="1" x14ac:dyDescent="0.25">
      <c r="A75" s="152"/>
      <c r="B75" s="939"/>
      <c r="D75" s="2">
        <v>0</v>
      </c>
      <c r="E75" s="863"/>
      <c r="F75" s="2"/>
      <c r="G75" s="83" t="str">
        <f t="shared" si="43"/>
        <v>0.00%</v>
      </c>
      <c r="H75" s="2">
        <f>ROUND(D75*(LEFT(I75,5)+1),0)</f>
        <v>0</v>
      </c>
      <c r="I75" s="854" t="str">
        <f>TEXT('MYP Assumptions'!E75,"0.00%")&amp;", CPI"</f>
        <v>3.42%, CPI</v>
      </c>
      <c r="J75" s="66"/>
      <c r="K75" s="83" t="str">
        <f t="shared" si="44"/>
        <v>0.00%</v>
      </c>
      <c r="L75" s="2">
        <f t="shared" ref="L75:L86" si="49">ROUND(H75*(LEFT(M75,5)+1),0)</f>
        <v>0</v>
      </c>
      <c r="M75" s="854" t="str">
        <f>TEXT('MYP Assumptions'!F75,"0.00%")&amp;", CPI"</f>
        <v>3.35%, CPI</v>
      </c>
      <c r="O75" s="83" t="str">
        <f t="shared" si="45"/>
        <v>0.00%</v>
      </c>
      <c r="P75" s="2">
        <f t="shared" ref="P75:P86" si="50">ROUND(L75*(LEFT(Q75,5)+1),0)</f>
        <v>0</v>
      </c>
      <c r="Q75" s="854" t="str">
        <f>TEXT('MYP Assumptions'!G75,"0.00%")&amp;", CPI"</f>
        <v>3.02%, CPI</v>
      </c>
      <c r="S75" s="83" t="str">
        <f t="shared" si="46"/>
        <v>0.00%</v>
      </c>
      <c r="T75" s="2">
        <f t="shared" ref="T75:T86" si="51">ROUND(P75*(LEFT(U75,5)+1),0)</f>
        <v>0</v>
      </c>
      <c r="U75" s="81" t="str">
        <f>TEXT('MYP Assumptions'!H75,"0.00%")&amp;", CPI"</f>
        <v>2.73%, CPI</v>
      </c>
      <c r="W75" s="83" t="str">
        <f t="shared" si="47"/>
        <v>0.00%</v>
      </c>
      <c r="X75" s="2">
        <f t="shared" ref="X75:X86" si="52">ROUND(T75*(LEFT(Y75,5)+1),0)</f>
        <v>0</v>
      </c>
      <c r="Y75" s="81" t="str">
        <f>TEXT('MYP Assumptions'!I75,"0.00%")&amp;", CPI"</f>
        <v>2.73%, CPI</v>
      </c>
      <c r="AA75" s="83" t="str">
        <f t="shared" si="48"/>
        <v>0.00%</v>
      </c>
      <c r="AB75" s="2">
        <f t="shared" ref="AB75:AB86" si="53">ROUND(X75*(LEFT(AC75,5)+1),0)</f>
        <v>0</v>
      </c>
      <c r="AC75" s="81" t="str">
        <f>TEXT('MYP Assumptions'!J75,"0.00%")&amp;", CPI"</f>
        <v>2.73%, CPI</v>
      </c>
    </row>
    <row r="76" spans="1:29" hidden="1" x14ac:dyDescent="0.25">
      <c r="A76" s="152"/>
      <c r="B76" s="939"/>
      <c r="D76" s="2">
        <v>0</v>
      </c>
      <c r="E76" s="863"/>
      <c r="F76" s="2"/>
      <c r="G76" s="83" t="str">
        <f t="shared" si="43"/>
        <v>0.00%</v>
      </c>
      <c r="H76" s="2">
        <f t="shared" ref="H76:H81" si="54">ROUND(D76*(LEFT(I76,5)+1),0)</f>
        <v>0</v>
      </c>
      <c r="I76" s="854" t="str">
        <f>TEXT('MYP Assumptions'!E75,"0.00%")&amp;", CPI"</f>
        <v>3.42%, CPI</v>
      </c>
      <c r="J76" s="66"/>
      <c r="K76" s="83" t="str">
        <f t="shared" si="44"/>
        <v>0.00%</v>
      </c>
      <c r="L76" s="2">
        <f t="shared" si="49"/>
        <v>0</v>
      </c>
      <c r="M76" s="854" t="str">
        <f>TEXT('MYP Assumptions'!F75,"0.00%")&amp;", CPI"</f>
        <v>3.35%, CPI</v>
      </c>
      <c r="O76" s="83" t="str">
        <f t="shared" si="45"/>
        <v>0.00%</v>
      </c>
      <c r="P76" s="2">
        <f t="shared" si="50"/>
        <v>0</v>
      </c>
      <c r="Q76" s="854" t="str">
        <f>TEXT('MYP Assumptions'!G75,"0.00%")&amp;", CPI"</f>
        <v>3.02%, CPI</v>
      </c>
      <c r="S76" s="83" t="str">
        <f t="shared" si="46"/>
        <v>0.00%</v>
      </c>
      <c r="T76" s="2">
        <f t="shared" si="51"/>
        <v>0</v>
      </c>
      <c r="U76" s="81" t="str">
        <f>TEXT('MYP Assumptions'!H75,"0.00%")&amp;", CPI"</f>
        <v>2.73%, CPI</v>
      </c>
      <c r="W76" s="83" t="str">
        <f t="shared" si="47"/>
        <v>0.00%</v>
      </c>
      <c r="X76" s="2">
        <f t="shared" si="52"/>
        <v>0</v>
      </c>
      <c r="Y76" s="81" t="str">
        <f>TEXT('MYP Assumptions'!I75,"0.00%")&amp;", CPI"</f>
        <v>2.73%, CPI</v>
      </c>
      <c r="AA76" s="83" t="str">
        <f t="shared" si="48"/>
        <v>0.00%</v>
      </c>
      <c r="AB76" s="2">
        <f t="shared" si="53"/>
        <v>0</v>
      </c>
      <c r="AC76" s="81" t="str">
        <f>TEXT('MYP Assumptions'!J75,"0.00%")&amp;", CPI"</f>
        <v>2.73%, CPI</v>
      </c>
    </row>
    <row r="77" spans="1:29" hidden="1" x14ac:dyDescent="0.25">
      <c r="A77" s="152"/>
      <c r="B77" s="939"/>
      <c r="D77" s="2">
        <v>0</v>
      </c>
      <c r="E77" s="863"/>
      <c r="F77" s="2"/>
      <c r="G77" s="83" t="str">
        <f t="shared" si="43"/>
        <v>0.00%</v>
      </c>
      <c r="H77" s="2">
        <f t="shared" si="54"/>
        <v>0</v>
      </c>
      <c r="I77" s="854" t="str">
        <f>TEXT('MYP Assumptions'!E75,"0.00%")&amp;", CPI"</f>
        <v>3.42%, CPI</v>
      </c>
      <c r="J77" s="66"/>
      <c r="K77" s="83" t="str">
        <f t="shared" si="44"/>
        <v>0.00%</v>
      </c>
      <c r="L77" s="2">
        <f t="shared" si="49"/>
        <v>0</v>
      </c>
      <c r="M77" s="854" t="str">
        <f>TEXT('MYP Assumptions'!F75,"0.00%")&amp;", CPI"</f>
        <v>3.35%, CPI</v>
      </c>
      <c r="O77" s="83" t="str">
        <f t="shared" si="45"/>
        <v>0.00%</v>
      </c>
      <c r="P77" s="2">
        <f t="shared" si="50"/>
        <v>0</v>
      </c>
      <c r="Q77" s="854" t="str">
        <f>TEXT('MYP Assumptions'!G75,"0.00%")&amp;", CPI"</f>
        <v>3.02%, CPI</v>
      </c>
      <c r="S77" s="83" t="str">
        <f t="shared" si="46"/>
        <v>0.00%</v>
      </c>
      <c r="T77" s="2">
        <f t="shared" si="51"/>
        <v>0</v>
      </c>
      <c r="U77" s="81" t="str">
        <f>TEXT('MYP Assumptions'!H75,"0.00%")&amp;", CPI"</f>
        <v>2.73%, CPI</v>
      </c>
      <c r="W77" s="83" t="str">
        <f t="shared" si="47"/>
        <v>0.00%</v>
      </c>
      <c r="X77" s="2">
        <f t="shared" si="52"/>
        <v>0</v>
      </c>
      <c r="Y77" s="81" t="str">
        <f>TEXT('MYP Assumptions'!I75,"0.00%")&amp;", CPI"</f>
        <v>2.73%, CPI</v>
      </c>
      <c r="AA77" s="83" t="str">
        <f t="shared" si="48"/>
        <v>0.00%</v>
      </c>
      <c r="AB77" s="2">
        <f t="shared" si="53"/>
        <v>0</v>
      </c>
      <c r="AC77" s="81" t="str">
        <f>TEXT('MYP Assumptions'!J75,"0.00%")&amp;", CPI"</f>
        <v>2.73%, CPI</v>
      </c>
    </row>
    <row r="78" spans="1:29" hidden="1" x14ac:dyDescent="0.25">
      <c r="A78" s="152"/>
      <c r="B78" s="939"/>
      <c r="D78" s="2">
        <v>0</v>
      </c>
      <c r="E78" s="863"/>
      <c r="F78" s="2"/>
      <c r="G78" s="83" t="str">
        <f t="shared" si="43"/>
        <v>0.00%</v>
      </c>
      <c r="H78" s="2">
        <f t="shared" si="54"/>
        <v>0</v>
      </c>
      <c r="I78" s="854" t="str">
        <f>TEXT('MYP Assumptions'!E75,"0.00%")&amp;", CPI"</f>
        <v>3.42%, CPI</v>
      </c>
      <c r="J78" s="66"/>
      <c r="K78" s="83" t="str">
        <f t="shared" si="44"/>
        <v>0.00%</v>
      </c>
      <c r="L78" s="2">
        <f t="shared" si="49"/>
        <v>0</v>
      </c>
      <c r="M78" s="854" t="str">
        <f>TEXT('MYP Assumptions'!F75,"0.00%")&amp;", CPI"</f>
        <v>3.35%, CPI</v>
      </c>
      <c r="O78" s="83" t="str">
        <f t="shared" si="45"/>
        <v>0.00%</v>
      </c>
      <c r="P78" s="2">
        <f t="shared" si="50"/>
        <v>0</v>
      </c>
      <c r="Q78" s="854" t="str">
        <f>TEXT('MYP Assumptions'!G75,"0.00%")&amp;", CPI"</f>
        <v>3.02%, CPI</v>
      </c>
      <c r="S78" s="83" t="str">
        <f t="shared" si="46"/>
        <v>0.00%</v>
      </c>
      <c r="T78" s="2">
        <f t="shared" si="51"/>
        <v>0</v>
      </c>
      <c r="U78" s="81" t="str">
        <f>TEXT('MYP Assumptions'!H75,"0.00%")&amp;", CPI"</f>
        <v>2.73%, CPI</v>
      </c>
      <c r="W78" s="83" t="str">
        <f t="shared" si="47"/>
        <v>0.00%</v>
      </c>
      <c r="X78" s="2">
        <f t="shared" si="52"/>
        <v>0</v>
      </c>
      <c r="Y78" s="81" t="str">
        <f>TEXT('MYP Assumptions'!I75,"0.00%")&amp;", CPI"</f>
        <v>2.73%, CPI</v>
      </c>
      <c r="AA78" s="83" t="str">
        <f t="shared" si="48"/>
        <v>0.00%</v>
      </c>
      <c r="AB78" s="2">
        <f t="shared" si="53"/>
        <v>0</v>
      </c>
      <c r="AC78" s="81" t="str">
        <f>TEXT('MYP Assumptions'!J75,"0.00%")&amp;", CPI"</f>
        <v>2.73%, CPI</v>
      </c>
    </row>
    <row r="79" spans="1:29" hidden="1" x14ac:dyDescent="0.25">
      <c r="A79" s="152"/>
      <c r="B79" s="939"/>
      <c r="D79" s="2">
        <v>0</v>
      </c>
      <c r="E79" s="863"/>
      <c r="F79" s="2"/>
      <c r="G79" s="83" t="str">
        <f t="shared" si="43"/>
        <v>0.00%</v>
      </c>
      <c r="H79" s="2">
        <f t="shared" si="54"/>
        <v>0</v>
      </c>
      <c r="I79" s="854" t="str">
        <f>TEXT('MYP Assumptions'!E75,"0.00%")&amp;", CPI"</f>
        <v>3.42%, CPI</v>
      </c>
      <c r="J79" s="66"/>
      <c r="K79" s="83" t="str">
        <f t="shared" si="44"/>
        <v>0.00%</v>
      </c>
      <c r="L79" s="2">
        <f t="shared" si="49"/>
        <v>0</v>
      </c>
      <c r="M79" s="854" t="str">
        <f>TEXT('MYP Assumptions'!F75,"0.00%")&amp;", CPI"</f>
        <v>3.35%, CPI</v>
      </c>
      <c r="O79" s="83" t="str">
        <f t="shared" si="45"/>
        <v>0.00%</v>
      </c>
      <c r="P79" s="2">
        <f t="shared" si="50"/>
        <v>0</v>
      </c>
      <c r="Q79" s="854" t="str">
        <f>TEXT('MYP Assumptions'!G75,"0.00%")&amp;", CPI"</f>
        <v>3.02%, CPI</v>
      </c>
      <c r="S79" s="83" t="str">
        <f t="shared" si="46"/>
        <v>0.00%</v>
      </c>
      <c r="T79" s="2">
        <f t="shared" si="51"/>
        <v>0</v>
      </c>
      <c r="U79" s="81" t="str">
        <f>TEXT('MYP Assumptions'!H75,"0.00%")&amp;", CPI"</f>
        <v>2.73%, CPI</v>
      </c>
      <c r="W79" s="83" t="str">
        <f t="shared" si="47"/>
        <v>0.00%</v>
      </c>
      <c r="X79" s="2">
        <f t="shared" si="52"/>
        <v>0</v>
      </c>
      <c r="Y79" s="81" t="str">
        <f>TEXT('MYP Assumptions'!I75,"0.00%")&amp;", CPI"</f>
        <v>2.73%, CPI</v>
      </c>
      <c r="AA79" s="83" t="str">
        <f t="shared" si="48"/>
        <v>0.00%</v>
      </c>
      <c r="AB79" s="2">
        <f t="shared" si="53"/>
        <v>0</v>
      </c>
      <c r="AC79" s="81" t="str">
        <f>TEXT('MYP Assumptions'!J75,"0.00%")&amp;", CPI"</f>
        <v>2.73%, CPI</v>
      </c>
    </row>
    <row r="80" spans="1:29" hidden="1" x14ac:dyDescent="0.25">
      <c r="A80" s="152"/>
      <c r="B80" s="939"/>
      <c r="D80" s="2">
        <v>0</v>
      </c>
      <c r="E80" s="863"/>
      <c r="F80" s="2"/>
      <c r="G80" s="83" t="str">
        <f>IF(D80=0,"0.00%",(H80-D80)/D80)</f>
        <v>0.00%</v>
      </c>
      <c r="H80" s="2">
        <f t="shared" si="54"/>
        <v>0</v>
      </c>
      <c r="I80" s="854" t="str">
        <f>TEXT('MYP Assumptions'!E75,"0.00%")&amp;", CPI"</f>
        <v>3.42%, CPI</v>
      </c>
      <c r="J80" s="66"/>
      <c r="K80" s="83" t="str">
        <f t="shared" si="44"/>
        <v>0.00%</v>
      </c>
      <c r="L80" s="2">
        <f t="shared" si="49"/>
        <v>0</v>
      </c>
      <c r="M80" s="854" t="str">
        <f>TEXT('MYP Assumptions'!F75,"0.00%")&amp;", CPI"</f>
        <v>3.35%, CPI</v>
      </c>
      <c r="O80" s="83" t="str">
        <f t="shared" si="45"/>
        <v>0.00%</v>
      </c>
      <c r="P80" s="2">
        <f t="shared" si="50"/>
        <v>0</v>
      </c>
      <c r="Q80" s="854" t="str">
        <f>TEXT('MYP Assumptions'!G75,"0.00%")&amp;", CPI"</f>
        <v>3.02%, CPI</v>
      </c>
      <c r="S80" s="83" t="str">
        <f t="shared" si="46"/>
        <v>0.00%</v>
      </c>
      <c r="T80" s="2">
        <f t="shared" si="51"/>
        <v>0</v>
      </c>
      <c r="U80" s="81" t="str">
        <f>TEXT('MYP Assumptions'!H75,"0.00%")&amp;", CPI"</f>
        <v>2.73%, CPI</v>
      </c>
      <c r="W80" s="83" t="str">
        <f t="shared" si="47"/>
        <v>0.00%</v>
      </c>
      <c r="X80" s="2">
        <f t="shared" si="52"/>
        <v>0</v>
      </c>
      <c r="Y80" s="81" t="str">
        <f>TEXT('MYP Assumptions'!I75,"0.00%")&amp;", CPI"</f>
        <v>2.73%, CPI</v>
      </c>
      <c r="AA80" s="83" t="str">
        <f t="shared" si="48"/>
        <v>0.00%</v>
      </c>
      <c r="AB80" s="2">
        <f t="shared" si="53"/>
        <v>0</v>
      </c>
      <c r="AC80" s="81" t="str">
        <f>TEXT('MYP Assumptions'!J75,"0.00%")&amp;", CPI"</f>
        <v>2.73%, CPI</v>
      </c>
    </row>
    <row r="81" spans="1:29" hidden="1" x14ac:dyDescent="0.25">
      <c r="A81" s="152"/>
      <c r="B81" s="939"/>
      <c r="D81" s="2">
        <v>0</v>
      </c>
      <c r="E81" s="863"/>
      <c r="F81" s="2"/>
      <c r="G81" s="83" t="str">
        <f t="shared" ref="G81:G87" si="55">IF(D81=0,"0.00%",(H81-D81)/D81)</f>
        <v>0.00%</v>
      </c>
      <c r="H81" s="2">
        <f t="shared" si="54"/>
        <v>0</v>
      </c>
      <c r="I81" s="854" t="str">
        <f>TEXT('MYP Assumptions'!E75,"0.00%")&amp;", CPI"</f>
        <v>3.42%, CPI</v>
      </c>
      <c r="J81" s="66"/>
      <c r="K81" s="83" t="str">
        <f t="shared" si="44"/>
        <v>0.00%</v>
      </c>
      <c r="L81" s="2">
        <f t="shared" si="49"/>
        <v>0</v>
      </c>
      <c r="M81" s="854" t="str">
        <f>TEXT('MYP Assumptions'!F75,"0.00%")&amp;", CPI"</f>
        <v>3.35%, CPI</v>
      </c>
      <c r="O81" s="83" t="str">
        <f t="shared" si="45"/>
        <v>0.00%</v>
      </c>
      <c r="P81" s="2">
        <f t="shared" si="50"/>
        <v>0</v>
      </c>
      <c r="Q81" s="854" t="str">
        <f>TEXT('MYP Assumptions'!G75,"0.00%")&amp;", CPI"</f>
        <v>3.02%, CPI</v>
      </c>
      <c r="S81" s="83" t="str">
        <f t="shared" si="46"/>
        <v>0.00%</v>
      </c>
      <c r="T81" s="2">
        <f t="shared" si="51"/>
        <v>0</v>
      </c>
      <c r="U81" s="81" t="str">
        <f>TEXT('MYP Assumptions'!H75,"0.00%")&amp;", CPI"</f>
        <v>2.73%, CPI</v>
      </c>
      <c r="W81" s="83" t="str">
        <f t="shared" si="47"/>
        <v>0.00%</v>
      </c>
      <c r="X81" s="2">
        <f t="shared" si="52"/>
        <v>0</v>
      </c>
      <c r="Y81" s="81" t="str">
        <f>TEXT('MYP Assumptions'!I75,"0.00%")&amp;", CPI"</f>
        <v>2.73%, CPI</v>
      </c>
      <c r="AA81" s="83" t="str">
        <f t="shared" si="48"/>
        <v>0.00%</v>
      </c>
      <c r="AB81" s="2">
        <f t="shared" si="53"/>
        <v>0</v>
      </c>
      <c r="AC81" s="81" t="str">
        <f>TEXT('MYP Assumptions'!J75,"0.00%")&amp;", CPI"</f>
        <v>2.73%, CPI</v>
      </c>
    </row>
    <row r="82" spans="1:29" hidden="1" x14ac:dyDescent="0.25">
      <c r="A82" s="152"/>
      <c r="B82" s="939"/>
      <c r="D82" s="2">
        <v>0</v>
      </c>
      <c r="E82" s="863"/>
      <c r="F82" s="2"/>
      <c r="G82" s="83" t="str">
        <f t="shared" si="55"/>
        <v>0.00%</v>
      </c>
      <c r="H82" s="2">
        <f>ROUND(D82*(LEFT(I82,5)+1),0)</f>
        <v>0</v>
      </c>
      <c r="I82" s="854" t="str">
        <f>TEXT('MYP Assumptions'!E75,"0.00%")&amp;", CPI"</f>
        <v>3.42%, CPI</v>
      </c>
      <c r="J82" s="66"/>
      <c r="K82" s="83" t="str">
        <f t="shared" si="44"/>
        <v>0.00%</v>
      </c>
      <c r="L82" s="2">
        <f t="shared" si="49"/>
        <v>0</v>
      </c>
      <c r="M82" s="854" t="str">
        <f>TEXT('MYP Assumptions'!F75,"0.00%")&amp;", CPI"</f>
        <v>3.35%, CPI</v>
      </c>
      <c r="O82" s="83" t="str">
        <f t="shared" si="45"/>
        <v>0.00%</v>
      </c>
      <c r="P82" s="2">
        <f t="shared" si="50"/>
        <v>0</v>
      </c>
      <c r="Q82" s="854" t="str">
        <f>TEXT('MYP Assumptions'!G75,"0.00%")&amp;", CPI"</f>
        <v>3.02%, CPI</v>
      </c>
      <c r="S82" s="83" t="str">
        <f t="shared" si="46"/>
        <v>0.00%</v>
      </c>
      <c r="T82" s="2">
        <f t="shared" si="51"/>
        <v>0</v>
      </c>
      <c r="U82" s="81" t="str">
        <f>TEXT('MYP Assumptions'!H75,"0.00%")&amp;", CPI"</f>
        <v>2.73%, CPI</v>
      </c>
      <c r="W82" s="83" t="str">
        <f t="shared" si="47"/>
        <v>0.00%</v>
      </c>
      <c r="X82" s="2">
        <f t="shared" si="52"/>
        <v>0</v>
      </c>
      <c r="Y82" s="81" t="str">
        <f>TEXT('MYP Assumptions'!I75,"0.00%")&amp;", CPI"</f>
        <v>2.73%, CPI</v>
      </c>
      <c r="AA82" s="83" t="str">
        <f t="shared" si="48"/>
        <v>0.00%</v>
      </c>
      <c r="AB82" s="2">
        <f t="shared" si="53"/>
        <v>0</v>
      </c>
      <c r="AC82" s="81" t="str">
        <f>TEXT('MYP Assumptions'!J75,"0.00%")&amp;", CPI"</f>
        <v>2.73%, CPI</v>
      </c>
    </row>
    <row r="83" spans="1:29" hidden="1" x14ac:dyDescent="0.25">
      <c r="A83" s="152"/>
      <c r="B83" s="939"/>
      <c r="D83" s="2">
        <v>0</v>
      </c>
      <c r="E83" s="863"/>
      <c r="F83" s="2"/>
      <c r="G83" s="83" t="str">
        <f t="shared" si="55"/>
        <v>0.00%</v>
      </c>
      <c r="H83" s="2">
        <f>ROUND(D83*(LEFT(I83,5)+1),0)</f>
        <v>0</v>
      </c>
      <c r="I83" s="854" t="str">
        <f>TEXT('MYP Assumptions'!E75,"0.00%")&amp;", CPI"</f>
        <v>3.42%, CPI</v>
      </c>
      <c r="J83" s="66"/>
      <c r="K83" s="83" t="str">
        <f t="shared" si="44"/>
        <v>0.00%</v>
      </c>
      <c r="L83" s="2">
        <f t="shared" si="49"/>
        <v>0</v>
      </c>
      <c r="M83" s="854" t="str">
        <f>TEXT('MYP Assumptions'!F75,"0.00%")&amp;", CPI"</f>
        <v>3.35%, CPI</v>
      </c>
      <c r="O83" s="83" t="str">
        <f t="shared" si="45"/>
        <v>0.00%</v>
      </c>
      <c r="P83" s="2">
        <f t="shared" si="50"/>
        <v>0</v>
      </c>
      <c r="Q83" s="854" t="str">
        <f>TEXT('MYP Assumptions'!G75,"0.00%")&amp;", CPI"</f>
        <v>3.02%, CPI</v>
      </c>
      <c r="S83" s="83" t="str">
        <f t="shared" si="46"/>
        <v>0.00%</v>
      </c>
      <c r="T83" s="2">
        <f t="shared" si="51"/>
        <v>0</v>
      </c>
      <c r="U83" s="81" t="str">
        <f>TEXT('MYP Assumptions'!H75,"0.00%")&amp;", CPI"</f>
        <v>2.73%, CPI</v>
      </c>
      <c r="W83" s="83" t="str">
        <f t="shared" si="47"/>
        <v>0.00%</v>
      </c>
      <c r="X83" s="2">
        <f t="shared" si="52"/>
        <v>0</v>
      </c>
      <c r="Y83" s="81" t="str">
        <f>TEXT('MYP Assumptions'!I75,"0.00%")&amp;", CPI"</f>
        <v>2.73%, CPI</v>
      </c>
      <c r="AA83" s="83" t="str">
        <f t="shared" si="48"/>
        <v>0.00%</v>
      </c>
      <c r="AB83" s="2">
        <f t="shared" si="53"/>
        <v>0</v>
      </c>
      <c r="AC83" s="81" t="str">
        <f>TEXT('MYP Assumptions'!J75,"0.00%")&amp;", CPI"</f>
        <v>2.73%, CPI</v>
      </c>
    </row>
    <row r="84" spans="1:29" hidden="1" x14ac:dyDescent="0.25">
      <c r="A84" s="152"/>
      <c r="B84" s="939"/>
      <c r="D84" s="2">
        <v>0</v>
      </c>
      <c r="E84" s="863"/>
      <c r="F84" s="2"/>
      <c r="G84" s="83" t="str">
        <f t="shared" si="55"/>
        <v>0.00%</v>
      </c>
      <c r="H84" s="2">
        <f>ROUND(D84*(LEFT(I84,5)+1),0)</f>
        <v>0</v>
      </c>
      <c r="I84" s="854" t="str">
        <f>TEXT('MYP Assumptions'!E75,"0.00%")&amp;", CPI"</f>
        <v>3.42%, CPI</v>
      </c>
      <c r="J84" s="66"/>
      <c r="K84" s="83" t="str">
        <f t="shared" si="44"/>
        <v>0.00%</v>
      </c>
      <c r="L84" s="2">
        <f t="shared" si="49"/>
        <v>0</v>
      </c>
      <c r="M84" s="854" t="str">
        <f>TEXT('MYP Assumptions'!F75,"0.00%")&amp;", CPI"</f>
        <v>3.35%, CPI</v>
      </c>
      <c r="O84" s="83" t="str">
        <f t="shared" si="45"/>
        <v>0.00%</v>
      </c>
      <c r="P84" s="2">
        <f t="shared" si="50"/>
        <v>0</v>
      </c>
      <c r="Q84" s="854" t="str">
        <f>TEXT('MYP Assumptions'!G75,"0.00%")&amp;", CPI"</f>
        <v>3.02%, CPI</v>
      </c>
      <c r="S84" s="83" t="str">
        <f t="shared" si="46"/>
        <v>0.00%</v>
      </c>
      <c r="T84" s="2">
        <f t="shared" si="51"/>
        <v>0</v>
      </c>
      <c r="U84" s="81" t="str">
        <f>TEXT('MYP Assumptions'!H75,"0.00%")&amp;", CPI"</f>
        <v>2.73%, CPI</v>
      </c>
      <c r="W84" s="83" t="str">
        <f t="shared" si="47"/>
        <v>0.00%</v>
      </c>
      <c r="X84" s="2">
        <f t="shared" si="52"/>
        <v>0</v>
      </c>
      <c r="Y84" s="81" t="str">
        <f>TEXT('MYP Assumptions'!I75,"0.00%")&amp;", CPI"</f>
        <v>2.73%, CPI</v>
      </c>
      <c r="AA84" s="83" t="str">
        <f t="shared" si="48"/>
        <v>0.00%</v>
      </c>
      <c r="AB84" s="2">
        <f t="shared" si="53"/>
        <v>0</v>
      </c>
      <c r="AC84" s="81" t="str">
        <f>TEXT('MYP Assumptions'!J75,"0.00%")&amp;", CPI"</f>
        <v>2.73%, CPI</v>
      </c>
    </row>
    <row r="85" spans="1:29" hidden="1" x14ac:dyDescent="0.25">
      <c r="A85" s="152"/>
      <c r="B85" s="939"/>
      <c r="D85" s="2">
        <v>0</v>
      </c>
      <c r="E85" s="863"/>
      <c r="F85" s="2"/>
      <c r="G85" s="83" t="str">
        <f t="shared" si="55"/>
        <v>0.00%</v>
      </c>
      <c r="H85" s="2">
        <f>ROUND(D85*(LEFT(I85,5)+1),0)</f>
        <v>0</v>
      </c>
      <c r="I85" s="854" t="str">
        <f>TEXT('MYP Assumptions'!E75,"0.00%")&amp;", CPI"</f>
        <v>3.42%, CPI</v>
      </c>
      <c r="J85" s="66"/>
      <c r="K85" s="83" t="str">
        <f t="shared" si="44"/>
        <v>0.00%</v>
      </c>
      <c r="L85" s="2">
        <f t="shared" si="49"/>
        <v>0</v>
      </c>
      <c r="M85" s="854" t="str">
        <f>TEXT('MYP Assumptions'!F75,"0.00%")&amp;", CPI"</f>
        <v>3.35%, CPI</v>
      </c>
      <c r="O85" s="83" t="str">
        <f t="shared" si="45"/>
        <v>0.00%</v>
      </c>
      <c r="P85" s="2">
        <f t="shared" si="50"/>
        <v>0</v>
      </c>
      <c r="Q85" s="854" t="str">
        <f>TEXT('MYP Assumptions'!G75,"0.00%")&amp;", CPI"</f>
        <v>3.02%, CPI</v>
      </c>
      <c r="S85" s="83" t="str">
        <f t="shared" si="46"/>
        <v>0.00%</v>
      </c>
      <c r="T85" s="2">
        <f t="shared" si="51"/>
        <v>0</v>
      </c>
      <c r="U85" s="81" t="str">
        <f>TEXT('MYP Assumptions'!H75,"0.00%")&amp;", CPI"</f>
        <v>2.73%, CPI</v>
      </c>
      <c r="W85" s="83" t="str">
        <f t="shared" si="47"/>
        <v>0.00%</v>
      </c>
      <c r="X85" s="2">
        <f t="shared" si="52"/>
        <v>0</v>
      </c>
      <c r="Y85" s="81" t="str">
        <f>TEXT('MYP Assumptions'!I75,"0.00%")&amp;", CPI"</f>
        <v>2.73%, CPI</v>
      </c>
      <c r="AA85" s="83" t="str">
        <f t="shared" si="48"/>
        <v>0.00%</v>
      </c>
      <c r="AB85" s="2">
        <f t="shared" si="53"/>
        <v>0</v>
      </c>
      <c r="AC85" s="81" t="str">
        <f>TEXT('MYP Assumptions'!J75,"0.00%")&amp;", CPI"</f>
        <v>2.73%, CPI</v>
      </c>
    </row>
    <row r="86" spans="1:29" hidden="1" x14ac:dyDescent="0.25">
      <c r="A86" s="152"/>
      <c r="B86" s="939"/>
      <c r="D86" s="2">
        <f>'RS 3010-ALL'!AF80</f>
        <v>0</v>
      </c>
      <c r="E86" s="863"/>
      <c r="F86" s="2"/>
      <c r="G86" s="83" t="str">
        <f t="shared" si="55"/>
        <v>0.00%</v>
      </c>
      <c r="H86" s="2">
        <f>ROUND(D86*(LEFT(I86,5)+1),0)</f>
        <v>0</v>
      </c>
      <c r="I86" s="854" t="str">
        <f>TEXT('MYP Assumptions'!E75,"0.00%")&amp;", CPI"</f>
        <v>3.42%, CPI</v>
      </c>
      <c r="J86" s="66"/>
      <c r="K86" s="83" t="str">
        <f t="shared" si="44"/>
        <v>0.00%</v>
      </c>
      <c r="L86" s="2">
        <f t="shared" si="49"/>
        <v>0</v>
      </c>
      <c r="M86" s="854" t="str">
        <f>TEXT('MYP Assumptions'!F75,"0.00%")&amp;", CPI"</f>
        <v>3.35%, CPI</v>
      </c>
      <c r="O86" s="83" t="str">
        <f t="shared" si="45"/>
        <v>0.00%</v>
      </c>
      <c r="P86" s="2">
        <f t="shared" si="50"/>
        <v>0</v>
      </c>
      <c r="Q86" s="854" t="str">
        <f>TEXT('MYP Assumptions'!G75,"0.00%")&amp;", CPI"</f>
        <v>3.02%, CPI</v>
      </c>
      <c r="S86" s="83" t="str">
        <f t="shared" si="46"/>
        <v>0.00%</v>
      </c>
      <c r="T86" s="2">
        <f t="shared" si="51"/>
        <v>0</v>
      </c>
      <c r="U86" s="81" t="str">
        <f>TEXT('MYP Assumptions'!H75,"0.00%")&amp;", CPI"</f>
        <v>2.73%, CPI</v>
      </c>
      <c r="W86" s="83" t="str">
        <f t="shared" si="47"/>
        <v>0.00%</v>
      </c>
      <c r="X86" s="2">
        <f t="shared" si="52"/>
        <v>0</v>
      </c>
      <c r="Y86" s="81" t="str">
        <f>TEXT('MYP Assumptions'!I75,"0.00%")&amp;", CPI"</f>
        <v>2.73%, CPI</v>
      </c>
      <c r="AA86" s="83" t="str">
        <f t="shared" si="48"/>
        <v>0.00%</v>
      </c>
      <c r="AB86" s="2">
        <f t="shared" si="53"/>
        <v>0</v>
      </c>
      <c r="AC86" s="81" t="str">
        <f>TEXT('MYP Assumptions'!J75,"0.00%")&amp;", CPI"</f>
        <v>2.73%, CPI</v>
      </c>
    </row>
    <row r="87" spans="1:29" x14ac:dyDescent="0.25">
      <c r="A87" s="153"/>
      <c r="D87" s="8">
        <f>SUM(D74:D86)</f>
        <v>877.44</v>
      </c>
      <c r="E87" s="863"/>
      <c r="F87" s="2"/>
      <c r="G87" s="83">
        <f t="shared" si="55"/>
        <v>1.2793581327498176</v>
      </c>
      <c r="H87" s="8">
        <f>SUM(H74:H86)</f>
        <v>2000</v>
      </c>
      <c r="I87" s="1292">
        <f>+H87-D87</f>
        <v>1122.56</v>
      </c>
      <c r="J87" s="29"/>
      <c r="K87" s="83">
        <f t="shared" si="44"/>
        <v>-0.5</v>
      </c>
      <c r="L87" s="8">
        <f>SUM(L74:L86)</f>
        <v>1000</v>
      </c>
      <c r="M87" s="1292">
        <f>+L87-H87</f>
        <v>-1000</v>
      </c>
      <c r="O87" s="83">
        <f t="shared" si="45"/>
        <v>0</v>
      </c>
      <c r="P87" s="8">
        <f>SUM(P74:P86)</f>
        <v>1000</v>
      </c>
      <c r="Q87" s="1292">
        <f>+P87-L87</f>
        <v>0</v>
      </c>
      <c r="S87" s="83">
        <f t="shared" si="46"/>
        <v>2.7E-2</v>
      </c>
      <c r="T87" s="8">
        <f>SUM(T74:T86)</f>
        <v>1027</v>
      </c>
      <c r="U87" s="73"/>
      <c r="W87" s="83">
        <f t="shared" si="47"/>
        <v>2.7263875365141188E-2</v>
      </c>
      <c r="X87" s="8">
        <f>SUM(X74:X86)</f>
        <v>1055</v>
      </c>
      <c r="Y87" s="73"/>
      <c r="AA87" s="83">
        <f t="shared" si="48"/>
        <v>2.7488151658767772E-2</v>
      </c>
      <c r="AB87" s="8">
        <f>SUM(AB74:AB86)</f>
        <v>1084</v>
      </c>
      <c r="AC87" s="73"/>
    </row>
    <row r="88" spans="1:29" x14ac:dyDescent="0.25">
      <c r="A88" s="152"/>
      <c r="B88" s="936"/>
      <c r="E88" s="863"/>
      <c r="F88" s="2"/>
      <c r="G88" s="83"/>
      <c r="H88" s="2"/>
      <c r="I88" s="871"/>
      <c r="J88" s="66"/>
      <c r="L88" s="2"/>
      <c r="M88" s="948"/>
      <c r="Q88" s="948"/>
      <c r="T88" s="2"/>
      <c r="U88" s="73"/>
      <c r="X88" s="2"/>
      <c r="Y88" s="73"/>
      <c r="AB88" s="2"/>
      <c r="AC88" s="73"/>
    </row>
    <row r="89" spans="1:29" x14ac:dyDescent="0.25">
      <c r="A89" s="152"/>
      <c r="E89" s="863"/>
      <c r="F89" s="2"/>
      <c r="H89" s="2"/>
      <c r="I89" s="871"/>
      <c r="J89" s="66"/>
      <c r="L89" s="2"/>
      <c r="M89" s="948"/>
      <c r="Q89" s="948"/>
      <c r="T89" s="2"/>
      <c r="U89" s="73"/>
      <c r="X89" s="2"/>
      <c r="Y89" s="73"/>
      <c r="AB89" s="2"/>
      <c r="AC89" s="73"/>
    </row>
    <row r="90" spans="1:29" x14ac:dyDescent="0.25">
      <c r="A90" s="153"/>
      <c r="B90" s="936" t="s">
        <v>0</v>
      </c>
      <c r="D90" s="8">
        <f>SUM(D87,D71,D57,D13)</f>
        <v>27930.82</v>
      </c>
      <c r="E90" s="863"/>
      <c r="F90" s="2"/>
      <c r="G90" s="83">
        <f>IF(D90=0,"0.00%",(H90-D90)/D90)</f>
        <v>-0.36883342486901566</v>
      </c>
      <c r="H90" s="8">
        <f>SUM(H87,H71,H57,H13)</f>
        <v>17629</v>
      </c>
      <c r="I90" s="1292">
        <f>+H90-D90</f>
        <v>-10301.82</v>
      </c>
      <c r="J90" s="29"/>
      <c r="K90" s="83">
        <f>IF(H90=0,"0.00%",(L90-H90)/H90)</f>
        <v>-0.43984343978671508</v>
      </c>
      <c r="L90" s="8">
        <f>SUM(L87,L71,L57,L13)</f>
        <v>9875</v>
      </c>
      <c r="M90" s="1292">
        <f>+L90-H90</f>
        <v>-7754</v>
      </c>
      <c r="O90" s="83">
        <f>IF(L90=0,"0.00%",(P90-L90)/L90)</f>
        <v>6.4810126582278485E-3</v>
      </c>
      <c r="P90" s="8">
        <f>SUM(P87,P71,P57,P13)</f>
        <v>9939</v>
      </c>
      <c r="Q90" s="1292">
        <f>+P90-L90</f>
        <v>64</v>
      </c>
      <c r="S90" s="83">
        <f>IF(P90=0,"0.00%",(T90-P90)/P90)</f>
        <v>2.8373075762149109E-2</v>
      </c>
      <c r="T90" s="8">
        <f>SUM(T87,T71,T57,T13)</f>
        <v>10221</v>
      </c>
      <c r="U90" s="73"/>
      <c r="W90" s="83">
        <f>IF(T90=0,"0.00%",(X90-T90)/T90)</f>
        <v>2.4752959592994814E-2</v>
      </c>
      <c r="X90" s="8">
        <f>SUM(X87,X71,X57,X13)</f>
        <v>10474</v>
      </c>
      <c r="Y90" s="73"/>
      <c r="AA90" s="83">
        <f>IF(X90=0,"0.00%",(AB90-X90)/X90)</f>
        <v>2.491884666793966E-2</v>
      </c>
      <c r="AB90" s="8">
        <f>SUM(AB87,AB71,AB57,AB13)</f>
        <v>10735</v>
      </c>
      <c r="AC90" s="73"/>
    </row>
    <row r="91" spans="1:29" x14ac:dyDescent="0.25">
      <c r="A91" s="152"/>
      <c r="E91" s="863"/>
      <c r="F91" s="2"/>
      <c r="H91" s="2"/>
      <c r="I91" s="871"/>
      <c r="J91" s="66"/>
      <c r="L91" s="2"/>
      <c r="M91" s="948"/>
      <c r="Q91" s="948"/>
      <c r="T91" s="2"/>
      <c r="U91" s="73"/>
      <c r="X91" s="2"/>
      <c r="Y91" s="73"/>
      <c r="AB91" s="2"/>
      <c r="AC91" s="73"/>
    </row>
    <row r="92" spans="1:29" x14ac:dyDescent="0.25">
      <c r="A92" s="152"/>
      <c r="B92" s="936" t="s">
        <v>138</v>
      </c>
      <c r="D92" s="3">
        <f>D11-D90</f>
        <v>-12360.74</v>
      </c>
      <c r="G92" s="83">
        <f>IF(D92=0,"0.00%",(H92-D92)/D92)</f>
        <v>-0.97087553010580274</v>
      </c>
      <c r="H92" s="3">
        <f>H11-H90</f>
        <v>-360</v>
      </c>
      <c r="I92" s="871"/>
      <c r="J92" s="66"/>
      <c r="K92" s="83">
        <f>IF(H92=0,"0.00%",(L92-H92)/H92)</f>
        <v>-21.538888888888888</v>
      </c>
      <c r="L92" s="3">
        <f>L11-L90</f>
        <v>7394</v>
      </c>
      <c r="M92" s="948"/>
      <c r="O92" s="83">
        <f>IF(L92=0,"0.00%",(P92-L92)/L92)</f>
        <v>-8.655666756829862E-3</v>
      </c>
      <c r="P92" s="3">
        <f>P11-P90</f>
        <v>7330</v>
      </c>
      <c r="Q92" s="948"/>
      <c r="S92" s="83">
        <f>IF(P92=0,"0.00%",(T92-P92)/P92)</f>
        <v>-2.394406548431105</v>
      </c>
      <c r="T92" s="3">
        <f>T11-T90</f>
        <v>-10221</v>
      </c>
      <c r="U92" s="73"/>
      <c r="W92" s="83">
        <f>IF(T92=0,"0.00%",(X92-T92)/T92)</f>
        <v>2.4752959592994814E-2</v>
      </c>
      <c r="X92" s="3">
        <f>X11-X90</f>
        <v>-10474</v>
      </c>
      <c r="Y92" s="73"/>
      <c r="AA92" s="83">
        <f>IF(X92=0,"0.00%",(AB92-X92)/X92)</f>
        <v>2.491884666793966E-2</v>
      </c>
      <c r="AB92" s="3">
        <f>AB11-AB90</f>
        <v>-10735</v>
      </c>
      <c r="AC92" s="73"/>
    </row>
    <row r="93" spans="1:29" x14ac:dyDescent="0.25">
      <c r="B93" s="936"/>
      <c r="C93" s="930"/>
      <c r="D93" s="3"/>
      <c r="H93" s="3"/>
      <c r="I93" s="871"/>
      <c r="J93" s="66"/>
      <c r="L93" s="3"/>
      <c r="M93" s="948"/>
      <c r="P93" s="3"/>
      <c r="Q93" s="948"/>
      <c r="T93" s="44"/>
      <c r="U93" s="73"/>
      <c r="X93" s="44"/>
      <c r="Y93" s="73"/>
      <c r="AB93" s="44"/>
      <c r="AC93" s="73"/>
    </row>
    <row r="94" spans="1:29" x14ac:dyDescent="0.25">
      <c r="B94" s="936" t="s">
        <v>136</v>
      </c>
      <c r="C94" s="932"/>
      <c r="D94" s="3">
        <f>D7+D92</f>
        <v>0</v>
      </c>
      <c r="G94" s="83" t="str">
        <f>IF(D94=0,"0.00%",(H94-D94)/D94)</f>
        <v>0.00%</v>
      </c>
      <c r="H94" s="3">
        <f>H7+H92</f>
        <v>-360</v>
      </c>
      <c r="I94" s="1292">
        <f>+H94-D94</f>
        <v>-360</v>
      </c>
      <c r="J94" s="66"/>
      <c r="K94" s="83">
        <f>IF(H94=0,"0.00%",(L94-H94)/H94)</f>
        <v>-20.538888888888888</v>
      </c>
      <c r="L94" s="3">
        <f>L7+L92</f>
        <v>7034</v>
      </c>
      <c r="M94" s="1292">
        <f>+L94-H94</f>
        <v>7394</v>
      </c>
      <c r="O94" s="83">
        <f>IF(L94=0,"0.00%",(P94-L94)/L94)</f>
        <v>1.0420813193062268</v>
      </c>
      <c r="P94" s="3">
        <f>P7+P92</f>
        <v>14364</v>
      </c>
      <c r="Q94" s="1292">
        <f>+P94-L94</f>
        <v>7330</v>
      </c>
      <c r="S94" s="83">
        <f>IF(P94=0,"0.00%",(T94-P94)/P94)</f>
        <v>-0.71157059314954052</v>
      </c>
      <c r="T94" s="49">
        <f>T7+T92</f>
        <v>4143</v>
      </c>
      <c r="U94" s="73"/>
      <c r="W94" s="83">
        <f>IF(T94=0,"0.00%",(X94-T94)/T94)</f>
        <v>-2.5281197200096548</v>
      </c>
      <c r="X94" s="49">
        <f>X7+X92</f>
        <v>-6331</v>
      </c>
      <c r="Y94" s="73"/>
      <c r="AA94" s="83">
        <f>IF(X94=0,"0.00%",(AB94-X94)/X94)</f>
        <v>1.6956247038382561</v>
      </c>
      <c r="AB94" s="49">
        <f>AB7+AB92</f>
        <v>-17066</v>
      </c>
      <c r="AC94" s="73"/>
    </row>
    <row r="95" spans="1:29" x14ac:dyDescent="0.25">
      <c r="C95" s="873"/>
      <c r="G95" s="374"/>
      <c r="H95" s="5"/>
      <c r="I95" s="1894" t="s">
        <v>988</v>
      </c>
      <c r="J95" s="29"/>
      <c r="L95" s="5"/>
      <c r="M95" s="948"/>
      <c r="P95" s="5"/>
      <c r="Q95" s="948"/>
      <c r="T95" s="5"/>
      <c r="U95" s="73"/>
      <c r="X95" s="5"/>
      <c r="Y95" s="73"/>
      <c r="AB95" s="5"/>
      <c r="AC95" s="73"/>
    </row>
    <row r="96" spans="1:29" x14ac:dyDescent="0.25">
      <c r="C96" s="868"/>
      <c r="G96" s="374"/>
      <c r="H96" s="36"/>
      <c r="I96" s="871"/>
      <c r="J96" s="66"/>
      <c r="L96" s="2"/>
      <c r="M96" s="948"/>
      <c r="Q96" s="948"/>
      <c r="T96" s="2"/>
      <c r="U96" s="73"/>
      <c r="X96" s="2"/>
      <c r="Y96" s="73"/>
      <c r="AB96" s="2"/>
      <c r="AC96" s="73"/>
    </row>
    <row r="97" spans="1:29" x14ac:dyDescent="0.25">
      <c r="C97" s="868"/>
      <c r="G97" s="374"/>
      <c r="H97" s="36"/>
      <c r="I97" s="871"/>
      <c r="J97" s="66"/>
      <c r="L97" s="2"/>
      <c r="M97" s="948"/>
      <c r="Q97" s="948"/>
      <c r="T97" s="2"/>
      <c r="U97" s="73"/>
      <c r="X97" s="2"/>
      <c r="Y97" s="73"/>
      <c r="AB97" s="2"/>
      <c r="AC97" s="73"/>
    </row>
    <row r="98" spans="1:29" x14ac:dyDescent="0.25">
      <c r="C98" s="868"/>
      <c r="G98" s="374"/>
      <c r="H98" s="36"/>
      <c r="I98" s="871"/>
      <c r="J98" s="66"/>
      <c r="L98" s="2"/>
      <c r="M98" s="948"/>
      <c r="Q98" s="948"/>
      <c r="T98" s="2"/>
      <c r="U98" s="73"/>
      <c r="X98" s="2"/>
      <c r="Y98" s="73"/>
      <c r="AB98" s="2"/>
      <c r="AC98" s="73"/>
    </row>
    <row r="99" spans="1:29" x14ac:dyDescent="0.25">
      <c r="C99" s="868"/>
      <c r="G99" s="374"/>
      <c r="H99" s="36"/>
      <c r="I99" s="871"/>
      <c r="J99" s="66"/>
      <c r="L99" s="2"/>
      <c r="M99" s="948"/>
      <c r="Q99" s="948"/>
      <c r="T99" s="2"/>
      <c r="U99" s="73"/>
      <c r="X99" s="2"/>
      <c r="Y99" s="73"/>
      <c r="AB99" s="2"/>
      <c r="AC99" s="73"/>
    </row>
    <row r="100" spans="1:29" s="137" customFormat="1" ht="11.25" x14ac:dyDescent="0.2">
      <c r="A100" s="156"/>
      <c r="B100" s="942"/>
      <c r="C100" s="943" t="s">
        <v>223</v>
      </c>
      <c r="D100" s="134">
        <f>+D87+D71+D55+D43+D32</f>
        <v>27930.82</v>
      </c>
      <c r="E100" s="865"/>
      <c r="G100" s="133" t="s">
        <v>223</v>
      </c>
      <c r="H100" s="134">
        <f>+H87+H71+H55+H43+H32</f>
        <v>17629</v>
      </c>
      <c r="I100" s="874"/>
      <c r="J100" s="135"/>
      <c r="K100" s="133" t="s">
        <v>223</v>
      </c>
      <c r="L100" s="134">
        <f>+L87+L71+L55+L43+L32</f>
        <v>9875</v>
      </c>
      <c r="M100" s="951"/>
      <c r="O100" s="133" t="s">
        <v>223</v>
      </c>
      <c r="P100" s="134">
        <f>+P87+P71+P55+P43+P32</f>
        <v>9939</v>
      </c>
      <c r="Q100" s="951"/>
      <c r="R100" s="139"/>
      <c r="S100" s="133" t="s">
        <v>223</v>
      </c>
      <c r="T100" s="134">
        <f>+T87+T71+T55+T43+T32</f>
        <v>10221</v>
      </c>
      <c r="U100" s="138"/>
      <c r="W100" s="133" t="s">
        <v>223</v>
      </c>
      <c r="X100" s="134">
        <f>+X87+X71+X55+X43+X32</f>
        <v>10474</v>
      </c>
      <c r="Y100" s="138"/>
      <c r="AA100" s="133" t="s">
        <v>223</v>
      </c>
      <c r="AB100" s="134">
        <f>+AB87+AB71+AB55+AB43+AB32</f>
        <v>10735</v>
      </c>
      <c r="AC100" s="138"/>
    </row>
    <row r="101" spans="1:29" s="137" customFormat="1" ht="11.25" x14ac:dyDescent="0.2">
      <c r="A101" s="158"/>
      <c r="B101" s="942"/>
      <c r="C101" s="944" t="s">
        <v>224</v>
      </c>
      <c r="D101" s="142">
        <f>+D13</f>
        <v>0</v>
      </c>
      <c r="E101" s="866"/>
      <c r="F101" s="144"/>
      <c r="G101" s="375" t="s">
        <v>224</v>
      </c>
      <c r="H101" s="142">
        <f>+H13</f>
        <v>0</v>
      </c>
      <c r="I101" s="875"/>
      <c r="J101" s="143"/>
      <c r="K101" s="375" t="s">
        <v>224</v>
      </c>
      <c r="L101" s="142">
        <f>+L13</f>
        <v>0</v>
      </c>
      <c r="M101" s="951"/>
      <c r="O101" s="375" t="s">
        <v>224</v>
      </c>
      <c r="P101" s="142">
        <f>+P13</f>
        <v>0</v>
      </c>
      <c r="Q101" s="865"/>
      <c r="R101" s="139"/>
      <c r="S101" s="141" t="s">
        <v>224</v>
      </c>
      <c r="T101" s="142">
        <f>+T13</f>
        <v>0</v>
      </c>
      <c r="W101" s="141" t="s">
        <v>224</v>
      </c>
      <c r="X101" s="142">
        <f>+X13</f>
        <v>0</v>
      </c>
      <c r="AA101" s="141" t="s">
        <v>224</v>
      </c>
      <c r="AB101" s="142">
        <f>+AB13</f>
        <v>0</v>
      </c>
    </row>
    <row r="102" spans="1:29" s="137" customFormat="1" ht="11.25" x14ac:dyDescent="0.2">
      <c r="A102" s="158"/>
      <c r="B102" s="942"/>
      <c r="C102" s="944"/>
      <c r="D102" s="145">
        <f>+D100+D101</f>
        <v>27930.82</v>
      </c>
      <c r="E102" s="866"/>
      <c r="F102" s="144"/>
      <c r="G102" s="375"/>
      <c r="H102" s="145">
        <f>+H100+H101</f>
        <v>17629</v>
      </c>
      <c r="I102" s="875"/>
      <c r="J102" s="143"/>
      <c r="K102" s="375"/>
      <c r="L102" s="145">
        <f>+L100+L101</f>
        <v>9875</v>
      </c>
      <c r="M102" s="865"/>
      <c r="O102" s="375"/>
      <c r="P102" s="145">
        <f>+P100+P101</f>
        <v>9939</v>
      </c>
      <c r="Q102" s="865"/>
      <c r="R102" s="139"/>
      <c r="S102" s="141"/>
      <c r="T102" s="145">
        <f>+T100+T101</f>
        <v>10221</v>
      </c>
      <c r="W102" s="141"/>
      <c r="X102" s="145">
        <f>+X100+X101</f>
        <v>10474</v>
      </c>
      <c r="AA102" s="141"/>
      <c r="AB102" s="145">
        <f>+AB100+AB101</f>
        <v>10735</v>
      </c>
    </row>
    <row r="103" spans="1:29" ht="15" customHeight="1" x14ac:dyDescent="0.25">
      <c r="A103" s="152"/>
      <c r="B103" s="945"/>
      <c r="C103" s="945"/>
      <c r="D103" s="5">
        <f>+D90-D102</f>
        <v>0</v>
      </c>
      <c r="E103" s="863"/>
      <c r="F103" s="2"/>
      <c r="G103" s="376"/>
      <c r="H103" s="5">
        <f>+H90-H102</f>
        <v>0</v>
      </c>
      <c r="K103" s="376"/>
      <c r="L103" s="5">
        <f>+L90-L102</f>
        <v>0</v>
      </c>
      <c r="O103" s="376"/>
      <c r="P103" s="5">
        <f>+P90-P102</f>
        <v>0</v>
      </c>
      <c r="S103" s="103"/>
      <c r="T103" s="5">
        <f>+T90-T102</f>
        <v>0</v>
      </c>
      <c r="W103" s="103"/>
      <c r="X103" s="5">
        <f>+X90-X102</f>
        <v>0</v>
      </c>
      <c r="AA103" s="103"/>
      <c r="AB103" s="5">
        <f>+AB90-AB102</f>
        <v>0</v>
      </c>
    </row>
    <row r="104" spans="1:29" x14ac:dyDescent="0.25">
      <c r="A104" s="152"/>
      <c r="B104" s="945"/>
      <c r="C104" s="945"/>
      <c r="D104" s="36"/>
      <c r="E104" s="863"/>
      <c r="F104" s="2"/>
    </row>
    <row r="105" spans="1:29" x14ac:dyDescent="0.25">
      <c r="A105" s="152"/>
      <c r="B105" s="932"/>
      <c r="C105" s="868"/>
      <c r="D105" s="25"/>
      <c r="E105" s="863"/>
      <c r="F105" s="2"/>
    </row>
    <row r="106" spans="1:29" x14ac:dyDescent="0.25">
      <c r="B106" s="932"/>
      <c r="C106" s="868"/>
      <c r="D106" s="36"/>
    </row>
    <row r="107" spans="1:29" x14ac:dyDescent="0.25">
      <c r="B107" s="932"/>
      <c r="C107" s="868"/>
      <c r="D107" s="36"/>
    </row>
    <row r="108" spans="1:29" ht="15" customHeight="1" x14ac:dyDescent="0.25">
      <c r="B108" s="932"/>
      <c r="C108" s="868"/>
      <c r="D108" s="36"/>
    </row>
    <row r="109" spans="1:29" x14ac:dyDescent="0.25">
      <c r="B109" s="932"/>
      <c r="C109" s="868"/>
      <c r="D109" s="36"/>
    </row>
    <row r="110" spans="1:29" x14ac:dyDescent="0.25">
      <c r="B110" s="932"/>
      <c r="C110" s="868"/>
      <c r="D110" s="36"/>
    </row>
    <row r="111" spans="1:29" ht="15" customHeight="1" x14ac:dyDescent="0.25">
      <c r="B111" s="2209"/>
      <c r="C111" s="2209"/>
      <c r="D111" s="36"/>
    </row>
    <row r="112" spans="1:29" x14ac:dyDescent="0.25">
      <c r="B112" s="2209"/>
      <c r="C112" s="2209"/>
      <c r="D112" s="36"/>
    </row>
    <row r="113" spans="2:4" x14ac:dyDescent="0.25">
      <c r="B113" s="932"/>
      <c r="C113" s="868"/>
      <c r="D113" s="6"/>
    </row>
    <row r="114" spans="2:4" x14ac:dyDescent="0.25">
      <c r="B114" s="932"/>
      <c r="C114" s="868"/>
      <c r="D114" s="36"/>
    </row>
    <row r="115" spans="2:4" x14ac:dyDescent="0.25">
      <c r="B115" s="932"/>
      <c r="C115" s="868"/>
      <c r="D115" s="36"/>
    </row>
    <row r="116" spans="2:4" ht="28.5" customHeight="1" x14ac:dyDescent="0.25">
      <c r="B116" s="932"/>
      <c r="C116" s="868"/>
      <c r="D116" s="25"/>
    </row>
    <row r="117" spans="2:4" x14ac:dyDescent="0.25">
      <c r="B117" s="932"/>
      <c r="C117" s="868"/>
      <c r="D117" s="36"/>
    </row>
    <row r="118" spans="2:4" x14ac:dyDescent="0.25">
      <c r="B118" s="932"/>
      <c r="C118" s="868"/>
      <c r="D118" s="36"/>
    </row>
    <row r="119" spans="2:4" x14ac:dyDescent="0.25">
      <c r="B119" s="932"/>
      <c r="C119" s="868"/>
      <c r="D119" s="36"/>
    </row>
    <row r="120" spans="2:4" x14ac:dyDescent="0.25">
      <c r="B120" s="932"/>
      <c r="C120" s="868"/>
      <c r="D120" s="36"/>
    </row>
    <row r="121" spans="2:4" x14ac:dyDescent="0.25">
      <c r="B121" s="932"/>
      <c r="C121" s="868"/>
      <c r="D121" s="36"/>
    </row>
    <row r="122" spans="2:4" x14ac:dyDescent="0.25">
      <c r="B122" s="932"/>
      <c r="C122" s="868"/>
      <c r="D122" s="36"/>
    </row>
    <row r="123" spans="2:4" x14ac:dyDescent="0.25">
      <c r="B123" s="932"/>
      <c r="C123" s="868"/>
      <c r="D123" s="36"/>
    </row>
    <row r="124" spans="2:4" x14ac:dyDescent="0.25">
      <c r="B124" s="932"/>
      <c r="C124" s="868"/>
      <c r="D124" s="36"/>
    </row>
    <row r="125" spans="2:4" x14ac:dyDescent="0.25">
      <c r="B125" s="932"/>
      <c r="C125" s="868"/>
      <c r="D125" s="36"/>
    </row>
    <row r="126" spans="2:4" x14ac:dyDescent="0.25">
      <c r="B126" s="932"/>
      <c r="C126" s="868"/>
      <c r="D126" s="36"/>
    </row>
    <row r="127" spans="2:4" x14ac:dyDescent="0.25">
      <c r="B127" s="932"/>
      <c r="C127" s="868"/>
      <c r="D127" s="36"/>
    </row>
    <row r="128" spans="2:4" x14ac:dyDescent="0.25">
      <c r="B128" s="932"/>
      <c r="C128" s="868"/>
      <c r="D128" s="36"/>
    </row>
    <row r="129" spans="2:4" x14ac:dyDescent="0.25">
      <c r="B129" s="932"/>
      <c r="C129" s="868"/>
      <c r="D129" s="36"/>
    </row>
    <row r="130" spans="2:4" x14ac:dyDescent="0.25">
      <c r="B130" s="932"/>
      <c r="C130" s="868"/>
      <c r="D130" s="36"/>
    </row>
    <row r="131" spans="2:4" x14ac:dyDescent="0.25">
      <c r="B131" s="932"/>
      <c r="C131" s="868"/>
      <c r="D131" s="36"/>
    </row>
  </sheetData>
  <sheetProtection password="B79F" sheet="1" objects="1" scenarios="1"/>
  <mergeCells count="1">
    <mergeCell ref="B111:C112"/>
  </mergeCells>
  <pageMargins left="0.25" right="0.25" top="0.5" bottom="0.5" header="0.25" footer="0.25"/>
  <pageSetup paperSize="5" scale="69" orientation="portrait" r:id="rId1"/>
  <headerFooter>
    <oddHeader>&amp;L&amp;F</oddHead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139"/>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1.7109375" style="146" customWidth="1"/>
    <col min="2" max="2" width="8.5703125" style="930" customWidth="1"/>
    <col min="3" max="3" width="24.85546875" style="857" customWidth="1"/>
    <col min="4" max="4" width="16" style="2" customWidth="1"/>
    <col min="5" max="5" width="17.7109375" style="857" hidden="1" customWidth="1"/>
    <col min="6" max="6" width="6" style="39" customWidth="1"/>
    <col min="7" max="7" width="10.7109375" style="52" customWidth="1"/>
    <col min="8" max="8" width="13.85546875" style="122" bestFit="1" customWidth="1"/>
    <col min="9" max="9" width="26" style="868" hidden="1" customWidth="1"/>
    <col min="10" max="10" width="5.7109375" style="59" customWidth="1"/>
    <col min="11" max="11" width="9.85546875" style="377" customWidth="1"/>
    <col min="12" max="12" width="14" style="123" bestFit="1" customWidth="1"/>
    <col min="13" max="13" width="26" style="857" hidden="1" customWidth="1"/>
    <col min="14" max="14" width="5.7109375" style="39" customWidth="1"/>
    <col min="15" max="15" width="9.42578125" style="377" bestFit="1" customWidth="1"/>
    <col min="16" max="16" width="14.28515625" style="2" bestFit="1" customWidth="1"/>
    <col min="17" max="17" width="24.85546875" style="857"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930" t="s">
        <v>61</v>
      </c>
      <c r="C1" s="931" t="s">
        <v>407</v>
      </c>
      <c r="D1" s="97">
        <v>0</v>
      </c>
      <c r="E1" s="855"/>
      <c r="F1" s="98"/>
      <c r="G1" s="369"/>
      <c r="H1" s="99">
        <v>0</v>
      </c>
      <c r="I1" s="855"/>
      <c r="L1" s="122">
        <v>0</v>
      </c>
      <c r="M1" s="855"/>
      <c r="P1" s="122">
        <v>0</v>
      </c>
      <c r="Q1" s="855"/>
      <c r="T1" s="86">
        <v>0</v>
      </c>
      <c r="U1" s="98"/>
      <c r="X1" s="86">
        <v>0</v>
      </c>
      <c r="Y1" s="98"/>
      <c r="AB1" s="86">
        <v>0</v>
      </c>
      <c r="AC1" s="98"/>
    </row>
    <row r="2" spans="1:29" ht="17.25" x14ac:dyDescent="0.4">
      <c r="B2" s="932" t="s">
        <v>59</v>
      </c>
      <c r="C2" s="933">
        <v>654</v>
      </c>
      <c r="D2" s="99">
        <v>0</v>
      </c>
      <c r="E2" s="855"/>
      <c r="F2" s="98"/>
      <c r="G2" s="370"/>
      <c r="H2" s="99">
        <v>0</v>
      </c>
      <c r="I2" s="855"/>
      <c r="L2" s="87">
        <v>0</v>
      </c>
      <c r="M2" s="855"/>
      <c r="P2" s="87">
        <v>0</v>
      </c>
      <c r="Q2" s="855"/>
      <c r="T2" s="87">
        <v>0</v>
      </c>
      <c r="U2" s="98"/>
      <c r="X2" s="87">
        <v>0</v>
      </c>
      <c r="Y2" s="98"/>
      <c r="AB2" s="87">
        <v>0</v>
      </c>
      <c r="AC2" s="98"/>
    </row>
    <row r="3" spans="1:29" x14ac:dyDescent="0.25">
      <c r="D3" s="323">
        <f>+SUM(D1:D2)</f>
        <v>0</v>
      </c>
      <c r="E3" s="856"/>
      <c r="F3" s="100"/>
      <c r="G3" s="83"/>
      <c r="H3" s="323">
        <f>+SUM(H1:H2)</f>
        <v>0</v>
      </c>
      <c r="I3" s="867"/>
      <c r="L3" s="122">
        <f>SUM(L1:L2)</f>
        <v>0</v>
      </c>
      <c r="M3" s="868"/>
      <c r="P3" s="122">
        <f>SUM(P1:P2)</f>
        <v>0</v>
      </c>
      <c r="Q3" s="868"/>
      <c r="T3" s="86">
        <f>SUM(T1:T2)</f>
        <v>0</v>
      </c>
      <c r="U3" s="51"/>
      <c r="X3" s="86">
        <f>SUM(X1:X2)</f>
        <v>0</v>
      </c>
      <c r="Y3" s="51"/>
      <c r="AB3" s="86">
        <f>SUM(AB1:AB2)</f>
        <v>0</v>
      </c>
      <c r="AC3" s="51"/>
    </row>
    <row r="4" spans="1:29" x14ac:dyDescent="0.25">
      <c r="L4" s="122"/>
      <c r="M4" s="868"/>
      <c r="P4" s="122"/>
      <c r="Q4" s="868"/>
      <c r="T4" s="86"/>
      <c r="U4" s="51"/>
      <c r="X4" s="86"/>
      <c r="Y4" s="51"/>
      <c r="AB4" s="86"/>
      <c r="AC4" s="51"/>
    </row>
    <row r="5" spans="1:29" ht="15.75" x14ac:dyDescent="0.25">
      <c r="B5" s="934" t="s">
        <v>56</v>
      </c>
      <c r="P5" s="123"/>
      <c r="T5" s="73"/>
      <c r="X5" s="73"/>
      <c r="AB5" s="73"/>
    </row>
    <row r="6" spans="1:29" s="89" customFormat="1" ht="15.75" x14ac:dyDescent="0.25">
      <c r="A6" s="147"/>
      <c r="B6" s="935"/>
      <c r="C6" s="935"/>
      <c r="D6" s="284" t="s">
        <v>55</v>
      </c>
      <c r="E6" s="858"/>
      <c r="G6" s="371"/>
      <c r="H6" s="324" t="str">
        <f>LEFT(D6,4)+1&amp;"-"&amp;RIGHT(D6,4)+1</f>
        <v>2017-2018</v>
      </c>
      <c r="I6" s="869"/>
      <c r="J6" s="93"/>
      <c r="K6" s="378"/>
      <c r="L6" s="124" t="str">
        <f>LEFT(H6,4)+1&amp;"-"&amp;RIGHT(H6,4)+1</f>
        <v>2018-2019</v>
      </c>
      <c r="M6" s="946"/>
      <c r="N6" s="96"/>
      <c r="O6" s="381"/>
      <c r="P6" s="124" t="str">
        <f>LEFT(L6,4)+1&amp;"-"&amp;RIGHT(L6,4)+1</f>
        <v>2019-2020</v>
      </c>
      <c r="Q6" s="94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936" t="s">
        <v>54</v>
      </c>
      <c r="D7" s="2">
        <v>323251.7</v>
      </c>
      <c r="E7" s="928"/>
      <c r="H7" s="2">
        <f>D102</f>
        <v>568740.15000000014</v>
      </c>
      <c r="I7" s="928"/>
      <c r="J7" s="60"/>
      <c r="L7" s="2">
        <f>H102</f>
        <v>1454978.1500000001</v>
      </c>
      <c r="M7" s="928"/>
      <c r="P7" s="2">
        <f>L102</f>
        <v>3149652.1500000004</v>
      </c>
      <c r="Q7" s="928"/>
      <c r="T7" s="2">
        <f>P102</f>
        <v>4945617.1500000004</v>
      </c>
      <c r="U7" s="105"/>
      <c r="X7" s="2">
        <f>T102</f>
        <v>564255.15000000037</v>
      </c>
      <c r="Y7" s="105"/>
      <c r="AB7" s="2">
        <f>X102</f>
        <v>-3921982.8499999996</v>
      </c>
      <c r="AC7" s="105"/>
    </row>
    <row r="8" spans="1:29" x14ac:dyDescent="0.25">
      <c r="E8" s="928"/>
      <c r="H8" s="2"/>
      <c r="I8" s="928"/>
      <c r="L8" s="2"/>
      <c r="M8" s="928"/>
      <c r="Q8" s="928"/>
      <c r="U8" s="105"/>
      <c r="Y8" s="105"/>
      <c r="AC8" s="105"/>
    </row>
    <row r="9" spans="1:29" x14ac:dyDescent="0.25">
      <c r="B9" s="930" t="s">
        <v>52</v>
      </c>
      <c r="C9" s="857" t="s">
        <v>408</v>
      </c>
      <c r="D9" s="2">
        <v>4047579</v>
      </c>
      <c r="E9" s="928" t="s">
        <v>473</v>
      </c>
      <c r="G9" s="83">
        <f>IF(D9=0,"0.00%",(H9-D9)/D9)</f>
        <v>0.25188316274988087</v>
      </c>
      <c r="H9" s="3">
        <v>5067096</v>
      </c>
      <c r="I9" s="928" t="s">
        <v>473</v>
      </c>
      <c r="J9" s="61"/>
      <c r="K9" s="83">
        <f>IF(H9=0,"0.00%",(L9-H9)/H9)</f>
        <v>0.17226316612118658</v>
      </c>
      <c r="L9" s="3">
        <v>5939970</v>
      </c>
      <c r="M9" s="928" t="s">
        <v>473</v>
      </c>
      <c r="O9" s="83">
        <f>IF(L9=0,"0.00%",(P9-L9)/L9)</f>
        <v>4.7014210509480688E-2</v>
      </c>
      <c r="P9" s="3">
        <v>6219233</v>
      </c>
      <c r="Q9" s="928" t="s">
        <v>473</v>
      </c>
      <c r="S9" s="83">
        <f>IF(P9=0,"0.00%",(T9-P9)/P9)</f>
        <v>-1</v>
      </c>
      <c r="T9" s="3">
        <f>T3</f>
        <v>0</v>
      </c>
      <c r="U9" s="105"/>
      <c r="W9" s="83" t="str">
        <f>IF(T9=0,"0.00%",(X9-T9)/T9)</f>
        <v>0.00%</v>
      </c>
      <c r="X9" s="3">
        <f>X3</f>
        <v>0</v>
      </c>
      <c r="Y9" s="105"/>
      <c r="AA9" s="83" t="str">
        <f>IF(X9=0,"0.00%",(AB9-X9)/X9)</f>
        <v>0.00%</v>
      </c>
      <c r="AB9" s="3">
        <f>AB3</f>
        <v>0</v>
      </c>
      <c r="AC9" s="105"/>
    </row>
    <row r="10" spans="1:29" x14ac:dyDescent="0.25">
      <c r="E10" s="928"/>
      <c r="G10" s="83" t="str">
        <f t="shared" ref="G10:G15" si="0">IF(D10=0,"0.00%",(H10-D10)/D10)</f>
        <v>0.00%</v>
      </c>
      <c r="H10" s="3">
        <v>0</v>
      </c>
      <c r="I10" s="928"/>
      <c r="J10" s="61"/>
      <c r="K10" s="83" t="str">
        <f>IF(H10=0,"0.00%",(L10-H10)/H10)</f>
        <v>0.00%</v>
      </c>
      <c r="L10" s="3">
        <f>-H2</f>
        <v>0</v>
      </c>
      <c r="M10" s="928"/>
      <c r="O10" s="83" t="str">
        <f>IF(L10=0,"0.00%",(P10-L10)/L10)</f>
        <v>0.00%</v>
      </c>
      <c r="P10" s="3">
        <f>-L2</f>
        <v>0</v>
      </c>
      <c r="Q10" s="928"/>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936" t="s">
        <v>137</v>
      </c>
      <c r="D11" s="8">
        <f>SUM(D9:D10)</f>
        <v>4047579</v>
      </c>
      <c r="E11" s="928"/>
      <c r="G11" s="83">
        <f t="shared" si="0"/>
        <v>0.25188316274988087</v>
      </c>
      <c r="H11" s="8">
        <f>SUM(H9:H10)</f>
        <v>5067096</v>
      </c>
      <c r="I11" s="1292">
        <f>+H11-D11</f>
        <v>1019517</v>
      </c>
      <c r="J11" s="62"/>
      <c r="K11" s="83">
        <f>IF(H11=0,"0.00%",(L11-H11)/H11)</f>
        <v>0.17226316612118658</v>
      </c>
      <c r="L11" s="8">
        <f>SUM(L9:L10)</f>
        <v>5939970</v>
      </c>
      <c r="M11" s="1292">
        <f>+L11-H11</f>
        <v>872874</v>
      </c>
      <c r="O11" s="83">
        <f>IF(L11=0,"0.00%",(P11-L11)/L11)</f>
        <v>4.7014210509480688E-2</v>
      </c>
      <c r="P11" s="8">
        <f>SUM(P9:P10)</f>
        <v>6219233</v>
      </c>
      <c r="Q11" s="1292">
        <f>+P11-L11</f>
        <v>279263</v>
      </c>
      <c r="S11" s="83">
        <f>IF(P11=0,"0.00%",(T11-P11)/P11)</f>
        <v>-1</v>
      </c>
      <c r="T11" s="78">
        <f>SUM(T9:T10)</f>
        <v>0</v>
      </c>
      <c r="U11" s="105"/>
      <c r="W11" s="83" t="str">
        <f>IF(T11=0,"0.00%",(X11-T11)/T11)</f>
        <v>0.00%</v>
      </c>
      <c r="X11" s="78">
        <f>SUM(X9:X10)</f>
        <v>0</v>
      </c>
      <c r="Y11" s="105"/>
      <c r="AA11" s="83" t="str">
        <f>IF(X11=0,"0.00%",(AB11-X11)/X11)</f>
        <v>0.00%</v>
      </c>
      <c r="AB11" s="78">
        <f>SUM(AB9:AB10)</f>
        <v>0</v>
      </c>
      <c r="AC11" s="105"/>
    </row>
    <row r="12" spans="1:29" x14ac:dyDescent="0.25">
      <c r="E12" s="928"/>
      <c r="H12" s="3"/>
      <c r="I12" s="928"/>
      <c r="J12" s="63"/>
      <c r="K12" s="52"/>
      <c r="L12" s="3"/>
      <c r="M12" s="928"/>
      <c r="O12" s="52"/>
      <c r="P12" s="3"/>
      <c r="Q12" s="928"/>
      <c r="S12" s="46"/>
      <c r="T12" s="44"/>
      <c r="U12" s="105"/>
      <c r="W12" s="46"/>
      <c r="X12" s="44"/>
      <c r="Y12" s="105"/>
      <c r="AA12" s="46"/>
      <c r="AB12" s="44"/>
      <c r="AC12" s="105"/>
    </row>
    <row r="13" spans="1:29" x14ac:dyDescent="0.25">
      <c r="C13" s="938" t="s">
        <v>64</v>
      </c>
      <c r="D13" s="9">
        <f>ROUND(D11-(D11/(1+E13)),0)</f>
        <v>0</v>
      </c>
      <c r="E13" s="52">
        <v>0</v>
      </c>
      <c r="G13" s="83" t="str">
        <f t="shared" si="0"/>
        <v>0.00%</v>
      </c>
      <c r="H13" s="9">
        <f>ROUND(H11-(H11/(1+E13)),0)</f>
        <v>0</v>
      </c>
      <c r="I13" s="928"/>
      <c r="J13" s="64"/>
      <c r="K13" s="83" t="str">
        <f>IF(H13=0,"0.00%",(L13-H13)/H13)</f>
        <v>0.00%</v>
      </c>
      <c r="L13" s="9">
        <f>ROUND(L11-(L11/(1+E13)),0)</f>
        <v>0</v>
      </c>
      <c r="M13" s="928"/>
      <c r="O13" s="83" t="str">
        <f>IF(L13=0,"0.00%",(P13-L13)/L13)</f>
        <v>0.00%</v>
      </c>
      <c r="P13" s="9">
        <f>ROUND(P11-(P11/(1+E13)),0)</f>
        <v>0</v>
      </c>
      <c r="Q13" s="928"/>
      <c r="S13" s="83" t="str">
        <f>IF(P13=0,"0.00%",(T13-P13)/P13)</f>
        <v>0.00%</v>
      </c>
      <c r="T13" s="77">
        <f>ROUND(T11-(T11/(1+E13)),0)</f>
        <v>0</v>
      </c>
      <c r="U13" s="105"/>
      <c r="W13" s="83" t="str">
        <f>IF(T13=0,"0.00%",(X13-T13)/T13)</f>
        <v>0.00%</v>
      </c>
      <c r="X13" s="77">
        <f>ROUND(X11-(X11/(1+E13)),0)</f>
        <v>0</v>
      </c>
      <c r="Y13" s="105"/>
      <c r="AA13" s="83" t="str">
        <f>IF(X13=0,"0.00%",(AB13-X13)/X13)</f>
        <v>0.00%</v>
      </c>
      <c r="AB13" s="77">
        <f>ROUND(AB11-(AB11/(1+G13)),0)</f>
        <v>0</v>
      </c>
      <c r="AC13" s="105"/>
    </row>
    <row r="14" spans="1:29" x14ac:dyDescent="0.25">
      <c r="E14" s="928"/>
      <c r="H14" s="3"/>
      <c r="I14" s="928"/>
      <c r="J14" s="63"/>
      <c r="K14" s="52"/>
      <c r="L14" s="3"/>
      <c r="M14" s="928"/>
      <c r="O14" s="52"/>
      <c r="P14" s="3"/>
      <c r="Q14" s="928"/>
      <c r="S14" s="46"/>
      <c r="T14" s="44"/>
      <c r="U14" s="105"/>
      <c r="W14" s="46"/>
      <c r="X14" s="44"/>
      <c r="Y14" s="105"/>
      <c r="AA14" s="46"/>
      <c r="AB14" s="44"/>
      <c r="AC14" s="105"/>
    </row>
    <row r="15" spans="1:29" x14ac:dyDescent="0.25">
      <c r="B15" s="936" t="s">
        <v>50</v>
      </c>
      <c r="D15" s="10">
        <f>D11-D13+D7</f>
        <v>4370830.7</v>
      </c>
      <c r="E15" s="928"/>
      <c r="G15" s="83">
        <f t="shared" si="0"/>
        <v>0.28941991507472487</v>
      </c>
      <c r="H15" s="10">
        <f>H11-H13+H7</f>
        <v>5635836.1500000004</v>
      </c>
      <c r="I15" s="1292">
        <f>+H15-D15</f>
        <v>1265005.4500000002</v>
      </c>
      <c r="J15" s="62"/>
      <c r="K15" s="83">
        <f>IF(H15=0,"0.00%",(L15-H15)/H15)</f>
        <v>0.31212972719229959</v>
      </c>
      <c r="L15" s="10">
        <f>L11-L13+L7</f>
        <v>7394948.1500000004</v>
      </c>
      <c r="M15" s="1292">
        <f>+L15-H15</f>
        <v>1759112</v>
      </c>
      <c r="O15" s="83">
        <f>IF(L15=0,"0.00%",(P15-L15)/L15)</f>
        <v>0.26693047198714975</v>
      </c>
      <c r="P15" s="10">
        <f>P11-P13+P7</f>
        <v>9368885.1500000004</v>
      </c>
      <c r="Q15" s="1292">
        <f>+P15-L15</f>
        <v>1973937</v>
      </c>
      <c r="S15" s="83">
        <f>IF(P15=0,"0.00%",(T15-P15)/P15)</f>
        <v>-1</v>
      </c>
      <c r="T15" s="19">
        <f>T11-T13</f>
        <v>0</v>
      </c>
      <c r="U15" s="105"/>
      <c r="W15" s="83" t="str">
        <f>IF(T15=0,"0.00%",(X15-T15)/T15)</f>
        <v>0.00%</v>
      </c>
      <c r="X15" s="19">
        <f>X11-X13</f>
        <v>0</v>
      </c>
      <c r="Y15" s="105"/>
      <c r="AA15" s="83" t="str">
        <f>IF(X15=0,"0.00%",(AB15-X15)/X15)</f>
        <v>0.00%</v>
      </c>
      <c r="AB15" s="19">
        <f>AB11-AB13</f>
        <v>0</v>
      </c>
      <c r="AC15" s="105"/>
    </row>
    <row r="16" spans="1:29" x14ac:dyDescent="0.25">
      <c r="E16" s="928"/>
      <c r="H16" s="3"/>
      <c r="I16" s="928"/>
      <c r="J16" s="62"/>
      <c r="L16" s="3"/>
      <c r="M16" s="928"/>
      <c r="P16" s="3"/>
      <c r="Q16" s="928"/>
      <c r="T16" s="49"/>
      <c r="U16" s="105"/>
      <c r="X16" s="49"/>
      <c r="Y16" s="105"/>
      <c r="AB16" s="49"/>
      <c r="AC16" s="105"/>
    </row>
    <row r="17" spans="1:29" x14ac:dyDescent="0.25">
      <c r="C17" s="930"/>
      <c r="E17" s="928"/>
      <c r="H17" s="3"/>
      <c r="I17" s="928"/>
      <c r="J17" s="63"/>
      <c r="L17" s="3"/>
      <c r="M17" s="928"/>
      <c r="P17" s="3"/>
      <c r="Q17" s="928"/>
      <c r="T17" s="44"/>
      <c r="U17" s="105"/>
      <c r="X17" s="44"/>
      <c r="Y17" s="105"/>
      <c r="AB17" s="44"/>
      <c r="AC17" s="105"/>
    </row>
    <row r="18" spans="1:29" x14ac:dyDescent="0.25">
      <c r="A18" s="148"/>
      <c r="D18" s="29" t="s">
        <v>826</v>
      </c>
      <c r="E18" s="929"/>
      <c r="F18" s="32"/>
      <c r="H18" s="29" t="s">
        <v>177</v>
      </c>
      <c r="I18" s="929"/>
      <c r="J18" s="65"/>
      <c r="M18" s="929"/>
      <c r="Q18" s="929"/>
      <c r="U18" s="106"/>
      <c r="Y18" s="106"/>
      <c r="AC18" s="106"/>
    </row>
    <row r="19" spans="1:29" ht="17.25" x14ac:dyDescent="0.4">
      <c r="A19" s="149"/>
      <c r="D19" s="35" t="s">
        <v>827</v>
      </c>
      <c r="E19" s="860"/>
      <c r="F19" s="34"/>
      <c r="H19" s="35" t="s">
        <v>48</v>
      </c>
      <c r="I19" s="870"/>
      <c r="J19" s="29"/>
      <c r="L19" s="14" t="s">
        <v>48</v>
      </c>
      <c r="M19" s="2034">
        <v>1.4999999999999999E-2</v>
      </c>
      <c r="P19" s="14" t="s">
        <v>48</v>
      </c>
      <c r="Q19" s="2034">
        <v>1.4999999999999999E-2</v>
      </c>
      <c r="T19" s="14" t="s">
        <v>48</v>
      </c>
      <c r="U19" s="104">
        <v>0.02</v>
      </c>
      <c r="X19" s="14" t="s">
        <v>48</v>
      </c>
      <c r="Y19" s="104">
        <v>0.02</v>
      </c>
      <c r="AB19" s="14" t="s">
        <v>48</v>
      </c>
      <c r="AC19" s="104">
        <v>0.02</v>
      </c>
    </row>
    <row r="20" spans="1:29" s="13" customFormat="1" x14ac:dyDescent="0.25">
      <c r="A20" s="150"/>
      <c r="B20" s="936" t="s">
        <v>46</v>
      </c>
      <c r="C20" s="938"/>
      <c r="D20" s="10"/>
      <c r="E20" s="861"/>
      <c r="F20" s="10"/>
      <c r="G20" s="372"/>
      <c r="H20" s="10"/>
      <c r="I20" s="864"/>
      <c r="J20" s="57"/>
      <c r="K20" s="379"/>
      <c r="L20" s="10"/>
      <c r="M20" s="947"/>
      <c r="O20" s="379"/>
      <c r="P20" s="10"/>
      <c r="Q20" s="947"/>
      <c r="R20" s="111"/>
      <c r="T20" s="10"/>
      <c r="U20" s="74"/>
      <c r="X20" s="10"/>
      <c r="Y20" s="74"/>
      <c r="AB20" s="10"/>
      <c r="AC20" s="74"/>
    </row>
    <row r="21" spans="1:29" x14ac:dyDescent="0.25">
      <c r="A21" s="151"/>
      <c r="B21" s="939">
        <v>1101</v>
      </c>
      <c r="C21" s="857" t="s">
        <v>1038</v>
      </c>
      <c r="D21" s="2">
        <v>1098384.68</v>
      </c>
      <c r="E21" s="863"/>
      <c r="F21" s="2"/>
      <c r="G21" s="83">
        <f t="shared" ref="G21:G33" si="1">IF(D21=0,"0.00%",(H21-D21)/D21)</f>
        <v>-6.5497708871904453E-2</v>
      </c>
      <c r="H21" s="2">
        <v>1026443</v>
      </c>
      <c r="I21" s="854"/>
      <c r="J21" s="66"/>
      <c r="K21" s="83">
        <f t="shared" ref="K21:K29" si="2">IF(H21=0,"0.00%",(L21-H21)/H21)</f>
        <v>1.5000345854567667E-2</v>
      </c>
      <c r="L21" s="2">
        <f>ROUND(H21*(1+M19),0)</f>
        <v>1041840</v>
      </c>
      <c r="M21" s="871" t="str">
        <f>TEXT(M19,"0.0%")&amp;" = Est. S &amp; C"</f>
        <v>1.5% = Est. S &amp; C</v>
      </c>
      <c r="O21" s="83">
        <f t="shared" ref="O21:O29" si="3">IF(L21=0,"0.00%",(P21-L21)/L21)</f>
        <v>1.5000383936113032E-2</v>
      </c>
      <c r="P21" s="2">
        <f>ROUND(L21*(1+Q19),0)</f>
        <v>1057468</v>
      </c>
      <c r="Q21" s="871" t="str">
        <f>TEXT(Q19,"0.0%")&amp;" = Est. S &amp; C"</f>
        <v>1.5% = Est. S &amp; C</v>
      </c>
      <c r="S21" s="83">
        <f t="shared" ref="S21:S29" si="4">IF(P21=0,"0.00%",(T21-P21)/P21)</f>
        <v>1.999965956416648E-2</v>
      </c>
      <c r="T21" s="2">
        <f>ROUND(P21*(1+U19),0)</f>
        <v>1078617</v>
      </c>
      <c r="U21" s="36" t="str">
        <f>TEXT(U19,"0.0%")&amp;" = Est. S &amp; C"</f>
        <v>2.0% = Est. S &amp; C</v>
      </c>
      <c r="W21" s="83">
        <f t="shared" ref="W21:W29" si="5">IF(T21=0,"0.00%",(X21-T21)/T21)</f>
        <v>1.9999684781530424E-2</v>
      </c>
      <c r="X21" s="2">
        <f>ROUND(T21*(1+Y19),0)</f>
        <v>1100189</v>
      </c>
      <c r="Y21" s="36" t="str">
        <f>TEXT(Y19,"0.0%")&amp;" = Est. S &amp; C"</f>
        <v>2.0% = Est. S &amp; C</v>
      </c>
      <c r="AA21" s="83">
        <f t="shared" ref="AA21:AA29" si="6">IF(X21=0,"0.00%",(AB21-X21)/X21)</f>
        <v>2.0000199965642267E-2</v>
      </c>
      <c r="AB21" s="2">
        <f>ROUND(X21*(1+AC19),0)</f>
        <v>1122193</v>
      </c>
      <c r="AC21" s="36" t="str">
        <f>TEXT(AC19,"0.0%")&amp;" = Est. S &amp; C"</f>
        <v>2.0% = Est. S &amp; C</v>
      </c>
    </row>
    <row r="22" spans="1:29" x14ac:dyDescent="0.25">
      <c r="A22" s="152"/>
      <c r="B22" s="939">
        <v>1103</v>
      </c>
      <c r="C22" s="857" t="s">
        <v>409</v>
      </c>
      <c r="D22" s="2">
        <v>157095.1</v>
      </c>
      <c r="E22" s="863"/>
      <c r="F22" s="2"/>
      <c r="G22" s="83">
        <f t="shared" si="1"/>
        <v>9.7844554031284198E-2</v>
      </c>
      <c r="H22" s="2">
        <v>172466</v>
      </c>
      <c r="I22" s="871"/>
      <c r="J22" s="66"/>
      <c r="K22" s="83">
        <f t="shared" si="2"/>
        <v>1.5000057982442916E-2</v>
      </c>
      <c r="L22" s="2">
        <f>ROUND(H22*(1+M19),0)</f>
        <v>175053</v>
      </c>
      <c r="M22" s="871" t="str">
        <f>TEXT(M19,"0.0%")&amp;" = Est. S &amp; C"</f>
        <v>1.5% = Est. S &amp; C</v>
      </c>
      <c r="O22" s="83">
        <f t="shared" si="3"/>
        <v>1.5001171073903332E-2</v>
      </c>
      <c r="P22" s="2">
        <f>ROUND(L22*(1+Q19),0)</f>
        <v>177679</v>
      </c>
      <c r="Q22" s="871" t="str">
        <f>TEXT(Q19,"0.0%")&amp;" = Est. S &amp; C"</f>
        <v>1.5% = Est. S &amp; C</v>
      </c>
      <c r="S22" s="83">
        <f t="shared" si="4"/>
        <v>2.0002363813393816E-2</v>
      </c>
      <c r="T22" s="2">
        <f>ROUND(P22*(1+U19),0)</f>
        <v>181233</v>
      </c>
      <c r="U22" s="36" t="str">
        <f>TEXT(U19,"0.0%")&amp;" = Est. S &amp; C"</f>
        <v>2.0% = Est. S &amp; C</v>
      </c>
      <c r="W22" s="83">
        <f t="shared" si="5"/>
        <v>2.0001876038028395E-2</v>
      </c>
      <c r="X22" s="2">
        <f>ROUND(T22*(1+Y19),0)</f>
        <v>184858</v>
      </c>
      <c r="Y22" s="36" t="str">
        <f>TEXT(Y19,"0.0%")&amp;" = Est. S &amp; C"</f>
        <v>2.0% = Est. S &amp; C</v>
      </c>
      <c r="AA22" s="83">
        <f t="shared" si="6"/>
        <v>1.999913447078298E-2</v>
      </c>
      <c r="AB22" s="2">
        <f>ROUND(X22*(1+AC19),0)</f>
        <v>188555</v>
      </c>
      <c r="AC22" s="36" t="str">
        <f>TEXT(AC19,"0.0%")&amp;" = Est. S &amp; C"</f>
        <v>2.0% = Est. S &amp; C</v>
      </c>
    </row>
    <row r="23" spans="1:29" x14ac:dyDescent="0.25">
      <c r="A23" s="152"/>
      <c r="B23" s="939">
        <v>1105</v>
      </c>
      <c r="C23" s="857" t="s">
        <v>410</v>
      </c>
      <c r="D23" s="2">
        <v>185655.53</v>
      </c>
      <c r="E23" s="863"/>
      <c r="F23" s="2"/>
      <c r="G23" s="83">
        <f t="shared" si="1"/>
        <v>2.540441429350368E-2</v>
      </c>
      <c r="H23" s="2">
        <v>190372</v>
      </c>
      <c r="I23" s="871"/>
      <c r="J23" s="66"/>
      <c r="K23" s="83">
        <f t="shared" si="2"/>
        <v>1.5002206206795116E-2</v>
      </c>
      <c r="L23" s="2">
        <f>ROUND(H23*(1+M19),0)</f>
        <v>193228</v>
      </c>
      <c r="M23" s="871" t="str">
        <f>TEXT(M19,"0.0%")&amp;" = Est. S &amp; C"</f>
        <v>1.5% = Est. S &amp; C</v>
      </c>
      <c r="O23" s="83">
        <f t="shared" si="3"/>
        <v>1.4997826401970728E-2</v>
      </c>
      <c r="P23" s="2">
        <f>ROUND(L23*(1+Q19),0)</f>
        <v>196126</v>
      </c>
      <c r="Q23" s="871" t="str">
        <f>TEXT(Q19,"0.0%")&amp;" = Est. S &amp; C"</f>
        <v>1.5% = Est. S &amp; C</v>
      </c>
      <c r="S23" s="83">
        <f t="shared" si="4"/>
        <v>2.0002447406259241E-2</v>
      </c>
      <c r="T23" s="2">
        <f>ROUND(P23*(1+U19),0)</f>
        <v>200049</v>
      </c>
      <c r="U23" s="36" t="str">
        <f>TEXT(U19,"0.0%")&amp;" = Est. S &amp; C"</f>
        <v>2.0% = Est. S &amp; C</v>
      </c>
      <c r="W23" s="83">
        <f t="shared" si="5"/>
        <v>2.0000099975506003E-2</v>
      </c>
      <c r="X23" s="2">
        <f>ROUND(T23*(1+Y19),0)</f>
        <v>204050</v>
      </c>
      <c r="Y23" s="36" t="str">
        <f>TEXT(Y19,"0.0%")&amp;" = Est. S &amp; C"</f>
        <v>2.0% = Est. S &amp; C</v>
      </c>
      <c r="AA23" s="83">
        <f t="shared" si="6"/>
        <v>0.02</v>
      </c>
      <c r="AB23" s="2">
        <f>ROUND(X23*(1+AC19),0)</f>
        <v>208131</v>
      </c>
      <c r="AC23" s="36" t="str">
        <f>TEXT(AC19,"0.0%")&amp;" = Est. S &amp; C"</f>
        <v>2.0% = Est. S &amp; C</v>
      </c>
    </row>
    <row r="24" spans="1:29" x14ac:dyDescent="0.25">
      <c r="A24" s="152"/>
      <c r="B24" s="939">
        <v>1112</v>
      </c>
      <c r="C24" s="857" t="s">
        <v>909</v>
      </c>
      <c r="D24" s="2">
        <v>773.48</v>
      </c>
      <c r="E24" s="863"/>
      <c r="F24" s="2"/>
      <c r="G24" s="83">
        <f>IF(D24=0,"0.00%",(H24-D24)/D24)</f>
        <v>-0.4298495112995811</v>
      </c>
      <c r="H24" s="535">
        <v>441</v>
      </c>
      <c r="I24" s="975"/>
      <c r="J24" s="66"/>
      <c r="K24" s="83">
        <f>IF(H24=0,"0.00%",(L24-H24)/H24)</f>
        <v>1.5873015873015872E-2</v>
      </c>
      <c r="L24" s="535">
        <f>ROUND(H24*(1+$M$19),0)</f>
        <v>448</v>
      </c>
      <c r="M24" s="871" t="str">
        <f t="shared" ref="M24" si="7">TEXT(M20,"0.0%")&amp;" = Est. S &amp; C"</f>
        <v>0.0% = Est. S &amp; C</v>
      </c>
      <c r="O24" s="83">
        <f t="shared" ref="O24" si="8">IF(L24=0,"0.00%",(P24-L24)/L24)</f>
        <v>1.5625E-2</v>
      </c>
      <c r="P24" s="535">
        <f t="shared" ref="P24" si="9">ROUND(L24*(1+$Q$19),0)</f>
        <v>455</v>
      </c>
      <c r="Q24" s="871" t="str">
        <f t="shared" ref="Q24" si="10">TEXT(Q20,"0.0%")&amp;" = Est. S &amp; C"</f>
        <v>0.0% = Est. S &amp; C</v>
      </c>
      <c r="T24" s="2"/>
      <c r="U24" s="73"/>
      <c r="X24" s="2"/>
      <c r="Y24" s="73"/>
      <c r="AB24" s="2"/>
      <c r="AC24" s="73"/>
    </row>
    <row r="25" spans="1:29" x14ac:dyDescent="0.25">
      <c r="A25" s="152"/>
      <c r="B25" s="939">
        <v>1122</v>
      </c>
      <c r="C25" s="857" t="s">
        <v>411</v>
      </c>
      <c r="D25" s="2">
        <v>32827.03</v>
      </c>
      <c r="E25" s="863"/>
      <c r="F25" s="2"/>
      <c r="G25" s="83">
        <f t="shared" si="1"/>
        <v>7.3109568547626791E-2</v>
      </c>
      <c r="H25" s="2">
        <v>35227</v>
      </c>
      <c r="I25" s="871"/>
      <c r="J25" s="66"/>
      <c r="K25" s="83">
        <f t="shared" si="2"/>
        <v>0</v>
      </c>
      <c r="L25" s="2">
        <f>+H25</f>
        <v>35227</v>
      </c>
      <c r="M25" s="871" t="s">
        <v>174</v>
      </c>
      <c r="O25" s="83">
        <f t="shared" si="3"/>
        <v>0</v>
      </c>
      <c r="P25" s="2">
        <f>+L25</f>
        <v>35227</v>
      </c>
      <c r="Q25" s="871" t="s">
        <v>174</v>
      </c>
      <c r="S25" s="83">
        <f t="shared" si="4"/>
        <v>2.0013058165611605E-2</v>
      </c>
      <c r="T25" s="2">
        <f>ROUND(P25*(1+U19),0)</f>
        <v>35932</v>
      </c>
      <c r="U25" s="36" t="str">
        <f>TEXT(U19,"0.0%")&amp;" = Est. S &amp; C"</f>
        <v>2.0% = Est. S &amp; C</v>
      </c>
      <c r="W25" s="83">
        <f t="shared" si="5"/>
        <v>2.0010018924635421E-2</v>
      </c>
      <c r="X25" s="2">
        <f>ROUND(T25*(1+Y19),0)</f>
        <v>36651</v>
      </c>
      <c r="Y25" s="36" t="str">
        <f>TEXT(Y19,"0.0%")&amp;" = Est. S &amp; C"</f>
        <v>2.0% = Est. S &amp; C</v>
      </c>
      <c r="AA25" s="83">
        <f t="shared" si="6"/>
        <v>1.9999454312297073E-2</v>
      </c>
      <c r="AB25" s="2">
        <f>ROUND(X25*(1+AC19),0)</f>
        <v>37384</v>
      </c>
      <c r="AC25" s="36" t="str">
        <f>TEXT(AC19,"0.0%")&amp;" = Est. S &amp; C"</f>
        <v>2.0% = Est. S &amp; C</v>
      </c>
    </row>
    <row r="26" spans="1:29" x14ac:dyDescent="0.25">
      <c r="A26" s="152"/>
      <c r="B26" s="939">
        <v>1181</v>
      </c>
      <c r="C26" s="857" t="s">
        <v>412</v>
      </c>
      <c r="D26" s="2">
        <v>25560.78</v>
      </c>
      <c r="E26" s="863"/>
      <c r="F26" s="2"/>
      <c r="G26" s="83">
        <f t="shared" si="1"/>
        <v>0.65527030082806559</v>
      </c>
      <c r="H26" s="2">
        <v>42310</v>
      </c>
      <c r="I26" s="871"/>
      <c r="J26" s="66"/>
      <c r="K26" s="83">
        <f t="shared" si="2"/>
        <v>0</v>
      </c>
      <c r="L26" s="2">
        <f>+H26</f>
        <v>42310</v>
      </c>
      <c r="M26" s="871" t="s">
        <v>174</v>
      </c>
      <c r="O26" s="83">
        <f t="shared" si="3"/>
        <v>0</v>
      </c>
      <c r="P26" s="2">
        <f>+L26</f>
        <v>42310</v>
      </c>
      <c r="Q26" s="871" t="s">
        <v>174</v>
      </c>
      <c r="S26" s="83">
        <f t="shared" si="4"/>
        <v>1.9995272985109905E-2</v>
      </c>
      <c r="T26" s="2">
        <f>ROUND(P26*(1+U19),0)</f>
        <v>43156</v>
      </c>
      <c r="U26" s="36" t="str">
        <f>TEXT(U19,"0.0%")&amp;" = Est. S &amp; C"</f>
        <v>2.0% = Est. S &amp; C</v>
      </c>
      <c r="W26" s="83">
        <f t="shared" si="5"/>
        <v>1.9997219390119565E-2</v>
      </c>
      <c r="X26" s="2">
        <f>ROUND(T26*(1+Y19),0)</f>
        <v>44019</v>
      </c>
      <c r="Y26" s="36" t="str">
        <f>TEXT(Y19,"0.0%")&amp;" = Est. S &amp; C"</f>
        <v>2.0% = Est. S &amp; C</v>
      </c>
      <c r="AA26" s="83">
        <f t="shared" si="6"/>
        <v>1.999136736409278E-2</v>
      </c>
      <c r="AB26" s="2">
        <f>ROUND(X26*(1+AC19),0)</f>
        <v>44899</v>
      </c>
      <c r="AC26" s="36" t="str">
        <f>TEXT(AC19,"0.0%")&amp;" = Est. S &amp; C"</f>
        <v>2.0% = Est. S &amp; C</v>
      </c>
    </row>
    <row r="27" spans="1:29" x14ac:dyDescent="0.25">
      <c r="A27" s="152"/>
      <c r="B27" s="939">
        <v>1204</v>
      </c>
      <c r="C27" s="857" t="s">
        <v>40</v>
      </c>
      <c r="D27" s="2">
        <v>330921.26</v>
      </c>
      <c r="E27" s="863"/>
      <c r="F27" s="2"/>
      <c r="G27" s="83">
        <f t="shared" si="1"/>
        <v>3.3146072271089476E-2</v>
      </c>
      <c r="H27" s="2">
        <v>341890</v>
      </c>
      <c r="I27" s="871"/>
      <c r="J27" s="66"/>
      <c r="K27" s="83">
        <f t="shared" si="2"/>
        <v>1.499897627892012E-2</v>
      </c>
      <c r="L27" s="2">
        <f>ROUND(H27*(1+M19),0)</f>
        <v>347018</v>
      </c>
      <c r="M27" s="871" t="str">
        <f>TEXT(M19,"0.0%")&amp;" = Est. S &amp; C"</f>
        <v>1.5% = Est. S &amp; C</v>
      </c>
      <c r="O27" s="83">
        <f t="shared" si="3"/>
        <v>1.4999221942377629E-2</v>
      </c>
      <c r="P27" s="2">
        <f>ROUND(L27*(1+Q19),0)</f>
        <v>352223</v>
      </c>
      <c r="Q27" s="871" t="str">
        <f>TEXT(Q19,"0.0%")&amp;" = Est. S &amp; C"</f>
        <v>1.5% = Est. S &amp; C</v>
      </c>
      <c r="S27" s="83">
        <f t="shared" si="4"/>
        <v>1.999869400919304E-2</v>
      </c>
      <c r="T27" s="2">
        <f>ROUND(P27*(1+U19),0)</f>
        <v>359267</v>
      </c>
      <c r="U27" s="36" t="str">
        <f>TEXT(U19,"0.0%")&amp;" = Est. S &amp; C"</f>
        <v>2.0% = Est. S &amp; C</v>
      </c>
      <c r="W27" s="83">
        <f t="shared" si="5"/>
        <v>1.9999053628638311E-2</v>
      </c>
      <c r="X27" s="2">
        <f>ROUND(T27*(1+Y19),0)</f>
        <v>366452</v>
      </c>
      <c r="Y27" s="36" t="str">
        <f>TEXT(Y19,"0.0%")&amp;" = Est. S &amp; C"</f>
        <v>2.0% = Est. S &amp; C</v>
      </c>
      <c r="AA27" s="83">
        <f t="shared" si="6"/>
        <v>1.9999890845185726E-2</v>
      </c>
      <c r="AB27" s="2">
        <f>ROUND(X27*(1+AC19),0)</f>
        <v>373781</v>
      </c>
      <c r="AC27" s="36" t="str">
        <f>TEXT(AC19,"0.0%")&amp;" = Est. S &amp; C"</f>
        <v>2.0% = Est. S &amp; C</v>
      </c>
    </row>
    <row r="28" spans="1:29" x14ac:dyDescent="0.25">
      <c r="A28" s="152"/>
      <c r="B28" s="939">
        <v>1303</v>
      </c>
      <c r="C28" s="857" t="s">
        <v>989</v>
      </c>
      <c r="D28" s="2">
        <v>0</v>
      </c>
      <c r="E28" s="863"/>
      <c r="F28" s="2"/>
      <c r="G28" s="83" t="str">
        <f t="shared" si="1"/>
        <v>0.00%</v>
      </c>
      <c r="H28" s="2">
        <v>114807</v>
      </c>
      <c r="I28" s="871"/>
      <c r="J28" s="66"/>
      <c r="K28" s="83">
        <f t="shared" ref="K28" si="11">IF(H28=0,"0.00%",(L28-H28)/H28)</f>
        <v>1.4999085421620633E-2</v>
      </c>
      <c r="L28" s="2">
        <f>ROUND(H28*(1+M19),0)</f>
        <v>116529</v>
      </c>
      <c r="M28" s="871" t="str">
        <f>TEXT(M19,"0.0%")&amp;" = Est. S &amp; C"</f>
        <v>1.5% = Est. S &amp; C</v>
      </c>
      <c r="O28" s="83">
        <f t="shared" ref="O28" si="12">IF(L28=0,"0.00%",(P28-L28)/L28)</f>
        <v>1.5000557801062396E-2</v>
      </c>
      <c r="P28" s="2">
        <f>ROUND(L28*(1+Q19),0)</f>
        <v>118277</v>
      </c>
      <c r="Q28" s="871" t="str">
        <f>TEXT(Q19,"0.0%")&amp;" = Est. S &amp; C"</f>
        <v>1.5% = Est. S &amp; C</v>
      </c>
      <c r="S28" s="83"/>
      <c r="T28" s="2"/>
      <c r="U28" s="36"/>
      <c r="W28" s="83"/>
      <c r="X28" s="2"/>
      <c r="Y28" s="36"/>
      <c r="AA28" s="83"/>
      <c r="AB28" s="2"/>
      <c r="AC28" s="36"/>
    </row>
    <row r="29" spans="1:29" x14ac:dyDescent="0.25">
      <c r="A29" s="152"/>
      <c r="B29" s="939">
        <v>1304</v>
      </c>
      <c r="C29" s="857" t="s">
        <v>413</v>
      </c>
      <c r="D29" s="2">
        <v>337261.6</v>
      </c>
      <c r="E29" s="863"/>
      <c r="F29" s="2"/>
      <c r="G29" s="83">
        <f t="shared" si="1"/>
        <v>2.5862416592935644E-2</v>
      </c>
      <c r="H29" s="2">
        <v>345984</v>
      </c>
      <c r="I29" s="871"/>
      <c r="J29" s="66"/>
      <c r="K29" s="83">
        <f t="shared" si="2"/>
        <v>1.5000693673695893E-2</v>
      </c>
      <c r="L29" s="2">
        <f>ROUND(H29*(1+$M$19),0)</f>
        <v>351174</v>
      </c>
      <c r="M29" s="871" t="str">
        <f>TEXT(M19,"0.0%")&amp;" = Est. S &amp; C"</f>
        <v>1.5% = Est. S &amp; C</v>
      </c>
      <c r="O29" s="83">
        <f t="shared" si="3"/>
        <v>1.5001110560576809E-2</v>
      </c>
      <c r="P29" s="2">
        <f>ROUND(L29*(1+$Q$19),0)</f>
        <v>356442</v>
      </c>
      <c r="Q29" s="871" t="str">
        <f>TEXT($Q$19,"0.0%")&amp;" = Est. S &amp; C"</f>
        <v>1.5% = Est. S &amp; C</v>
      </c>
      <c r="S29" s="83">
        <f t="shared" si="4"/>
        <v>2.0000448880883846E-2</v>
      </c>
      <c r="T29" s="2">
        <f>ROUND(P29*(1+U19),0)</f>
        <v>363571</v>
      </c>
      <c r="U29" s="36" t="str">
        <f>TEXT(U19,"0.0%")&amp;" = Est. S &amp; C"</f>
        <v>2.0% = Est. S &amp; C</v>
      </c>
      <c r="W29" s="83">
        <f t="shared" si="5"/>
        <v>1.9998844792351426E-2</v>
      </c>
      <c r="X29" s="2">
        <f>ROUND(T29*(1+Y19),0)</f>
        <v>370842</v>
      </c>
      <c r="Y29" s="36" t="str">
        <f>TEXT(Y19,"0.0%")&amp;" = Est. S &amp; C"</f>
        <v>2.0% = Est. S &amp; C</v>
      </c>
      <c r="AA29" s="83">
        <f t="shared" si="6"/>
        <v>2.0000431450590817E-2</v>
      </c>
      <c r="AB29" s="2">
        <f>ROUND(X29*(1+AC19),0)</f>
        <v>378259</v>
      </c>
      <c r="AC29" s="36" t="str">
        <f>TEXT(AC19,"0.0%")&amp;" = Est. S &amp; C"</f>
        <v>2.0% = Est. S &amp; C</v>
      </c>
    </row>
    <row r="30" spans="1:29" x14ac:dyDescent="0.25">
      <c r="A30" s="152"/>
      <c r="B30" s="939">
        <v>1305</v>
      </c>
      <c r="C30" s="857" t="s">
        <v>414</v>
      </c>
      <c r="D30" s="2">
        <v>301463.78999999998</v>
      </c>
      <c r="E30" s="863"/>
      <c r="F30" s="2"/>
      <c r="G30" s="83">
        <f>IF(D30=0,"0.00%",(H30-D30)/D30)</f>
        <v>-4.331130448535786E-2</v>
      </c>
      <c r="H30" s="2">
        <v>288407</v>
      </c>
      <c r="I30" s="871"/>
      <c r="J30" s="66"/>
      <c r="K30" s="83">
        <f>IF(H30=0,"0.00%",(L30-H30)/H30)</f>
        <v>1.4999635931166719E-2</v>
      </c>
      <c r="L30" s="2">
        <f>ROUND(H30*(1+$M$19),0)</f>
        <v>292733</v>
      </c>
      <c r="M30" s="871" t="str">
        <f>TEXT($M$19,"0.0%")&amp;" = Est. S &amp; C"</f>
        <v>1.5% = Est. S &amp; C</v>
      </c>
      <c r="O30" s="83">
        <f>IF(L30=0,"0.00%",(P30-L30)/L30)</f>
        <v>1.500001708041116E-2</v>
      </c>
      <c r="P30" s="2">
        <f t="shared" ref="P30" si="13">ROUND(L30*(1+$Q$19),0)</f>
        <v>297124</v>
      </c>
      <c r="Q30" s="871" t="str">
        <f t="shared" ref="Q30" si="14">TEXT($Q$19,"0.0%")&amp;" = Est. S &amp; C"</f>
        <v>1.5% = Est. S &amp; C</v>
      </c>
      <c r="S30" s="83">
        <f>IF(P30=0,"0.00%",(T30-P30)/P30)</f>
        <v>0</v>
      </c>
      <c r="T30" s="2">
        <f>ROUND(P30*(1+U20),0)</f>
        <v>297124</v>
      </c>
      <c r="U30" s="36" t="str">
        <f>TEXT(U20,"0.0%")&amp;" = Est. S &amp; C"</f>
        <v>0.0% = Est. S &amp; C</v>
      </c>
      <c r="W30" s="83">
        <f>IF(T30=0,"0.00%",(X30-T30)/T30)</f>
        <v>0</v>
      </c>
      <c r="X30" s="2">
        <f>ROUND(T30*(1+Y20),0)</f>
        <v>297124</v>
      </c>
      <c r="Y30" s="36" t="str">
        <f>TEXT(Y20,"0.0%")&amp;" = Est. S &amp; C"</f>
        <v>0.0% = Est. S &amp; C</v>
      </c>
      <c r="AA30" s="83">
        <f>IF(X30=0,"0.00%",(AB30-X30)/X30)</f>
        <v>0</v>
      </c>
      <c r="AB30" s="2">
        <f>ROUND(X30*(1+AC20),0)</f>
        <v>297124</v>
      </c>
      <c r="AC30" s="36" t="str">
        <f>TEXT(AC20,"0.0%")&amp;" = Est. S &amp; C"</f>
        <v>0.0% = Est. S &amp; C</v>
      </c>
    </row>
    <row r="31" spans="1:29" x14ac:dyDescent="0.25">
      <c r="A31" s="152"/>
      <c r="B31" s="939">
        <v>1310</v>
      </c>
      <c r="C31" s="857" t="s">
        <v>698</v>
      </c>
      <c r="D31" s="2">
        <v>22826.16</v>
      </c>
      <c r="E31" s="863"/>
      <c r="F31" s="2"/>
      <c r="G31" s="83">
        <f>IF(D31=0,"0.00%",(H31-D31)/D31)</f>
        <v>-0.40997522141262482</v>
      </c>
      <c r="H31" s="2">
        <v>13468</v>
      </c>
      <c r="I31" s="871"/>
      <c r="J31" s="66"/>
      <c r="K31" s="83">
        <f t="shared" ref="K31:K32" si="15">IF(H31=0,"0.00%",(L31-H31)/H31)</f>
        <v>0</v>
      </c>
      <c r="L31" s="2">
        <f>+H31</f>
        <v>13468</v>
      </c>
      <c r="M31" s="871" t="s">
        <v>174</v>
      </c>
      <c r="O31" s="83">
        <f t="shared" ref="O31:O33" si="16">IF(L31=0,"0.00%",(P31-L31)/L31)</f>
        <v>0</v>
      </c>
      <c r="P31" s="2">
        <f>+L31</f>
        <v>13468</v>
      </c>
      <c r="Q31" s="871" t="s">
        <v>174</v>
      </c>
      <c r="T31" s="2"/>
      <c r="U31" s="73"/>
      <c r="X31" s="2"/>
      <c r="Y31" s="73"/>
      <c r="AB31" s="2"/>
      <c r="AC31" s="73"/>
    </row>
    <row r="32" spans="1:29" x14ac:dyDescent="0.25">
      <c r="A32" s="152"/>
      <c r="B32" s="939" t="s">
        <v>37</v>
      </c>
      <c r="C32" s="857" t="s">
        <v>36</v>
      </c>
      <c r="D32" s="2">
        <v>0</v>
      </c>
      <c r="E32" s="863"/>
      <c r="F32" s="2"/>
      <c r="G32" s="83" t="str">
        <f>IF(D32=0,"0.00%",(H32-D32)/D32)</f>
        <v>0.00%</v>
      </c>
      <c r="H32" s="535">
        <v>0</v>
      </c>
      <c r="I32" s="976"/>
      <c r="J32" s="66"/>
      <c r="K32" s="83" t="str">
        <f t="shared" si="15"/>
        <v>0.00%</v>
      </c>
      <c r="L32" s="2">
        <v>0</v>
      </c>
      <c r="M32" s="854"/>
      <c r="O32" s="83" t="str">
        <f t="shared" si="16"/>
        <v>0.00%</v>
      </c>
      <c r="P32" s="1895"/>
      <c r="Q32" s="1896" t="s">
        <v>417</v>
      </c>
      <c r="T32" s="2"/>
      <c r="U32" s="73"/>
      <c r="X32" s="2"/>
      <c r="Y32" s="73"/>
      <c r="AB32" s="2"/>
      <c r="AC32" s="73"/>
    </row>
    <row r="33" spans="1:29" x14ac:dyDescent="0.25">
      <c r="A33" s="153"/>
      <c r="B33" s="939"/>
      <c r="D33" s="8">
        <f>SUM(D21:D32)</f>
        <v>2492769.41</v>
      </c>
      <c r="E33" s="863"/>
      <c r="F33" s="2"/>
      <c r="G33" s="83">
        <f t="shared" si="1"/>
        <v>3.1709948655058252E-2</v>
      </c>
      <c r="H33" s="8">
        <f>SUM(H21:H32)</f>
        <v>2571815</v>
      </c>
      <c r="I33" s="1292">
        <f>+H33-D33</f>
        <v>79045.589999999851</v>
      </c>
      <c r="J33" s="29"/>
      <c r="K33" s="83">
        <f>IF(H33=0,"0.00%",(L33-H33)/H33)</f>
        <v>1.4469547770737787E-2</v>
      </c>
      <c r="L33" s="8">
        <f>SUM(L21:L32)</f>
        <v>2609028</v>
      </c>
      <c r="M33" s="1292">
        <f>+L33-H33</f>
        <v>37213</v>
      </c>
      <c r="O33" s="83">
        <f t="shared" si="16"/>
        <v>1.4477038958570011E-2</v>
      </c>
      <c r="P33" s="8">
        <f>SUM(P21:P32)</f>
        <v>2646799</v>
      </c>
      <c r="Q33" s="1292">
        <f>+P33-L33</f>
        <v>37771</v>
      </c>
      <c r="S33" s="83">
        <f>IF(P33=0,"0.00%",(T33-P33)/P33)</f>
        <v>-3.3191035662322677E-2</v>
      </c>
      <c r="T33" s="8">
        <f>SUM(T21:T31)</f>
        <v>2558949</v>
      </c>
      <c r="U33" s="73"/>
      <c r="W33" s="83">
        <f>IF(T33=0,"0.00%",(X33-T33)/T33)</f>
        <v>1.7677569971109232E-2</v>
      </c>
      <c r="X33" s="8">
        <f>SUM(X21:X31)</f>
        <v>2604185</v>
      </c>
      <c r="Y33" s="73"/>
      <c r="AA33" s="83">
        <f>IF(X33=0,"0.00%",(AB33-X33)/X33)</f>
        <v>1.7718019265144373E-2</v>
      </c>
      <c r="AB33" s="8">
        <f>SUM(AB21:AB31)</f>
        <v>2650326</v>
      </c>
      <c r="AC33" s="73"/>
    </row>
    <row r="34" spans="1:29" x14ac:dyDescent="0.25">
      <c r="A34" s="152"/>
      <c r="E34" s="863"/>
      <c r="F34" s="2"/>
      <c r="H34" s="2"/>
      <c r="I34" s="871"/>
      <c r="J34" s="66"/>
      <c r="L34" s="2"/>
      <c r="M34" s="948"/>
      <c r="Q34" s="948"/>
      <c r="T34" s="2"/>
      <c r="U34" s="73"/>
      <c r="X34" s="2"/>
      <c r="Y34" s="73"/>
      <c r="AB34" s="2"/>
      <c r="AC34" s="73"/>
    </row>
    <row r="35" spans="1:29" s="4" customFormat="1" x14ac:dyDescent="0.25">
      <c r="A35" s="150"/>
      <c r="B35" s="940" t="s">
        <v>35</v>
      </c>
      <c r="C35" s="873"/>
      <c r="D35" s="6"/>
      <c r="E35" s="864"/>
      <c r="F35" s="6"/>
      <c r="G35" s="373"/>
      <c r="H35" s="6"/>
      <c r="I35" s="864"/>
      <c r="J35" s="57"/>
      <c r="K35" s="380"/>
      <c r="L35" s="6"/>
      <c r="M35" s="950"/>
      <c r="O35" s="380"/>
      <c r="P35" s="6"/>
      <c r="Q35" s="950"/>
      <c r="R35" s="111"/>
      <c r="T35" s="6"/>
      <c r="U35" s="71"/>
      <c r="X35" s="6"/>
      <c r="Y35" s="71"/>
      <c r="AB35" s="6"/>
      <c r="AC35" s="71"/>
    </row>
    <row r="36" spans="1:29" x14ac:dyDescent="0.25">
      <c r="A36" s="152"/>
      <c r="B36" s="939">
        <v>2101</v>
      </c>
      <c r="C36" s="857" t="s">
        <v>922</v>
      </c>
      <c r="D36" s="2">
        <v>1811.1</v>
      </c>
      <c r="E36" s="863"/>
      <c r="F36" s="2"/>
      <c r="G36" s="83">
        <f t="shared" ref="G36:G49" si="17">IF(D36=0,"0.00%",(H36-D36)/D36)</f>
        <v>-0.44784937330903868</v>
      </c>
      <c r="H36" s="2">
        <v>1000</v>
      </c>
      <c r="I36" s="871"/>
      <c r="J36" s="66"/>
      <c r="K36" s="83">
        <f t="shared" ref="K36:K41" si="18">IF(H36=0,"0.00%",(L36-H36)/H36)</f>
        <v>1.4999999999999999E-2</v>
      </c>
      <c r="L36" s="2">
        <f>ROUND(H36*(1+M19),0)</f>
        <v>1015</v>
      </c>
      <c r="M36" s="871" t="str">
        <f>TEXT(M19,"0.0%")&amp;" = Est. S &amp; C"</f>
        <v>1.5% = Est. S &amp; C</v>
      </c>
      <c r="O36" s="83">
        <f t="shared" ref="O36:O49" si="19">IF(L36=0,"0.00%",(P36-L36)/L36)</f>
        <v>1.4778325123152709E-2</v>
      </c>
      <c r="P36" s="2">
        <f>ROUND(L36*(1+Q19),0)</f>
        <v>1030</v>
      </c>
      <c r="Q36" s="871" t="str">
        <f>TEXT(Q19,"0.0%")&amp;" = Est. S &amp; C"</f>
        <v>1.5% = Est. S &amp; C</v>
      </c>
      <c r="S36" s="83">
        <f t="shared" ref="S36:S49" si="20">IF(P36=0,"0.00%",(T36-P36)/P36)</f>
        <v>2.0388349514563107E-2</v>
      </c>
      <c r="T36" s="2">
        <f>ROUND(P36*(1+U19),0)</f>
        <v>1051</v>
      </c>
      <c r="U36" s="36" t="str">
        <f>TEXT(U19,"0.0%")&amp;" = Est. S &amp; C"</f>
        <v>2.0% = Est. S &amp; C</v>
      </c>
      <c r="W36" s="83">
        <f t="shared" ref="W36:W49" si="21">IF(T36=0,"0.00%",(X36-T36)/T36)</f>
        <v>1.9980970504281638E-2</v>
      </c>
      <c r="X36" s="2">
        <f>ROUND(T36*(1+Y19),0)</f>
        <v>1072</v>
      </c>
      <c r="Y36" s="36" t="str">
        <f>TEXT(Y19,"0.0%")&amp;" = Est. S &amp; C"</f>
        <v>2.0% = Est. S &amp; C</v>
      </c>
      <c r="AA36" s="83">
        <f t="shared" ref="AA36:AA49" si="22">IF(X36=0,"0.00%",(AB36-X36)/X36)</f>
        <v>1.9589552238805971E-2</v>
      </c>
      <c r="AB36" s="2">
        <f>ROUND(X36*(1+AC19),0)</f>
        <v>1093</v>
      </c>
      <c r="AC36" s="36" t="str">
        <f>TEXT(AC19,"0.0%")&amp;" = Est. S &amp; C"</f>
        <v>2.0% = Est. S &amp; C</v>
      </c>
    </row>
    <row r="37" spans="1:29" x14ac:dyDescent="0.25">
      <c r="A37" s="152"/>
      <c r="B37" s="939">
        <v>2120</v>
      </c>
      <c r="C37" s="857" t="s">
        <v>914</v>
      </c>
      <c r="D37" s="2">
        <v>2072.4</v>
      </c>
      <c r="E37" s="863"/>
      <c r="F37" s="2"/>
      <c r="G37" s="83">
        <f t="shared" si="17"/>
        <v>-1</v>
      </c>
      <c r="H37" s="2">
        <v>0</v>
      </c>
      <c r="I37" s="871"/>
      <c r="J37" s="66"/>
      <c r="K37" s="83" t="str">
        <f t="shared" si="18"/>
        <v>0.00%</v>
      </c>
      <c r="L37" s="2">
        <f>ROUND(H37*(1+M19),0)</f>
        <v>0</v>
      </c>
      <c r="M37" s="871" t="str">
        <f>TEXT(M19,"0.0%")&amp;" = Est. S &amp; C"</f>
        <v>1.5% = Est. S &amp; C</v>
      </c>
      <c r="O37" s="83" t="str">
        <f t="shared" si="19"/>
        <v>0.00%</v>
      </c>
      <c r="P37" s="2">
        <f>ROUND(L37*(1+Q19),0)</f>
        <v>0</v>
      </c>
      <c r="Q37" s="871" t="str">
        <f>TEXT(Q19,"0.0%")&amp;" = Est. S &amp; C"</f>
        <v>1.5% = Est. S &amp; C</v>
      </c>
      <c r="S37" s="83" t="str">
        <f t="shared" si="20"/>
        <v>0.00%</v>
      </c>
      <c r="T37" s="2">
        <f>ROUND(P37*(1+U19),0)</f>
        <v>0</v>
      </c>
      <c r="U37" s="36" t="str">
        <f>TEXT(U19,"0.0%")&amp;" = Est. S &amp; C"</f>
        <v>2.0% = Est. S &amp; C</v>
      </c>
      <c r="W37" s="83" t="str">
        <f t="shared" si="21"/>
        <v>0.00%</v>
      </c>
      <c r="X37" s="2">
        <f>ROUND(T37*(1+Y19),0)</f>
        <v>0</v>
      </c>
      <c r="Y37" s="36" t="str">
        <f>TEXT(Y19,"0.0%")&amp;" = Est. S &amp; C"</f>
        <v>2.0% = Est. S &amp; C</v>
      </c>
      <c r="AA37" s="83" t="str">
        <f t="shared" si="22"/>
        <v>0.00%</v>
      </c>
      <c r="AB37" s="2">
        <f>ROUND(X37*(1+AC19),0)</f>
        <v>0</v>
      </c>
      <c r="AC37" s="36" t="str">
        <f>TEXT(AC19,"0.0%")&amp;" = Est. S &amp; C"</f>
        <v>2.0% = Est. S &amp; C</v>
      </c>
    </row>
    <row r="38" spans="1:29" x14ac:dyDescent="0.25">
      <c r="A38" s="152"/>
      <c r="B38" s="939">
        <v>2208</v>
      </c>
      <c r="C38" s="857" t="s">
        <v>274</v>
      </c>
      <c r="D38" s="2">
        <v>93377.75</v>
      </c>
      <c r="E38" s="863"/>
      <c r="F38" s="2"/>
      <c r="G38" s="83">
        <f t="shared" si="17"/>
        <v>0.82107621997745717</v>
      </c>
      <c r="H38" s="2">
        <v>170048</v>
      </c>
      <c r="I38" s="1079"/>
      <c r="J38" s="66"/>
      <c r="K38" s="83">
        <f t="shared" si="18"/>
        <v>1.5001646593902898E-2</v>
      </c>
      <c r="L38" s="2">
        <f>ROUND(H38*(1+M19),0)</f>
        <v>172599</v>
      </c>
      <c r="M38" s="871" t="str">
        <f>TEXT(M19,"0.0%")&amp;" = Est. S &amp; C"</f>
        <v>1.5% = Est. S &amp; C</v>
      </c>
      <c r="O38" s="83">
        <f t="shared" si="19"/>
        <v>1.5000086906644882E-2</v>
      </c>
      <c r="P38" s="2">
        <f>ROUND(L38*(1+Q19),0)</f>
        <v>175188</v>
      </c>
      <c r="Q38" s="871" t="str">
        <f>TEXT(Q19,"0.0%")&amp;" = Est. S &amp; C"</f>
        <v>1.5% = Est. S &amp; C</v>
      </c>
      <c r="S38" s="83">
        <f t="shared" si="20"/>
        <v>2.0001369956846361E-2</v>
      </c>
      <c r="T38" s="2">
        <f>ROUND(P38*(1+U19),0)</f>
        <v>178692</v>
      </c>
      <c r="U38" s="36" t="str">
        <f>TEXT(U19,"0.0%")&amp;" = Est. S &amp; C"</f>
        <v>2.0% = Est. S &amp; C</v>
      </c>
      <c r="W38" s="83">
        <f t="shared" si="21"/>
        <v>2.0000895395429007E-2</v>
      </c>
      <c r="X38" s="2">
        <f>ROUND(T38*(1+Y19),0)</f>
        <v>182266</v>
      </c>
      <c r="Y38" s="36" t="str">
        <f>TEXT(Y19,"0.0%")&amp;" = Est. S &amp; C"</f>
        <v>2.0% = Est. S &amp; C</v>
      </c>
      <c r="AA38" s="83">
        <f t="shared" si="22"/>
        <v>1.9998244324229423E-2</v>
      </c>
      <c r="AB38" s="2">
        <f>ROUND(X38*(1+AC19),0)</f>
        <v>185911</v>
      </c>
      <c r="AC38" s="36" t="str">
        <f>TEXT(AC19,"0.0%")&amp;" = Est. S &amp; C"</f>
        <v>2.0% = Est. S &amp; C</v>
      </c>
    </row>
    <row r="39" spans="1:29" x14ac:dyDescent="0.25">
      <c r="A39" s="152"/>
      <c r="B39" s="939">
        <v>2273</v>
      </c>
      <c r="C39" s="857" t="s">
        <v>915</v>
      </c>
      <c r="D39" s="2">
        <v>37.04</v>
      </c>
      <c r="E39" s="863"/>
      <c r="F39" s="2"/>
      <c r="G39" s="83">
        <f t="shared" si="17"/>
        <v>2.5917926565874754E-2</v>
      </c>
      <c r="H39" s="2">
        <v>38</v>
      </c>
      <c r="I39" s="871"/>
      <c r="J39" s="66"/>
      <c r="K39" s="83">
        <f t="shared" si="18"/>
        <v>0</v>
      </c>
      <c r="L39" s="2">
        <f>+H39</f>
        <v>38</v>
      </c>
      <c r="M39" s="871" t="s">
        <v>174</v>
      </c>
      <c r="O39" s="83">
        <f t="shared" si="19"/>
        <v>0</v>
      </c>
      <c r="P39" s="2">
        <f>+L39</f>
        <v>38</v>
      </c>
      <c r="Q39" s="871" t="s">
        <v>174</v>
      </c>
      <c r="S39" s="83">
        <f t="shared" si="20"/>
        <v>2.6315789473684209E-2</v>
      </c>
      <c r="T39" s="2">
        <f>ROUND(P39*(1+U19),0)</f>
        <v>39</v>
      </c>
      <c r="U39" s="36" t="str">
        <f>TEXT(U19,"0.0%")&amp;" = Est. S &amp; C"</f>
        <v>2.0% = Est. S &amp; C</v>
      </c>
      <c r="W39" s="83">
        <f t="shared" si="21"/>
        <v>2.564102564102564E-2</v>
      </c>
      <c r="X39" s="2">
        <f>ROUND(T39*(1+Y19),0)</f>
        <v>40</v>
      </c>
      <c r="Y39" s="36" t="str">
        <f>TEXT(Y19,"0.0%")&amp;" = Est. S &amp; C"</f>
        <v>2.0% = Est. S &amp; C</v>
      </c>
      <c r="AA39" s="83">
        <f t="shared" si="22"/>
        <v>2.5000000000000001E-2</v>
      </c>
      <c r="AB39" s="2">
        <f>ROUND(X39*(1+AC19),0)</f>
        <v>41</v>
      </c>
      <c r="AC39" s="36" t="str">
        <f>TEXT(AC19,"0.0%")&amp;" = Est. S &amp; C"</f>
        <v>2.0% = Est. S &amp; C</v>
      </c>
    </row>
    <row r="40" spans="1:29" x14ac:dyDescent="0.25">
      <c r="A40" s="152"/>
      <c r="B40" s="939">
        <v>2404</v>
      </c>
      <c r="C40" s="857" t="s">
        <v>31</v>
      </c>
      <c r="D40" s="2">
        <v>18175.25</v>
      </c>
      <c r="E40" s="863"/>
      <c r="F40" s="2"/>
      <c r="G40" s="83">
        <f t="shared" si="17"/>
        <v>9.9627240340573034E-2</v>
      </c>
      <c r="H40" s="2">
        <v>19986</v>
      </c>
      <c r="I40" s="871"/>
      <c r="J40" s="66"/>
      <c r="K40" s="83">
        <f t="shared" si="18"/>
        <v>1.5010507355148604E-2</v>
      </c>
      <c r="L40" s="2">
        <f>ROUND(H40*(1+M19),0)</f>
        <v>20286</v>
      </c>
      <c r="M40" s="871" t="str">
        <f>TEXT(M19,"0.0%")&amp;" = Est. S &amp; C"</f>
        <v>1.5% = Est. S &amp; C</v>
      </c>
      <c r="O40" s="83">
        <f t="shared" si="19"/>
        <v>1.4985704426698216E-2</v>
      </c>
      <c r="P40" s="2">
        <f>ROUND(L40*(1+Q19),0)</f>
        <v>20590</v>
      </c>
      <c r="Q40" s="871" t="str">
        <f>TEXT(Q19,"0.0%")&amp;" = Est. S &amp; C"</f>
        <v>1.5% = Est. S &amp; C</v>
      </c>
      <c r="S40" s="83">
        <f t="shared" si="20"/>
        <v>2.0009713453132589E-2</v>
      </c>
      <c r="T40" s="2">
        <f>ROUND(P40*(1+U19),0)</f>
        <v>21002</v>
      </c>
      <c r="U40" s="36" t="str">
        <f>TEXT(U19,"0.0%")&amp;" = Est. S &amp; C"</f>
        <v>2.0% = Est. S &amp; C</v>
      </c>
      <c r="W40" s="83">
        <f t="shared" si="21"/>
        <v>1.9998095419483858E-2</v>
      </c>
      <c r="X40" s="2">
        <f>ROUND(T40*(1+Y19),0)</f>
        <v>21422</v>
      </c>
      <c r="Y40" s="36" t="str">
        <f>TEXT(Y19,"0.0%")&amp;" = Est. S &amp; C"</f>
        <v>2.0% = Est. S &amp; C</v>
      </c>
      <c r="AA40" s="83">
        <f t="shared" si="22"/>
        <v>1.997946036784614E-2</v>
      </c>
      <c r="AB40" s="2">
        <f>ROUND(X40*(1+AC19),0)</f>
        <v>21850</v>
      </c>
      <c r="AC40" s="36" t="str">
        <f>TEXT(AC19,"0.0%")&amp;" = Est. S &amp; C"</f>
        <v>2.0% = Est. S &amp; C</v>
      </c>
    </row>
    <row r="41" spans="1:29" x14ac:dyDescent="0.25">
      <c r="A41" s="152"/>
      <c r="B41" s="939">
        <v>2418</v>
      </c>
      <c r="C41" s="857" t="s">
        <v>916</v>
      </c>
      <c r="D41" s="2">
        <v>89387.28</v>
      </c>
      <c r="E41" s="863"/>
      <c r="F41" s="2"/>
      <c r="G41" s="83">
        <f t="shared" si="17"/>
        <v>9.6912222857659408E-2</v>
      </c>
      <c r="H41" s="2">
        <v>98050</v>
      </c>
      <c r="I41" s="871"/>
      <c r="J41" s="66"/>
      <c r="K41" s="83">
        <f t="shared" si="18"/>
        <v>1.5002549719530852E-2</v>
      </c>
      <c r="L41" s="2">
        <f>ROUND(H41*(1+M19),0)</f>
        <v>99521</v>
      </c>
      <c r="M41" s="871" t="str">
        <f>TEXT(M19,"0.0%")&amp;" = Est. S &amp; C"</f>
        <v>1.5% = Est. S &amp; C</v>
      </c>
      <c r="O41" s="83">
        <f t="shared" si="19"/>
        <v>1.5001858904150882E-2</v>
      </c>
      <c r="P41" s="2">
        <f>ROUND(L41*(1+Q19),0)</f>
        <v>101014</v>
      </c>
      <c r="Q41" s="871" t="str">
        <f>TEXT(Q19,"0.0%")&amp;" = Est. S &amp; C"</f>
        <v>1.5% = Est. S &amp; C</v>
      </c>
      <c r="S41" s="83">
        <f t="shared" si="20"/>
        <v>1.9997228106995071E-2</v>
      </c>
      <c r="T41" s="2">
        <f>ROUND(P41*(1+U19),0)</f>
        <v>103034</v>
      </c>
      <c r="U41" s="36" t="str">
        <f>TEXT(U19,"0.0%")&amp;" = Est. S &amp; C"</f>
        <v>2.0% = Est. S &amp; C</v>
      </c>
      <c r="W41" s="83">
        <f t="shared" si="21"/>
        <v>2.0003105770910572E-2</v>
      </c>
      <c r="X41" s="2">
        <f>ROUND(T41*(1+Y19),0)</f>
        <v>105095</v>
      </c>
      <c r="Y41" s="36" t="str">
        <f>TEXT(Y19,"0.0%")&amp;" = Est. S &amp; C"</f>
        <v>2.0% = Est. S &amp; C</v>
      </c>
      <c r="AA41" s="83">
        <f t="shared" si="22"/>
        <v>2.0000951520053285E-2</v>
      </c>
      <c r="AB41" s="2">
        <f>ROUND(X41*(1+AC19),0)</f>
        <v>107197</v>
      </c>
      <c r="AC41" s="36" t="str">
        <f>TEXT(AC19,"0.0%")&amp;" = Est. S &amp; C"</f>
        <v>2.0% = Est. S &amp; C</v>
      </c>
    </row>
    <row r="42" spans="1:29" x14ac:dyDescent="0.25">
      <c r="A42" s="152"/>
      <c r="B42" s="939">
        <v>2473</v>
      </c>
      <c r="C42" s="857" t="s">
        <v>917</v>
      </c>
      <c r="D42" s="2">
        <v>0</v>
      </c>
      <c r="E42" s="863"/>
      <c r="F42" s="2"/>
      <c r="G42" s="83" t="str">
        <f t="shared" si="17"/>
        <v>0.00%</v>
      </c>
      <c r="H42" s="2">
        <v>0</v>
      </c>
      <c r="I42" s="871"/>
      <c r="J42" s="66"/>
      <c r="K42" s="83" t="str">
        <f t="shared" ref="K42:K49" si="23">IF(H42=0,"0.00%",(L42-H42)/H42)</f>
        <v>0.00%</v>
      </c>
      <c r="L42" s="2">
        <f>ROUND(H42*(1+M19),0)</f>
        <v>0</v>
      </c>
      <c r="M42" s="871" t="str">
        <f>TEXT(M19,"0.0%")&amp;" = Est. S &amp; C"</f>
        <v>1.5% = Est. S &amp; C</v>
      </c>
      <c r="O42" s="83" t="str">
        <f t="shared" si="19"/>
        <v>0.00%</v>
      </c>
      <c r="P42" s="2">
        <f>ROUND(L42*(1+Q19),0)</f>
        <v>0</v>
      </c>
      <c r="Q42" s="871" t="str">
        <f>TEXT(Q19,"0.0%")&amp;" = Est. S &amp; C"</f>
        <v>1.5% = Est. S &amp; C</v>
      </c>
      <c r="S42" s="83"/>
      <c r="T42" s="2"/>
      <c r="U42" s="36"/>
      <c r="W42" s="83"/>
      <c r="X42" s="2"/>
      <c r="Y42" s="36"/>
      <c r="AA42" s="83"/>
      <c r="AB42" s="2"/>
      <c r="AC42" s="36"/>
    </row>
    <row r="43" spans="1:29" x14ac:dyDescent="0.25">
      <c r="A43" s="152"/>
      <c r="B43" s="939">
        <v>2481</v>
      </c>
      <c r="C43" s="857" t="s">
        <v>918</v>
      </c>
      <c r="D43" s="2">
        <v>88.4</v>
      </c>
      <c r="E43" s="863"/>
      <c r="F43" s="2"/>
      <c r="G43" s="83">
        <f t="shared" si="17"/>
        <v>-0.15158371040723986</v>
      </c>
      <c r="H43" s="2">
        <v>75</v>
      </c>
      <c r="I43" s="871"/>
      <c r="J43" s="66"/>
      <c r="K43" s="83">
        <f t="shared" si="23"/>
        <v>1.3333333333333334E-2</v>
      </c>
      <c r="L43" s="2">
        <f>ROUND(H43*(1+M19),0)</f>
        <v>76</v>
      </c>
      <c r="M43" s="871" t="str">
        <f>TEXT(M19,"0.0%")&amp;" = Est. S &amp; C"</f>
        <v>1.5% = Est. S &amp; C</v>
      </c>
      <c r="O43" s="83">
        <f t="shared" si="19"/>
        <v>1.3157894736842105E-2</v>
      </c>
      <c r="P43" s="2">
        <f>ROUND(L43*(1+Q19),0)</f>
        <v>77</v>
      </c>
      <c r="Q43" s="871" t="str">
        <f>TEXT(Q19,"0.0%")&amp;" = Est. S &amp; C"</f>
        <v>1.5% = Est. S &amp; C</v>
      </c>
      <c r="S43" s="83"/>
      <c r="T43" s="2"/>
      <c r="U43" s="36"/>
      <c r="W43" s="83"/>
      <c r="X43" s="2"/>
      <c r="Y43" s="36"/>
      <c r="AA43" s="83"/>
      <c r="AB43" s="2"/>
      <c r="AC43" s="36"/>
    </row>
    <row r="44" spans="1:29" x14ac:dyDescent="0.25">
      <c r="A44" s="152"/>
      <c r="B44" s="939">
        <v>2901</v>
      </c>
      <c r="C44" s="857" t="s">
        <v>71</v>
      </c>
      <c r="D44" s="2">
        <v>73.86</v>
      </c>
      <c r="E44" s="863"/>
      <c r="F44" s="2"/>
      <c r="G44" s="83">
        <f t="shared" si="17"/>
        <v>-1</v>
      </c>
      <c r="H44" s="2">
        <v>0</v>
      </c>
      <c r="I44" s="871"/>
      <c r="J44" s="66"/>
      <c r="K44" s="83" t="str">
        <f t="shared" si="23"/>
        <v>0.00%</v>
      </c>
      <c r="L44" s="2">
        <f>ROUND(H44*(1+M19),0)</f>
        <v>0</v>
      </c>
      <c r="M44" s="871" t="str">
        <f>TEXT(M19,"0.0%")&amp;" = Est. S &amp; C"</f>
        <v>1.5% = Est. S &amp; C</v>
      </c>
      <c r="O44" s="83" t="str">
        <f t="shared" si="19"/>
        <v>0.00%</v>
      </c>
      <c r="P44" s="2">
        <f>ROUND(L44*(1+Q19),0)</f>
        <v>0</v>
      </c>
      <c r="Q44" s="871" t="str">
        <f>TEXT(Q19,"0.0%")&amp;" = Est. S &amp; C"</f>
        <v>1.5% = Est. S &amp; C</v>
      </c>
      <c r="S44" s="83"/>
      <c r="T44" s="2"/>
      <c r="U44" s="36"/>
      <c r="W44" s="83"/>
      <c r="X44" s="2"/>
      <c r="Y44" s="36"/>
      <c r="AA44" s="83"/>
      <c r="AB44" s="2"/>
      <c r="AC44" s="36"/>
    </row>
    <row r="45" spans="1:29" x14ac:dyDescent="0.25">
      <c r="A45" s="152"/>
      <c r="B45" s="939">
        <v>2907</v>
      </c>
      <c r="C45" s="857" t="s">
        <v>919</v>
      </c>
      <c r="D45" s="2">
        <v>3332.04</v>
      </c>
      <c r="E45" s="863"/>
      <c r="F45" s="2"/>
      <c r="G45" s="83">
        <f t="shared" si="17"/>
        <v>2.9999639860265794E-2</v>
      </c>
      <c r="H45" s="2">
        <v>3432</v>
      </c>
      <c r="I45" s="871"/>
      <c r="J45" s="66"/>
      <c r="K45" s="83">
        <f t="shared" si="23"/>
        <v>1.486013986013986E-2</v>
      </c>
      <c r="L45" s="2">
        <f>ROUND(H45*(1+M19),0)</f>
        <v>3483</v>
      </c>
      <c r="M45" s="871" t="str">
        <f>TEXT(M19,"0.0%")&amp;" = Est. S &amp; C"</f>
        <v>1.5% = Est. S &amp; C</v>
      </c>
      <c r="O45" s="83">
        <f t="shared" si="19"/>
        <v>1.4929658340511054E-2</v>
      </c>
      <c r="P45" s="2">
        <f>ROUND(L45*(1+Q19),0)</f>
        <v>3535</v>
      </c>
      <c r="Q45" s="871" t="str">
        <f>TEXT(Q19,"0.0%")&amp;" = Est. S &amp; C"</f>
        <v>1.5% = Est. S &amp; C</v>
      </c>
      <c r="S45" s="83"/>
      <c r="T45" s="2"/>
      <c r="U45" s="36"/>
      <c r="W45" s="83"/>
      <c r="X45" s="2"/>
      <c r="Y45" s="36"/>
      <c r="AA45" s="83"/>
      <c r="AB45" s="2"/>
      <c r="AC45" s="36"/>
    </row>
    <row r="46" spans="1:29" x14ac:dyDescent="0.25">
      <c r="A46" s="152"/>
      <c r="B46" s="939">
        <v>2910</v>
      </c>
      <c r="C46" s="857" t="s">
        <v>117</v>
      </c>
      <c r="D46" s="2">
        <v>883.78</v>
      </c>
      <c r="E46" s="863"/>
      <c r="F46" s="2"/>
      <c r="G46" s="83">
        <f t="shared" si="17"/>
        <v>1.9984837855574917</v>
      </c>
      <c r="H46" s="2">
        <v>2650</v>
      </c>
      <c r="I46" s="871"/>
      <c r="J46" s="66"/>
      <c r="K46" s="83">
        <f t="shared" si="23"/>
        <v>0</v>
      </c>
      <c r="L46" s="2">
        <f>+H46</f>
        <v>2650</v>
      </c>
      <c r="M46" s="871" t="s">
        <v>174</v>
      </c>
      <c r="O46" s="83">
        <f t="shared" si="19"/>
        <v>0</v>
      </c>
      <c r="P46" s="2">
        <f>+L46</f>
        <v>2650</v>
      </c>
      <c r="Q46" s="871" t="s">
        <v>174</v>
      </c>
      <c r="S46" s="83"/>
      <c r="T46" s="2"/>
      <c r="U46" s="36"/>
      <c r="W46" s="83"/>
      <c r="X46" s="2"/>
      <c r="Y46" s="36"/>
      <c r="AA46" s="83"/>
      <c r="AB46" s="2"/>
      <c r="AC46" s="36"/>
    </row>
    <row r="47" spans="1:29" x14ac:dyDescent="0.25">
      <c r="A47" s="152"/>
      <c r="B47" s="939">
        <v>2973</v>
      </c>
      <c r="C47" s="857" t="s">
        <v>920</v>
      </c>
      <c r="D47" s="2">
        <v>448.37</v>
      </c>
      <c r="E47" s="863"/>
      <c r="F47" s="2"/>
      <c r="G47" s="83">
        <f t="shared" si="17"/>
        <v>7.6981733835894461</v>
      </c>
      <c r="H47" s="2">
        <v>3900</v>
      </c>
      <c r="I47" s="871"/>
      <c r="J47" s="66"/>
      <c r="K47" s="83">
        <f t="shared" si="23"/>
        <v>0</v>
      </c>
      <c r="L47" s="2">
        <f>+H47</f>
        <v>3900</v>
      </c>
      <c r="M47" s="871" t="s">
        <v>174</v>
      </c>
      <c r="O47" s="83">
        <f t="shared" si="19"/>
        <v>0</v>
      </c>
      <c r="P47" s="2">
        <f>+L47</f>
        <v>3900</v>
      </c>
      <c r="Q47" s="871" t="s">
        <v>174</v>
      </c>
      <c r="S47" s="83"/>
      <c r="T47" s="2"/>
      <c r="U47" s="36"/>
      <c r="W47" s="83"/>
      <c r="X47" s="2"/>
      <c r="Y47" s="36"/>
      <c r="AA47" s="83"/>
      <c r="AB47" s="2"/>
      <c r="AC47" s="36"/>
    </row>
    <row r="48" spans="1:29" x14ac:dyDescent="0.25">
      <c r="A48" s="152"/>
      <c r="B48" s="939">
        <v>2981</v>
      </c>
      <c r="C48" s="857" t="s">
        <v>921</v>
      </c>
      <c r="D48" s="2">
        <v>0</v>
      </c>
      <c r="E48" s="863"/>
      <c r="F48" s="2"/>
      <c r="G48" s="83" t="str">
        <f t="shared" si="17"/>
        <v>0.00%</v>
      </c>
      <c r="H48" s="2">
        <v>220</v>
      </c>
      <c r="I48" s="871"/>
      <c r="J48" s="66"/>
      <c r="K48" s="83">
        <f t="shared" si="23"/>
        <v>1.3636363636363636E-2</v>
      </c>
      <c r="L48" s="2">
        <f>ROUND(H48*(1+M19),0)</f>
        <v>223</v>
      </c>
      <c r="M48" s="871" t="str">
        <f>TEXT(M19,"0.0%")&amp;" = Est. S &amp; C"</f>
        <v>1.5% = Est. S &amp; C</v>
      </c>
      <c r="O48" s="83">
        <f t="shared" si="19"/>
        <v>1.3452914798206279E-2</v>
      </c>
      <c r="P48" s="2">
        <f>ROUND(L48*(1+Q19),0)</f>
        <v>226</v>
      </c>
      <c r="Q48" s="871" t="str">
        <f>TEXT(Q19,"0.0%")&amp;" = Est. S &amp; C"</f>
        <v>1.5% = Est. S &amp; C</v>
      </c>
      <c r="S48" s="83"/>
      <c r="T48" s="2"/>
      <c r="U48" s="36"/>
      <c r="W48" s="83"/>
      <c r="X48" s="2"/>
      <c r="Y48" s="36"/>
      <c r="AA48" s="83"/>
      <c r="AB48" s="2"/>
      <c r="AC48" s="36"/>
    </row>
    <row r="49" spans="1:29" x14ac:dyDescent="0.25">
      <c r="A49" s="152"/>
      <c r="B49" s="939"/>
      <c r="D49" s="2">
        <v>0</v>
      </c>
      <c r="E49" s="863"/>
      <c r="F49" s="2"/>
      <c r="G49" s="83" t="str">
        <f t="shared" si="17"/>
        <v>0.00%</v>
      </c>
      <c r="H49" s="2">
        <f t="shared" ref="H49" si="24">ROUND(D49*(1+$I$19),0)</f>
        <v>0</v>
      </c>
      <c r="I49" s="871"/>
      <c r="J49" s="66"/>
      <c r="K49" s="83" t="str">
        <f t="shared" si="23"/>
        <v>0.00%</v>
      </c>
      <c r="L49" s="2">
        <f>ROUND(H49*(1+M19),0)</f>
        <v>0</v>
      </c>
      <c r="M49" s="871" t="str">
        <f>TEXT(M19,"0.0%")&amp;" = Est. S &amp; C"</f>
        <v>1.5% = Est. S &amp; C</v>
      </c>
      <c r="O49" s="83" t="str">
        <f t="shared" si="19"/>
        <v>0.00%</v>
      </c>
      <c r="P49" s="2">
        <f>ROUND(L49*(1+Q19),0)</f>
        <v>0</v>
      </c>
      <c r="Q49" s="871" t="str">
        <f>TEXT(Q19,"0.0%")&amp;" = Est. S &amp; C"</f>
        <v>1.5% = Est. S &amp; C</v>
      </c>
      <c r="S49" s="83" t="str">
        <f t="shared" si="20"/>
        <v>0.00%</v>
      </c>
      <c r="T49" s="2">
        <f>ROUND(P49*(1+U19),0)</f>
        <v>0</v>
      </c>
      <c r="U49" s="36" t="str">
        <f>TEXT(U19,"0.0%")&amp;" = Est. S &amp; C"</f>
        <v>2.0% = Est. S &amp; C</v>
      </c>
      <c r="W49" s="83" t="str">
        <f t="shared" si="21"/>
        <v>0.00%</v>
      </c>
      <c r="X49" s="2">
        <f>ROUND(T49*(1+Y19),0)</f>
        <v>0</v>
      </c>
      <c r="Y49" s="36" t="str">
        <f>TEXT(Y19,"0.0%")&amp;" = Est. S &amp; C"</f>
        <v>2.0% = Est. S &amp; C</v>
      </c>
      <c r="AA49" s="83" t="str">
        <f t="shared" si="22"/>
        <v>0.00%</v>
      </c>
      <c r="AB49" s="2">
        <f>ROUND(X49*(1+AC19),0)</f>
        <v>0</v>
      </c>
      <c r="AC49" s="36" t="str">
        <f>TEXT(AC19,"0.0%")&amp;" = Est. S &amp; C"</f>
        <v>2.0% = Est. S &amp; C</v>
      </c>
    </row>
    <row r="50" spans="1:29" ht="6" customHeight="1" x14ac:dyDescent="0.25">
      <c r="A50" s="152"/>
      <c r="B50" s="939"/>
      <c r="E50" s="863"/>
      <c r="F50" s="2"/>
      <c r="H50" s="2"/>
      <c r="I50" s="871"/>
      <c r="J50" s="66"/>
      <c r="L50" s="2"/>
      <c r="M50" s="948"/>
      <c r="Q50" s="948"/>
      <c r="T50" s="2"/>
      <c r="U50" s="73"/>
      <c r="X50" s="2"/>
      <c r="Y50" s="73"/>
      <c r="AB50" s="2"/>
      <c r="AC50" s="73"/>
    </row>
    <row r="51" spans="1:29" x14ac:dyDescent="0.25">
      <c r="A51" s="153"/>
      <c r="B51" s="939"/>
      <c r="D51" s="8">
        <f>SUM(D36:D50)</f>
        <v>209687.27</v>
      </c>
      <c r="E51" s="863"/>
      <c r="F51" s="2"/>
      <c r="G51" s="83">
        <f>IF(D51=0,"0.00%",(H51-D51)/D51)</f>
        <v>0.4278358433490026</v>
      </c>
      <c r="H51" s="8">
        <f>SUM(H36:H50)</f>
        <v>299399</v>
      </c>
      <c r="I51" s="1292">
        <f>+H51-D51</f>
        <v>89711.73000000001</v>
      </c>
      <c r="J51" s="29"/>
      <c r="K51" s="83">
        <f>IF(H51=0,"0.00%",(L51-H51)/H51)</f>
        <v>1.4669387673305521E-2</v>
      </c>
      <c r="L51" s="8">
        <f>SUM(L36:L50)</f>
        <v>303791</v>
      </c>
      <c r="M51" s="1292">
        <f>+L51-H51</f>
        <v>4392</v>
      </c>
      <c r="O51" s="83">
        <f>IF(L51=0,"0.00%",(P51-L51)/L51)</f>
        <v>1.4671270709138848E-2</v>
      </c>
      <c r="P51" s="8">
        <f>SUM(P36:P50)</f>
        <v>308248</v>
      </c>
      <c r="Q51" s="1292">
        <f>+P51-L51</f>
        <v>4457</v>
      </c>
      <c r="S51" s="83">
        <f>IF(P51=0,"0.00%",(T51-P51)/P51)</f>
        <v>-1.4371544989748514E-2</v>
      </c>
      <c r="T51" s="8">
        <f>SUM(T36:T50)</f>
        <v>303818</v>
      </c>
      <c r="U51" s="73"/>
      <c r="W51" s="83">
        <f>IF(T51=0,"0.00%",(X51-T51)/T51)</f>
        <v>2.0002106524300733E-2</v>
      </c>
      <c r="X51" s="8">
        <f>SUM(X36:X50)</f>
        <v>309895</v>
      </c>
      <c r="Y51" s="73"/>
      <c r="AA51" s="83">
        <f>IF(X51=0,"0.00%",(AB51-X51)/X51)</f>
        <v>1.9997095790509688E-2</v>
      </c>
      <c r="AB51" s="8">
        <f>SUM(AB36:AB50)</f>
        <v>316092</v>
      </c>
      <c r="AC51" s="73"/>
    </row>
    <row r="52" spans="1:29" x14ac:dyDescent="0.25">
      <c r="A52" s="152"/>
      <c r="B52" s="930" t="s">
        <v>28</v>
      </c>
      <c r="E52" s="863"/>
      <c r="F52" s="2"/>
      <c r="H52" s="2"/>
      <c r="I52" s="871"/>
      <c r="J52" s="66"/>
      <c r="L52" s="2"/>
      <c r="M52" s="948"/>
      <c r="Q52" s="948"/>
      <c r="T52" s="2"/>
      <c r="U52" s="73"/>
      <c r="X52" s="2"/>
      <c r="Y52" s="73"/>
      <c r="AB52" s="2"/>
      <c r="AC52" s="73"/>
    </row>
    <row r="53" spans="1:29" x14ac:dyDescent="0.25">
      <c r="A53" s="154"/>
      <c r="B53" s="936" t="s">
        <v>27</v>
      </c>
      <c r="E53" s="863"/>
      <c r="F53" s="2"/>
      <c r="H53" s="2"/>
      <c r="I53" s="871"/>
      <c r="J53" s="66"/>
      <c r="L53" s="2"/>
      <c r="M53" s="948"/>
      <c r="Q53" s="948"/>
      <c r="T53" s="2"/>
      <c r="U53" s="73"/>
      <c r="X53" s="2"/>
      <c r="Y53" s="73"/>
      <c r="AB53" s="2"/>
      <c r="AC53" s="73"/>
    </row>
    <row r="54" spans="1:29" x14ac:dyDescent="0.25">
      <c r="A54" s="152"/>
      <c r="B54" s="939" t="s">
        <v>83</v>
      </c>
      <c r="C54" s="857" t="s">
        <v>76</v>
      </c>
      <c r="D54" s="2">
        <f>310785.39+11632.92</f>
        <v>322418.31</v>
      </c>
      <c r="E54" s="854" t="str">
        <f>TEXT('MYP Assumptions'!$D$55,"0.00%")&amp;", STRS rate"</f>
        <v>12.58%, STRS rate</v>
      </c>
      <c r="F54" s="2"/>
      <c r="G54" s="83">
        <f t="shared" ref="G54:G63" si="25">IF(D54=0,"0.00%",(H54-D54)/D54)</f>
        <v>0.21627087493883335</v>
      </c>
      <c r="H54" s="2">
        <f>367610+24538</f>
        <v>392148</v>
      </c>
      <c r="I54" s="854" t="str">
        <f>TEXT('MYP Assumptions'!E55,"0.00%")&amp;", projected STRS rate"</f>
        <v>14.43%, projected STRS rate</v>
      </c>
      <c r="J54" s="66"/>
      <c r="K54" s="83">
        <f t="shared" ref="K54:K63" si="26">IF(H54=0,"0.00%",(L54-H54)/H54)</f>
        <v>8.3136978895723038E-2</v>
      </c>
      <c r="L54" s="2">
        <f>ROUND(L33*LEFT(M54,6),0)</f>
        <v>424750</v>
      </c>
      <c r="M54" s="854" t="str">
        <f>TEXT('MYP Assumptions'!F55,"0.00%")&amp;", projected STRS rate"</f>
        <v>16.28%, projected STRS rate</v>
      </c>
      <c r="O54" s="83">
        <f t="shared" ref="O54:O63" si="27">IF(L54=0,"0.00%",(P54-L54)/L54)</f>
        <v>0.12975868157739848</v>
      </c>
      <c r="P54" s="2">
        <f>ROUND(P33*LEFT(Q54,6),0)</f>
        <v>479865</v>
      </c>
      <c r="Q54" s="854" t="str">
        <f>TEXT('MYP Assumptions'!G55,"0.00%")&amp;", projected STRS rate"</f>
        <v>18.13%, projected STRS rate</v>
      </c>
      <c r="S54" s="83">
        <f t="shared" ref="S54:S63" si="28">IF(P54=0,"0.00%",(T54-P54)/P54)</f>
        <v>1.8534379460890042E-2</v>
      </c>
      <c r="T54" s="2">
        <f>ROUND(T33*LEFT(U54,6),0)</f>
        <v>488759</v>
      </c>
      <c r="U54" s="81" t="str">
        <f>TEXT('MYP Assumptions'!H55,"0.00%")&amp;", projected STRS rate"</f>
        <v>19.10%, projected STRS rate</v>
      </c>
      <c r="W54" s="83">
        <f t="shared" ref="W54:W63" si="29">IF(T54=0,"0.00%",(X54-T54)/T54)</f>
        <v>1.7677423842834609E-2</v>
      </c>
      <c r="X54" s="2">
        <f>ROUND(X33*LEFT(Y54,6),0)</f>
        <v>497399</v>
      </c>
      <c r="Y54" s="81" t="str">
        <f>TEXT('MYP Assumptions'!I55,"0.00%")&amp;", projected STRS rate"</f>
        <v>19.10%, projected STRS rate</v>
      </c>
      <c r="AA54" s="83">
        <f t="shared" ref="AA54:AA63" si="30">IF(X54=0,"0.00%",(AB54-X54)/X54)</f>
        <v>1.7718169919923442E-2</v>
      </c>
      <c r="AB54" s="2">
        <f>ROUND(AB33*LEFT(AC54,6),0)</f>
        <v>506212</v>
      </c>
      <c r="AC54" s="81" t="str">
        <f>TEXT('MYP Assumptions'!J55,"0.00%")&amp;", projected STRS rate"</f>
        <v>19.10%, projected STRS rate</v>
      </c>
    </row>
    <row r="55" spans="1:29" x14ac:dyDescent="0.25">
      <c r="A55" s="152"/>
      <c r="B55" s="939" t="s">
        <v>84</v>
      </c>
      <c r="C55" s="857" t="s">
        <v>77</v>
      </c>
      <c r="D55" s="2">
        <v>15551.71</v>
      </c>
      <c r="E55" s="854" t="str">
        <f>TEXT('MYP Assumptions'!$D$56,"0.00%")&amp;", PERS rate"</f>
        <v>13.89%, PERS rate</v>
      </c>
      <c r="F55" s="2"/>
      <c r="G55" s="83">
        <f t="shared" si="25"/>
        <v>0.27143574565112139</v>
      </c>
      <c r="H55" s="2">
        <v>19773</v>
      </c>
      <c r="I55" s="854" t="str">
        <f>TEXT('MYP Assumptions'!E56,"0.000%")&amp;", projected PERS rate"</f>
        <v>15.531%, projected PERS rate</v>
      </c>
      <c r="J55" s="66"/>
      <c r="K55" s="83">
        <f t="shared" si="26"/>
        <v>1.7808627926971121</v>
      </c>
      <c r="L55" s="2">
        <f>ROUND(L51*LEFT(M55,6),0)</f>
        <v>54986</v>
      </c>
      <c r="M55" s="854" t="str">
        <f>TEXT('MYP Assumptions'!F56,"0.00%")&amp;", projected PERS rate"</f>
        <v>18.10%, projected PERS rate</v>
      </c>
      <c r="O55" s="83">
        <f t="shared" si="27"/>
        <v>0.16604226530389554</v>
      </c>
      <c r="P55" s="2">
        <f>ROUND(P51*LEFT(Q55,6),0)</f>
        <v>64116</v>
      </c>
      <c r="Q55" s="854" t="str">
        <f>TEXT('MYP Assumptions'!G56,"0.00%")&amp;", projected PERS rate"</f>
        <v>20.80%, projected PERS rate</v>
      </c>
      <c r="S55" s="83">
        <f t="shared" si="28"/>
        <v>0.12778401647014787</v>
      </c>
      <c r="T55" s="2">
        <f>ROUND(T51*LEFT(U55,6),0)</f>
        <v>72309</v>
      </c>
      <c r="U55" s="81" t="str">
        <f>TEXT('MYP Assumptions'!H56,"0.00%")&amp;", projected PERS rate"</f>
        <v>23.80%, projected PERS rate</v>
      </c>
      <c r="W55" s="83">
        <f t="shared" si="29"/>
        <v>8.0003872270395113E-2</v>
      </c>
      <c r="X55" s="2">
        <f>ROUND(X51*LEFT(Y55,6),0)</f>
        <v>78094</v>
      </c>
      <c r="Y55" s="81" t="str">
        <f>TEXT('MYP Assumptions'!I56,"0.00%")&amp;", projected PERS rate"</f>
        <v>25.20%, projected PERS rate</v>
      </c>
      <c r="AA55" s="83">
        <f t="shared" si="30"/>
        <v>5.6419187133454556E-2</v>
      </c>
      <c r="AB55" s="2">
        <f>ROUND(AB51*LEFT(AC55,6),0)</f>
        <v>82500</v>
      </c>
      <c r="AC55" s="81" t="str">
        <f>TEXT('MYP Assumptions'!J56,"0.00%")&amp;", projected PERS rate"</f>
        <v>26.10%, projected PERS rate</v>
      </c>
    </row>
    <row r="56" spans="1:29" x14ac:dyDescent="0.25">
      <c r="A56" s="152"/>
      <c r="B56" s="939" t="s">
        <v>85</v>
      </c>
      <c r="C56" s="857" t="s">
        <v>78</v>
      </c>
      <c r="D56" s="2">
        <f>137.95+7168.53</f>
        <v>7306.48</v>
      </c>
      <c r="E56" s="854" t="str">
        <f>TEXT('MYP Assumptions'!$D$57,"0.00%")&amp;", SS rate"</f>
        <v>6.20%, SS rate</v>
      </c>
      <c r="F56" s="2"/>
      <c r="G56" s="83">
        <f t="shared" si="25"/>
        <v>0.1044990200479575</v>
      </c>
      <c r="H56" s="2">
        <v>8070</v>
      </c>
      <c r="I56" s="854" t="str">
        <f>TEXT('MYP Assumptions'!E57,"0.00%")&amp;", no rate change"</f>
        <v>6.20%, no rate change</v>
      </c>
      <c r="J56" s="66"/>
      <c r="K56" s="83">
        <f t="shared" si="26"/>
        <v>1.3339529120198266</v>
      </c>
      <c r="L56" s="2">
        <f>ROUND(L51*LEFT(M56,5),0)</f>
        <v>18835</v>
      </c>
      <c r="M56" s="854" t="str">
        <f>TEXT('MYP Assumptions'!F57,"0.00%")&amp;", no rate change"</f>
        <v>6.20%, no rate change</v>
      </c>
      <c r="O56" s="83">
        <f t="shared" si="27"/>
        <v>1.4653570480488452E-2</v>
      </c>
      <c r="P56" s="2">
        <f>ROUND(P51*LEFT(Q56,5),0)</f>
        <v>19111</v>
      </c>
      <c r="Q56" s="854" t="str">
        <f>TEXT('MYP Assumptions'!G57,"0.00%")&amp;", no rate change"</f>
        <v>6.20%, no rate change</v>
      </c>
      <c r="S56" s="83">
        <f t="shared" si="28"/>
        <v>-1.4337292658678249E-2</v>
      </c>
      <c r="T56" s="2">
        <f>ROUND(T51*LEFT(U56,5),0)</f>
        <v>18837</v>
      </c>
      <c r="U56" s="81" t="str">
        <f>TEXT('MYP Assumptions'!H57,"0.00%")&amp;", no rate change"</f>
        <v>6.20%, no rate change</v>
      </c>
      <c r="W56" s="83">
        <f t="shared" si="29"/>
        <v>1.9960715612889524E-2</v>
      </c>
      <c r="X56" s="2">
        <f>ROUND(X51*LEFT(Y56,5),0)</f>
        <v>19213</v>
      </c>
      <c r="Y56" s="81" t="str">
        <f>TEXT('MYP Assumptions'!I57,"0.00%")&amp;", no rate change"</f>
        <v>6.20%, no rate change</v>
      </c>
      <c r="AA56" s="83">
        <f t="shared" si="30"/>
        <v>2.0038515588403687E-2</v>
      </c>
      <c r="AB56" s="2">
        <f>ROUND(AB51*LEFT(AC56,5),0)</f>
        <v>19598</v>
      </c>
      <c r="AC56" s="81" t="str">
        <f>TEXT('MYP Assumptions'!J57,"0.00%")&amp;", no rate change"</f>
        <v>6.20%, no rate change</v>
      </c>
    </row>
    <row r="57" spans="1:29" x14ac:dyDescent="0.25">
      <c r="A57" s="152"/>
      <c r="B57" s="939" t="s">
        <v>86</v>
      </c>
      <c r="C57" s="857" t="s">
        <v>79</v>
      </c>
      <c r="D57" s="2">
        <f>34615.36+2770.15</f>
        <v>37385.51</v>
      </c>
      <c r="E57" s="854" t="str">
        <f>TEXT('MYP Assumptions'!$D$58,"0.00%")&amp;", Medicare rate"</f>
        <v>1.45%, Medicare rate</v>
      </c>
      <c r="F57" s="2"/>
      <c r="G57" s="83">
        <f t="shared" si="25"/>
        <v>0.10903930426520857</v>
      </c>
      <c r="H57" s="2">
        <f>37113+4349</f>
        <v>41462</v>
      </c>
      <c r="I57" s="854" t="str">
        <f>TEXT('MYP Assumptions'!E58,"0.00%")&amp;", no rate change"</f>
        <v>1.45%, no rate change</v>
      </c>
      <c r="J57" s="66"/>
      <c r="K57" s="83">
        <f t="shared" si="26"/>
        <v>1.8667695721383437E-2</v>
      </c>
      <c r="L57" s="2">
        <f>ROUND((L51+L33)*LEFT(M57,5),0)</f>
        <v>42236</v>
      </c>
      <c r="M57" s="854" t="str">
        <f>TEXT('MYP Assumptions'!F58,"0.00%")&amp;", no rate change"</f>
        <v>1.45%, no rate change</v>
      </c>
      <c r="O57" s="83">
        <f t="shared" si="27"/>
        <v>1.4490008523534426E-2</v>
      </c>
      <c r="P57" s="2">
        <f>ROUND((P51+P33)*LEFT(Q57,5),0)</f>
        <v>42848</v>
      </c>
      <c r="Q57" s="854" t="str">
        <f>TEXT('MYP Assumptions'!G58,"0.00%")&amp;", no rate change"</f>
        <v>1.45%, no rate change</v>
      </c>
      <c r="S57" s="83">
        <f t="shared" si="28"/>
        <v>-3.1226661687826736E-2</v>
      </c>
      <c r="T57" s="2">
        <f>ROUND((T51+T33)*LEFT(U57,5),0)</f>
        <v>41510</v>
      </c>
      <c r="U57" s="81" t="str">
        <f>TEXT('MYP Assumptions'!H58,"0.00%")&amp;", no rate change"</f>
        <v>1.45%, no rate change</v>
      </c>
      <c r="W57" s="83">
        <f t="shared" si="29"/>
        <v>1.7923391953746086E-2</v>
      </c>
      <c r="X57" s="2">
        <f>ROUND((X51+X33)*LEFT(Y57,5),0)</f>
        <v>42254</v>
      </c>
      <c r="Y57" s="81" t="str">
        <f>TEXT('MYP Assumptions'!I58,"0.00%")&amp;", no rate change"</f>
        <v>1.45%, no rate change</v>
      </c>
      <c r="AA57" s="83">
        <f t="shared" si="30"/>
        <v>1.7962796421640555E-2</v>
      </c>
      <c r="AB57" s="2">
        <f>ROUND((AB51+AB33)*LEFT(AC57,5),0)</f>
        <v>43013</v>
      </c>
      <c r="AC57" s="81" t="str">
        <f>TEXT('MYP Assumptions'!J58,"0.00%")&amp;", no rate change"</f>
        <v>1.45%, no rate change</v>
      </c>
    </row>
    <row r="58" spans="1:29" x14ac:dyDescent="0.25">
      <c r="A58" s="152"/>
      <c r="B58" s="939" t="s">
        <v>87</v>
      </c>
      <c r="C58" s="857" t="s">
        <v>80</v>
      </c>
      <c r="D58" s="2">
        <f>211409.63+22190.13</f>
        <v>233599.76</v>
      </c>
      <c r="E58" s="854"/>
      <c r="F58" s="2"/>
      <c r="G58" s="83">
        <f t="shared" si="25"/>
        <v>0.15746694260302319</v>
      </c>
      <c r="H58" s="2">
        <f>245128+25256</f>
        <v>270384</v>
      </c>
      <c r="I58" s="854"/>
      <c r="J58" s="66"/>
      <c r="K58" s="83">
        <f t="shared" si="26"/>
        <v>7.0000443813243385E-2</v>
      </c>
      <c r="L58" s="2">
        <f>ROUND((H58)*(LEFT(M58,5)+1),0)</f>
        <v>289311</v>
      </c>
      <c r="M58" s="854" t="str">
        <f>TEXT('MYP Assumptions'!$M$65,"0.00%")&amp;", projected increase"</f>
        <v>7.00%, projected increase</v>
      </c>
      <c r="O58" s="83">
        <f t="shared" si="27"/>
        <v>7.0000794992240184E-2</v>
      </c>
      <c r="P58" s="2">
        <f>ROUND((L58)*(LEFT(Q58,5)+1),0)</f>
        <v>309563</v>
      </c>
      <c r="Q58" s="854" t="str">
        <f>TEXT('MYP Assumptions'!$M$65,"0.00%")&amp;", projected increase"</f>
        <v>7.00%, projected increase</v>
      </c>
      <c r="S58" s="83">
        <f t="shared" si="28"/>
        <v>6.9998675552310832E-2</v>
      </c>
      <c r="T58" s="2">
        <f>ROUND((P58)*(LEFT(U58,5)+1),0)</f>
        <v>331232</v>
      </c>
      <c r="U58" s="81" t="str">
        <f>TEXT('MYP Assumptions'!$M$65,"0.00%")&amp;", projected increase"</f>
        <v>7.00%, projected increase</v>
      </c>
      <c r="W58" s="83">
        <f t="shared" si="29"/>
        <v>6.9999275432325384E-2</v>
      </c>
      <c r="X58" s="2">
        <f>ROUND((T58)*(LEFT(Y58,5)+1),0)</f>
        <v>354418</v>
      </c>
      <c r="Y58" s="81" t="str">
        <f>TEXT('MYP Assumptions'!$M$65,"0.00%")&amp;", projected increase"</f>
        <v>7.00%, projected increase</v>
      </c>
      <c r="AA58" s="83">
        <f t="shared" si="30"/>
        <v>6.9999266402947929E-2</v>
      </c>
      <c r="AB58" s="2">
        <f>ROUND((X58)*(LEFT(AC58,5)+1),0)</f>
        <v>379227</v>
      </c>
      <c r="AC58" s="81" t="str">
        <f>TEXT('MYP Assumptions'!$M$65,"0.00%")&amp;", projected increase"</f>
        <v>7.00%, projected increase</v>
      </c>
    </row>
    <row r="59" spans="1:29" x14ac:dyDescent="0.25">
      <c r="A59" s="152"/>
      <c r="B59" s="939" t="s">
        <v>88</v>
      </c>
      <c r="C59" s="857" t="s">
        <v>81</v>
      </c>
      <c r="D59" s="2">
        <f>1195.32+95.51</f>
        <v>1290.83</v>
      </c>
      <c r="E59" s="854" t="str">
        <f>TEXT('MYP Assumptions'!$D$59,"0.00%")&amp;", SUI rate"</f>
        <v>0.05%, SUI rate</v>
      </c>
      <c r="F59" s="2"/>
      <c r="G59" s="83">
        <f t="shared" si="25"/>
        <v>0.10936374270818007</v>
      </c>
      <c r="H59" s="2">
        <f>1282+150</f>
        <v>1432</v>
      </c>
      <c r="I59" s="854" t="str">
        <f>TEXT('MYP Assumptions'!E59,"0.00%")&amp;", no rate change"</f>
        <v>0.05%, no rate change</v>
      </c>
      <c r="J59" s="66"/>
      <c r="K59" s="83">
        <f t="shared" si="26"/>
        <v>1.6759776536312849E-2</v>
      </c>
      <c r="L59" s="2">
        <f>ROUND((L51+L33)*LEFT(M59,5),0)</f>
        <v>1456</v>
      </c>
      <c r="M59" s="854" t="str">
        <f>TEXT('MYP Assumptions'!F59,"0.00%")&amp;", no rate change"</f>
        <v>0.05%, no rate change</v>
      </c>
      <c r="O59" s="83">
        <f t="shared" si="27"/>
        <v>1.510989010989011E-2</v>
      </c>
      <c r="P59" s="2">
        <f>ROUND((P51+P33)*LEFT(Q59,5),0)</f>
        <v>1478</v>
      </c>
      <c r="Q59" s="854" t="str">
        <f>TEXT('MYP Assumptions'!G59,"0.00%")&amp;", no rate change"</f>
        <v>0.05%, no rate change</v>
      </c>
      <c r="S59" s="83">
        <f t="shared" si="28"/>
        <v>-3.1799729364005415E-2</v>
      </c>
      <c r="T59" s="2">
        <f>ROUND((T51+T33)*LEFT(U59,5),0)</f>
        <v>1431</v>
      </c>
      <c r="U59" s="81" t="str">
        <f>TEXT('MYP Assumptions'!H59,"0.00%")&amp;", no rate change"</f>
        <v>0.05%, no rate change</v>
      </c>
      <c r="W59" s="83">
        <f t="shared" si="29"/>
        <v>1.8169112508735149E-2</v>
      </c>
      <c r="X59" s="2">
        <f>ROUND((X51+X33)*LEFT(Y59,5),0)</f>
        <v>1457</v>
      </c>
      <c r="Y59" s="81" t="str">
        <f>TEXT('MYP Assumptions'!I59,"0.00%")&amp;", no rate change"</f>
        <v>0.05%, no rate change</v>
      </c>
      <c r="AA59" s="83">
        <f t="shared" si="30"/>
        <v>1.7844886753603295E-2</v>
      </c>
      <c r="AB59" s="2">
        <f>ROUND((AB51+AB33)*LEFT(AC59,5),0)</f>
        <v>1483</v>
      </c>
      <c r="AC59" s="81" t="str">
        <f>TEXT('MYP Assumptions'!J59,"0.00%")&amp;", no rate change"</f>
        <v>0.05%, no rate change</v>
      </c>
    </row>
    <row r="60" spans="1:29" x14ac:dyDescent="0.25">
      <c r="A60" s="152"/>
      <c r="B60" s="939" t="s">
        <v>89</v>
      </c>
      <c r="C60" s="857" t="s">
        <v>82</v>
      </c>
      <c r="D60" s="2">
        <f>26281.85+2101.5</f>
        <v>28383.35</v>
      </c>
      <c r="E60" s="854" t="str">
        <f>TEXT('MYP Assumptions'!$D$60,"0.00%")&amp;", W/C rate"</f>
        <v>1.10%, W/C rate</v>
      </c>
      <c r="F60" s="2"/>
      <c r="G60" s="83">
        <f t="shared" si="25"/>
        <v>0.10811444033209616</v>
      </c>
      <c r="H60" s="2">
        <f>28154+3298</f>
        <v>31452</v>
      </c>
      <c r="I60" s="854" t="str">
        <f>TEXT('MYP Assumptions'!E60,"0.00%")&amp;", no rate change"</f>
        <v>0.80%, no rate change</v>
      </c>
      <c r="J60" s="66"/>
      <c r="K60" s="83">
        <f t="shared" si="26"/>
        <v>-0.25909322141676205</v>
      </c>
      <c r="L60" s="2">
        <f>ROUND((L51+L33)*LEFT(M60,5),0)</f>
        <v>23303</v>
      </c>
      <c r="M60" s="854" t="str">
        <f>TEXT('MYP Assumptions'!F60,"0.00%")&amp;", no rate change"</f>
        <v>0.80%, no rate change</v>
      </c>
      <c r="O60" s="83">
        <f t="shared" si="27"/>
        <v>1.4461657297343689E-2</v>
      </c>
      <c r="P60" s="2">
        <f>ROUND((P51+P33)*LEFT(Q60,5),0)</f>
        <v>23640</v>
      </c>
      <c r="Q60" s="854" t="str">
        <f>TEXT('MYP Assumptions'!G60,"0.00%")&amp;", no rate change"</f>
        <v>0.80%, no rate change</v>
      </c>
      <c r="S60" s="83">
        <f t="shared" si="28"/>
        <v>-3.1218274111675128E-2</v>
      </c>
      <c r="T60" s="2">
        <f>ROUND((T51+T33)*LEFT(U60,5),0)</f>
        <v>22902</v>
      </c>
      <c r="U60" s="81" t="str">
        <f>TEXT('MYP Assumptions'!H60,"0.00%")&amp;", no rate change"</f>
        <v>0.80%, no rate change</v>
      </c>
      <c r="W60" s="83">
        <f t="shared" si="29"/>
        <v>1.7946030914330627E-2</v>
      </c>
      <c r="X60" s="2">
        <f>ROUND((X51+X33)*LEFT(Y60,5),0)</f>
        <v>23313</v>
      </c>
      <c r="Y60" s="81" t="str">
        <f>TEXT('MYP Assumptions'!I60,"0.00%")&amp;", no rate change"</f>
        <v>0.80%, no rate change</v>
      </c>
      <c r="AA60" s="83">
        <f t="shared" si="30"/>
        <v>1.7929910350448247E-2</v>
      </c>
      <c r="AB60" s="2">
        <f>ROUND((AB51+AB33)*LEFT(AC60,5),0)</f>
        <v>23731</v>
      </c>
      <c r="AC60" s="81" t="str">
        <f>TEXT('MYP Assumptions'!J60,"0.00%")&amp;", no rate change"</f>
        <v>0.80%, no rate change</v>
      </c>
    </row>
    <row r="61" spans="1:29" x14ac:dyDescent="0.25">
      <c r="A61" s="152"/>
      <c r="B61" s="939" t="s">
        <v>91</v>
      </c>
      <c r="C61" s="857" t="s">
        <v>93</v>
      </c>
      <c r="D61" s="2">
        <f>11875+1000+1680</f>
        <v>14555</v>
      </c>
      <c r="E61" s="863"/>
      <c r="F61" s="2"/>
      <c r="G61" s="83">
        <f t="shared" ref="G61" si="31">IF(D61=0,"0.00%",(H61-D61)/D61)</f>
        <v>-1.7519752662315355E-2</v>
      </c>
      <c r="H61" s="2">
        <f>10500+1000+2800</f>
        <v>14300</v>
      </c>
      <c r="I61" s="854"/>
      <c r="J61" s="66"/>
      <c r="K61" s="83">
        <f t="shared" ref="K61" si="32">IF(H61=0,"0.00%",(L61-H61)/H61)</f>
        <v>0</v>
      </c>
      <c r="L61" s="2">
        <f>H61</f>
        <v>14300</v>
      </c>
      <c r="M61" s="854" t="s">
        <v>166</v>
      </c>
      <c r="O61" s="83">
        <f t="shared" ref="O61" si="33">IF(L61=0,"0.00%",(P61-L61)/L61)</f>
        <v>0</v>
      </c>
      <c r="P61" s="2">
        <f>L61</f>
        <v>14300</v>
      </c>
      <c r="Q61" s="854" t="s">
        <v>166</v>
      </c>
      <c r="S61" s="83">
        <f t="shared" ref="S61" si="34">IF(P61=0,"0.00%",(T61-P61)/P61)</f>
        <v>0</v>
      </c>
      <c r="T61" s="2">
        <f>P61</f>
        <v>14300</v>
      </c>
      <c r="U61" s="81" t="s">
        <v>166</v>
      </c>
      <c r="W61" s="83">
        <f t="shared" ref="W61" si="35">IF(T61=0,"0.00%",(X61-T61)/T61)</f>
        <v>0</v>
      </c>
      <c r="X61" s="2">
        <f>T61</f>
        <v>14300</v>
      </c>
      <c r="Y61" s="81" t="s">
        <v>166</v>
      </c>
      <c r="AA61" s="83">
        <f t="shared" ref="AA61" si="36">IF(X61=0,"0.00%",(AB61-X61)/X61)</f>
        <v>0</v>
      </c>
      <c r="AB61" s="2">
        <f>X61</f>
        <v>14300</v>
      </c>
      <c r="AC61" s="81" t="s">
        <v>166</v>
      </c>
    </row>
    <row r="62" spans="1:29" hidden="1" x14ac:dyDescent="0.25">
      <c r="A62" s="152"/>
      <c r="B62" s="939"/>
      <c r="E62" s="863"/>
      <c r="F62" s="2"/>
      <c r="G62" s="83"/>
      <c r="H62" s="2"/>
      <c r="I62" s="854"/>
      <c r="J62" s="66"/>
      <c r="K62" s="83"/>
      <c r="L62" s="2"/>
      <c r="M62" s="854"/>
      <c r="O62" s="83"/>
      <c r="Q62" s="854"/>
      <c r="S62" s="83"/>
      <c r="T62" s="2"/>
      <c r="U62" s="81"/>
      <c r="W62" s="83"/>
      <c r="X62" s="2"/>
      <c r="Y62" s="81"/>
      <c r="AA62" s="83"/>
      <c r="AB62" s="2"/>
      <c r="AC62" s="81"/>
    </row>
    <row r="63" spans="1:29" x14ac:dyDescent="0.25">
      <c r="A63" s="153"/>
      <c r="B63" s="939"/>
      <c r="D63" s="8">
        <f>SUM(D54:D62)</f>
        <v>660490.94999999995</v>
      </c>
      <c r="E63" s="863"/>
      <c r="F63" s="2"/>
      <c r="G63" s="83">
        <f t="shared" si="25"/>
        <v>0.17945749294521002</v>
      </c>
      <c r="H63" s="8">
        <f>SUM(H54:H62)</f>
        <v>779021</v>
      </c>
      <c r="I63" s="1292">
        <f>+H63-D63</f>
        <v>118530.05000000005</v>
      </c>
      <c r="J63" s="29"/>
      <c r="K63" s="83">
        <f t="shared" si="26"/>
        <v>0.11572987121014709</v>
      </c>
      <c r="L63" s="8">
        <f>SUM(L54:L62)</f>
        <v>869177</v>
      </c>
      <c r="M63" s="1292">
        <f>+L63-H63</f>
        <v>90156</v>
      </c>
      <c r="O63" s="83">
        <f t="shared" si="27"/>
        <v>9.8649642132730156E-2</v>
      </c>
      <c r="P63" s="8">
        <f>SUM(P54:P62)</f>
        <v>954921</v>
      </c>
      <c r="Q63" s="1292">
        <f>+P63-L63</f>
        <v>85744</v>
      </c>
      <c r="S63" s="83">
        <f t="shared" si="28"/>
        <v>3.8075401001758262E-2</v>
      </c>
      <c r="T63" s="8">
        <f>SUM(T54:T62)</f>
        <v>991280</v>
      </c>
      <c r="U63" s="73"/>
      <c r="W63" s="83">
        <f t="shared" si="29"/>
        <v>3.9512549431038657E-2</v>
      </c>
      <c r="X63" s="8">
        <f>SUM(X54:X62)</f>
        <v>1030448</v>
      </c>
      <c r="Y63" s="73"/>
      <c r="AA63" s="83">
        <f t="shared" si="30"/>
        <v>3.8445414033507756E-2</v>
      </c>
      <c r="AB63" s="8">
        <f>SUM(AB54:AB62)</f>
        <v>1070064</v>
      </c>
      <c r="AC63" s="73"/>
    </row>
    <row r="64" spans="1:29" x14ac:dyDescent="0.25">
      <c r="A64" s="154"/>
      <c r="B64" s="939"/>
      <c r="E64" s="863"/>
      <c r="F64" s="2"/>
      <c r="H64" s="2"/>
      <c r="I64" s="871"/>
      <c r="J64" s="66"/>
      <c r="L64" s="2"/>
      <c r="M64" s="948"/>
      <c r="Q64" s="948"/>
      <c r="T64" s="2"/>
      <c r="U64" s="73"/>
      <c r="X64" s="2"/>
      <c r="Y64" s="73"/>
      <c r="AB64" s="2"/>
      <c r="AC64" s="73"/>
    </row>
    <row r="65" spans="1:29" x14ac:dyDescent="0.25">
      <c r="A65" s="153"/>
      <c r="B65" s="936" t="s">
        <v>26</v>
      </c>
      <c r="D65" s="8">
        <f>SUM(D63,D51,D33)</f>
        <v>3362947.63</v>
      </c>
      <c r="E65" s="863"/>
      <c r="F65" s="2"/>
      <c r="G65" s="83">
        <f>IF(D65=0,"0.00%",(H65-D65)/D65)</f>
        <v>8.5427250617042802E-2</v>
      </c>
      <c r="H65" s="8">
        <f>SUM(H63,H51,H33)</f>
        <v>3650235</v>
      </c>
      <c r="I65" s="1292">
        <f>+H65-D65</f>
        <v>287287.37000000011</v>
      </c>
      <c r="J65" s="29"/>
      <c r="K65" s="83">
        <f>IF(H65=0,"0.00%",(L65-H65)/H65)</f>
        <v>3.6096580083200124E-2</v>
      </c>
      <c r="L65" s="8">
        <f>SUM(L63,L51,L33)</f>
        <v>3781996</v>
      </c>
      <c r="M65" s="1292">
        <f>+L65-H65</f>
        <v>131761</v>
      </c>
      <c r="O65" s="83">
        <f>IF(L65=0,"0.00%",(P65-L65)/L65)</f>
        <v>3.383715900281227E-2</v>
      </c>
      <c r="P65" s="8">
        <f>SUM(P63,P51,P33)</f>
        <v>3909968</v>
      </c>
      <c r="Q65" s="1292">
        <f>+P65-L65</f>
        <v>127972</v>
      </c>
      <c r="S65" s="83">
        <f>IF(P65=0,"0.00%",(T65-P65)/P65)</f>
        <v>-1.430216308675672E-2</v>
      </c>
      <c r="T65" s="8">
        <f>SUM(T63,T51,T33)</f>
        <v>3854047</v>
      </c>
      <c r="U65" s="73"/>
      <c r="W65" s="83">
        <f>IF(T65=0,"0.00%",(X65-T65)/T65)</f>
        <v>2.3476880276758431E-2</v>
      </c>
      <c r="X65" s="8">
        <f>SUM(X63,X51,X33)</f>
        <v>3944528</v>
      </c>
      <c r="Y65" s="73"/>
      <c r="AA65" s="83">
        <f>IF(X65=0,"0.00%",(AB65-X65)/X65)</f>
        <v>2.3311787874239959E-2</v>
      </c>
      <c r="AB65" s="8">
        <f>SUM(AB63,AB51,AB33)</f>
        <v>4036482</v>
      </c>
      <c r="AC65" s="73"/>
    </row>
    <row r="66" spans="1:29" x14ac:dyDescent="0.25">
      <c r="A66" s="155"/>
      <c r="E66" s="863"/>
      <c r="F66" s="2"/>
      <c r="H66" s="2"/>
      <c r="I66" s="871"/>
      <c r="J66" s="66"/>
      <c r="L66" s="2"/>
      <c r="M66" s="948"/>
      <c r="Q66" s="948"/>
      <c r="T66" s="2"/>
      <c r="U66" s="73"/>
      <c r="X66" s="2"/>
      <c r="Y66" s="73"/>
      <c r="AB66" s="2"/>
      <c r="AC66" s="73"/>
    </row>
    <row r="67" spans="1:29" x14ac:dyDescent="0.25">
      <c r="A67" s="152"/>
      <c r="E67" s="863"/>
      <c r="F67" s="2"/>
      <c r="H67" s="2"/>
      <c r="I67" s="871"/>
      <c r="J67" s="66"/>
      <c r="L67" s="2"/>
      <c r="M67" s="948"/>
      <c r="Q67" s="948"/>
      <c r="T67" s="2"/>
      <c r="U67" s="73"/>
      <c r="X67" s="2"/>
      <c r="Y67" s="73"/>
      <c r="AB67" s="2"/>
      <c r="AC67" s="73"/>
    </row>
    <row r="68" spans="1:29" x14ac:dyDescent="0.25">
      <c r="A68" s="155"/>
      <c r="B68" s="940" t="s">
        <v>25</v>
      </c>
      <c r="C68" s="873"/>
      <c r="E68" s="863"/>
      <c r="F68" s="2"/>
      <c r="H68" s="448"/>
      <c r="I68" s="871"/>
      <c r="J68" s="66"/>
      <c r="L68" s="448"/>
      <c r="M68" s="871"/>
      <c r="P68" s="448"/>
      <c r="Q68" s="871"/>
      <c r="T68" s="2"/>
      <c r="U68" s="73"/>
      <c r="X68" s="2"/>
      <c r="Y68" s="73"/>
      <c r="AB68" s="2"/>
      <c r="AC68" s="73"/>
    </row>
    <row r="69" spans="1:29" x14ac:dyDescent="0.25">
      <c r="A69" s="152"/>
      <c r="B69" s="939">
        <v>4310</v>
      </c>
      <c r="C69" s="857" t="s">
        <v>910</v>
      </c>
      <c r="D69" s="108">
        <v>81824.91</v>
      </c>
      <c r="E69" s="863"/>
      <c r="F69" s="2"/>
      <c r="G69" s="83">
        <f t="shared" ref="G69:G79" si="37">IF(D69=0,"0.00%",(H69-D69)/D69)</f>
        <v>0.13858970330673137</v>
      </c>
      <c r="H69" s="2">
        <v>93165</v>
      </c>
      <c r="I69" s="871" t="s">
        <v>1021</v>
      </c>
      <c r="J69" s="66"/>
      <c r="K69" s="83">
        <f t="shared" ref="K69:K79" si="38">IF(H69=0,"0.00%",(L69-H69)/H69)</f>
        <v>-0.19497665432297537</v>
      </c>
      <c r="L69" s="2">
        <v>75000</v>
      </c>
      <c r="M69" s="871"/>
      <c r="O69" s="83">
        <f t="shared" ref="O69:O79" si="39">IF(L69=0,"0.00%",(P69-L69)/L69)</f>
        <v>0</v>
      </c>
      <c r="P69" s="2">
        <f>+L69*(1-$P$68)</f>
        <v>75000</v>
      </c>
      <c r="Q69" s="871"/>
      <c r="S69" s="83">
        <f t="shared" ref="S69:S79" si="40">IF(P69=0,"0.00%",(T69-P69)/P69)</f>
        <v>2.7306666666666667E-2</v>
      </c>
      <c r="T69" s="2">
        <f>ROUND(P69*(LEFT(U69,5)+1),0)</f>
        <v>77048</v>
      </c>
      <c r="U69" s="81" t="str">
        <f>TEXT('MYP Assumptions'!H75,"0.00%")&amp;", CPI"</f>
        <v>2.73%, CPI</v>
      </c>
      <c r="W69" s="83">
        <f t="shared" ref="W69:W79" si="41">IF(T69=0,"0.00%",(X69-T69)/T69)</f>
        <v>2.7294673450316685E-2</v>
      </c>
      <c r="X69" s="2">
        <f>ROUND(T69*(LEFT(Y69,5)+1),0)</f>
        <v>79151</v>
      </c>
      <c r="Y69" s="81" t="str">
        <f>TEXT('MYP Assumptions'!I75,"0.00%")&amp;", CPI"</f>
        <v>2.73%, CPI</v>
      </c>
      <c r="AA69" s="83">
        <f t="shared" ref="AA69:AA79" si="42">IF(X69=0,"0.00%",(AB69-X69)/X69)</f>
        <v>2.7302245075867645E-2</v>
      </c>
      <c r="AB69" s="2">
        <f>ROUND(X69*(LEFT(AC69,5)+1),0)</f>
        <v>81312</v>
      </c>
      <c r="AC69" s="81" t="str">
        <f>TEXT('MYP Assumptions'!J75,"0.00%")&amp;", CPI"</f>
        <v>2.73%, CPI</v>
      </c>
    </row>
    <row r="70" spans="1:29" x14ac:dyDescent="0.25">
      <c r="A70" s="152"/>
      <c r="B70" s="939">
        <v>4353</v>
      </c>
      <c r="C70" s="857" t="s">
        <v>911</v>
      </c>
      <c r="D70" s="108">
        <v>2207.27</v>
      </c>
      <c r="E70" s="863"/>
      <c r="F70" s="2"/>
      <c r="G70" s="83">
        <f t="shared" si="37"/>
        <v>0.4724070911125508</v>
      </c>
      <c r="H70" s="2">
        <v>3250</v>
      </c>
      <c r="I70" s="871"/>
      <c r="J70" s="66"/>
      <c r="K70" s="83">
        <f t="shared" si="38"/>
        <v>-0.38461538461538464</v>
      </c>
      <c r="L70" s="2">
        <v>2000</v>
      </c>
      <c r="M70" s="871"/>
      <c r="O70" s="83">
        <f t="shared" si="39"/>
        <v>0</v>
      </c>
      <c r="P70" s="2">
        <f>+L70</f>
        <v>2000</v>
      </c>
      <c r="Q70" s="871"/>
      <c r="S70" s="83">
        <f t="shared" si="40"/>
        <v>2.75E-2</v>
      </c>
      <c r="T70" s="2">
        <f t="shared" ref="T70:T78" si="43">ROUND(P70*(LEFT(U70,5)+1),0)</f>
        <v>2055</v>
      </c>
      <c r="U70" s="81" t="str">
        <f>TEXT('MYP Assumptions'!H75,"0.00%")&amp;", CPI"</f>
        <v>2.73%, CPI</v>
      </c>
      <c r="W70" s="83">
        <f t="shared" si="41"/>
        <v>2.7250608272506083E-2</v>
      </c>
      <c r="X70" s="2">
        <f t="shared" ref="X70:X78" si="44">ROUND(T70*(LEFT(Y70,5)+1),0)</f>
        <v>2111</v>
      </c>
      <c r="Y70" s="81" t="str">
        <f>TEXT('MYP Assumptions'!I75,"0.00%")&amp;", CPI"</f>
        <v>2.73%, CPI</v>
      </c>
      <c r="AA70" s="83">
        <f t="shared" si="42"/>
        <v>2.7475130270014213E-2</v>
      </c>
      <c r="AB70" s="2">
        <f t="shared" ref="AB70:AB78" si="45">ROUND(X70*(LEFT(AC70,5)+1),0)</f>
        <v>2169</v>
      </c>
      <c r="AC70" s="81" t="str">
        <f>TEXT('MYP Assumptions'!J75,"0.00%")&amp;", CPI"</f>
        <v>2.73%, CPI</v>
      </c>
    </row>
    <row r="71" spans="1:29" x14ac:dyDescent="0.25">
      <c r="A71" s="152"/>
      <c r="B71" s="939">
        <v>4354</v>
      </c>
      <c r="C71" s="857" t="s">
        <v>912</v>
      </c>
      <c r="D71" s="108">
        <v>31350.35</v>
      </c>
      <c r="E71" s="863"/>
      <c r="F71" s="2"/>
      <c r="G71" s="83">
        <f t="shared" si="37"/>
        <v>0.11641496825394299</v>
      </c>
      <c r="H71" s="2">
        <v>35000</v>
      </c>
      <c r="I71" s="871"/>
      <c r="J71" s="66"/>
      <c r="K71" s="83">
        <f t="shared" si="38"/>
        <v>-0.14285714285714285</v>
      </c>
      <c r="L71" s="2">
        <v>30000</v>
      </c>
      <c r="M71" s="871"/>
      <c r="O71" s="83">
        <f t="shared" si="39"/>
        <v>0</v>
      </c>
      <c r="P71" s="2">
        <f t="shared" ref="P71:P75" si="46">+L71*(1-$P$68)</f>
        <v>30000</v>
      </c>
      <c r="Q71" s="871"/>
      <c r="S71" s="83">
        <f t="shared" si="40"/>
        <v>2.7300000000000001E-2</v>
      </c>
      <c r="T71" s="2">
        <f t="shared" si="43"/>
        <v>30819</v>
      </c>
      <c r="U71" s="81" t="str">
        <f>TEXT('MYP Assumptions'!H75,"0.00%")&amp;", CPI"</f>
        <v>2.73%, CPI</v>
      </c>
      <c r="W71" s="83">
        <f t="shared" si="41"/>
        <v>2.7288361075959635E-2</v>
      </c>
      <c r="X71" s="2">
        <f t="shared" si="44"/>
        <v>31660</v>
      </c>
      <c r="Y71" s="81" t="str">
        <f>TEXT('MYP Assumptions'!I75,"0.00%")&amp;", CPI"</f>
        <v>2.73%, CPI</v>
      </c>
      <c r="AA71" s="83">
        <f t="shared" si="42"/>
        <v>2.7289955780164243E-2</v>
      </c>
      <c r="AB71" s="2">
        <f t="shared" si="45"/>
        <v>32524</v>
      </c>
      <c r="AC71" s="81" t="str">
        <f>TEXT('MYP Assumptions'!J75,"0.00%")&amp;", CPI"</f>
        <v>2.73%, CPI</v>
      </c>
    </row>
    <row r="72" spans="1:29" x14ac:dyDescent="0.25">
      <c r="A72" s="152"/>
      <c r="B72" s="939">
        <v>4400</v>
      </c>
      <c r="C72" s="857" t="s">
        <v>913</v>
      </c>
      <c r="D72" s="2">
        <v>77276.97</v>
      </c>
      <c r="E72" s="863"/>
      <c r="F72" s="2"/>
      <c r="G72" s="83">
        <f t="shared" si="37"/>
        <v>0.33924764389701095</v>
      </c>
      <c r="H72" s="2">
        <v>103493</v>
      </c>
      <c r="I72" s="871"/>
      <c r="J72" s="66"/>
      <c r="K72" s="83">
        <f t="shared" si="38"/>
        <v>-3.3751074951929118E-2</v>
      </c>
      <c r="L72" s="2">
        <v>100000</v>
      </c>
      <c r="O72" s="83">
        <f t="shared" si="39"/>
        <v>0.5</v>
      </c>
      <c r="P72" s="2">
        <v>150000</v>
      </c>
      <c r="Q72" s="871"/>
      <c r="S72" s="83">
        <f t="shared" si="40"/>
        <v>2.7300000000000001E-2</v>
      </c>
      <c r="T72" s="2">
        <f t="shared" si="43"/>
        <v>154095</v>
      </c>
      <c r="U72" s="81" t="str">
        <f>TEXT('MYP Assumptions'!H75,"0.00%")&amp;", CPI"</f>
        <v>2.73%, CPI</v>
      </c>
      <c r="W72" s="83">
        <f t="shared" si="41"/>
        <v>2.7301340082416692E-2</v>
      </c>
      <c r="X72" s="2">
        <f t="shared" si="44"/>
        <v>158302</v>
      </c>
      <c r="Y72" s="81" t="str">
        <f>TEXT('MYP Assumptions'!I75,"0.00%")&amp;", CPI"</f>
        <v>2.73%, CPI</v>
      </c>
      <c r="AA72" s="83">
        <f t="shared" si="42"/>
        <v>2.7302245075867645E-2</v>
      </c>
      <c r="AB72" s="2">
        <f t="shared" si="45"/>
        <v>162624</v>
      </c>
      <c r="AC72" s="81" t="str">
        <f>TEXT('MYP Assumptions'!J75,"0.00%")&amp;", CPI"</f>
        <v>2.73%, CPI</v>
      </c>
    </row>
    <row r="73" spans="1:29" hidden="1" x14ac:dyDescent="0.25">
      <c r="A73" s="152"/>
      <c r="B73" s="939">
        <v>4354</v>
      </c>
      <c r="E73" s="863"/>
      <c r="F73" s="2"/>
      <c r="G73" s="83" t="str">
        <f t="shared" si="37"/>
        <v>0.00%</v>
      </c>
      <c r="H73" s="2">
        <f t="shared" ref="H73:H78" si="47">+D73*(1-$H$68)</f>
        <v>0</v>
      </c>
      <c r="I73" s="871"/>
      <c r="J73" s="66"/>
      <c r="K73" s="83" t="str">
        <f t="shared" si="38"/>
        <v>0.00%</v>
      </c>
      <c r="L73" s="2">
        <f t="shared" ref="L73:L74" si="48">+H73*(1-$L$68)</f>
        <v>0</v>
      </c>
      <c r="M73" s="871"/>
      <c r="O73" s="83" t="str">
        <f t="shared" si="39"/>
        <v>0.00%</v>
      </c>
      <c r="P73" s="2">
        <f t="shared" si="46"/>
        <v>0</v>
      </c>
      <c r="Q73" s="871"/>
      <c r="S73" s="83" t="str">
        <f t="shared" si="40"/>
        <v>0.00%</v>
      </c>
      <c r="T73" s="2">
        <f t="shared" si="43"/>
        <v>0</v>
      </c>
      <c r="U73" s="81" t="str">
        <f>TEXT('MYP Assumptions'!H75,"0.00%")&amp;", CPI"</f>
        <v>2.73%, CPI</v>
      </c>
      <c r="W73" s="83" t="str">
        <f t="shared" si="41"/>
        <v>0.00%</v>
      </c>
      <c r="X73" s="2">
        <f t="shared" si="44"/>
        <v>0</v>
      </c>
      <c r="Y73" s="81" t="str">
        <f>TEXT('MYP Assumptions'!I75,"0.00%")&amp;", CPI"</f>
        <v>2.73%, CPI</v>
      </c>
      <c r="AA73" s="83" t="str">
        <f t="shared" si="42"/>
        <v>0.00%</v>
      </c>
      <c r="AB73" s="2">
        <f t="shared" si="45"/>
        <v>0</v>
      </c>
      <c r="AC73" s="81" t="str">
        <f>TEXT('MYP Assumptions'!J75,"0.00%")&amp;", CPI"</f>
        <v>2.73%, CPI</v>
      </c>
    </row>
    <row r="74" spans="1:29" hidden="1" x14ac:dyDescent="0.25">
      <c r="A74" s="152"/>
      <c r="B74" s="939">
        <v>4353</v>
      </c>
      <c r="E74" s="863"/>
      <c r="F74" s="2"/>
      <c r="G74" s="83" t="str">
        <f t="shared" si="37"/>
        <v>0.00%</v>
      </c>
      <c r="H74" s="2">
        <f t="shared" si="47"/>
        <v>0</v>
      </c>
      <c r="I74" s="871"/>
      <c r="J74" s="66"/>
      <c r="K74" s="83" t="str">
        <f t="shared" si="38"/>
        <v>0.00%</v>
      </c>
      <c r="L74" s="2">
        <f t="shared" si="48"/>
        <v>0</v>
      </c>
      <c r="M74" s="871"/>
      <c r="O74" s="83" t="str">
        <f t="shared" si="39"/>
        <v>0.00%</v>
      </c>
      <c r="P74" s="2">
        <f t="shared" si="46"/>
        <v>0</v>
      </c>
      <c r="Q74" s="871"/>
      <c r="S74" s="83" t="str">
        <f t="shared" si="40"/>
        <v>0.00%</v>
      </c>
      <c r="T74" s="2">
        <f t="shared" si="43"/>
        <v>0</v>
      </c>
      <c r="U74" s="81" t="str">
        <f>TEXT('MYP Assumptions'!H75,"0.00%")&amp;", CPI"</f>
        <v>2.73%, CPI</v>
      </c>
      <c r="W74" s="83" t="str">
        <f t="shared" si="41"/>
        <v>0.00%</v>
      </c>
      <c r="X74" s="2">
        <f t="shared" si="44"/>
        <v>0</v>
      </c>
      <c r="Y74" s="81" t="str">
        <f>TEXT('MYP Assumptions'!I75,"0.00%")&amp;", CPI"</f>
        <v>2.73%, CPI</v>
      </c>
      <c r="AA74" s="83" t="str">
        <f t="shared" si="42"/>
        <v>0.00%</v>
      </c>
      <c r="AB74" s="2">
        <f t="shared" si="45"/>
        <v>0</v>
      </c>
      <c r="AC74" s="81" t="str">
        <f>TEXT('MYP Assumptions'!J75,"0.00%")&amp;", CPI"</f>
        <v>2.73%, CPI</v>
      </c>
    </row>
    <row r="75" spans="1:29" x14ac:dyDescent="0.25">
      <c r="A75" s="152"/>
      <c r="B75" s="939" t="s">
        <v>418</v>
      </c>
      <c r="D75" s="2">
        <v>0</v>
      </c>
      <c r="E75" s="863"/>
      <c r="F75" s="2"/>
      <c r="G75" s="83" t="str">
        <f t="shared" ref="G75" si="49">IF(D75=0,"0.00%",(H75-D75)/D75)</f>
        <v>0.00%</v>
      </c>
      <c r="H75" s="2">
        <v>0</v>
      </c>
      <c r="I75" s="871"/>
      <c r="J75" s="66"/>
      <c r="K75" s="83" t="str">
        <f t="shared" ref="K75:K78" si="50">IF(H75=0,"0.00%",(L75-H75)/H75)</f>
        <v>0.00%</v>
      </c>
      <c r="L75" s="2">
        <v>0</v>
      </c>
      <c r="M75" s="871" t="s">
        <v>990</v>
      </c>
      <c r="O75" s="83" t="str">
        <f t="shared" si="39"/>
        <v>0.00%</v>
      </c>
      <c r="P75" s="2">
        <f t="shared" si="46"/>
        <v>0</v>
      </c>
      <c r="Q75" s="871"/>
      <c r="S75" s="83"/>
      <c r="T75" s="2"/>
      <c r="U75" s="81"/>
      <c r="W75" s="83"/>
      <c r="X75" s="2"/>
      <c r="Y75" s="81"/>
      <c r="AA75" s="83"/>
      <c r="AB75" s="2"/>
      <c r="AC75" s="81"/>
    </row>
    <row r="76" spans="1:29" x14ac:dyDescent="0.25">
      <c r="A76" s="152"/>
      <c r="B76" s="939"/>
      <c r="E76" s="863"/>
      <c r="F76" s="2"/>
      <c r="G76" s="83"/>
      <c r="H76" s="2"/>
      <c r="I76" s="871"/>
      <c r="J76" s="66"/>
      <c r="K76" s="83"/>
      <c r="L76" s="2"/>
      <c r="O76" s="83"/>
      <c r="Q76" s="871"/>
      <c r="S76" s="83"/>
      <c r="T76" s="2"/>
      <c r="U76" s="81"/>
      <c r="W76" s="83"/>
      <c r="X76" s="2"/>
      <c r="Y76" s="81"/>
      <c r="AA76" s="83"/>
      <c r="AB76" s="2"/>
      <c r="AC76" s="81"/>
    </row>
    <row r="77" spans="1:29" hidden="1" x14ac:dyDescent="0.25">
      <c r="A77" s="152"/>
      <c r="B77" s="939"/>
      <c r="E77" s="863"/>
      <c r="F77" s="2"/>
      <c r="G77" s="83" t="str">
        <f t="shared" ref="G77:G78" si="51">IF(D77=0,"0.00%",(H77-D77)/D77)</f>
        <v>0.00%</v>
      </c>
      <c r="H77" s="2">
        <f t="shared" si="47"/>
        <v>0</v>
      </c>
      <c r="I77" s="871" t="str">
        <f t="shared" ref="I77:I78" si="52">TEXT($H$68,"0.00%")&amp;"   reduction"</f>
        <v>0.00%   reduction</v>
      </c>
      <c r="J77" s="66"/>
      <c r="K77" s="83" t="str">
        <f t="shared" si="50"/>
        <v>0.00%</v>
      </c>
      <c r="L77" s="2">
        <f t="shared" ref="L77:L78" si="53">ROUND(H77*(LEFT(M77,5)+1),0)</f>
        <v>0</v>
      </c>
      <c r="M77" s="854" t="str">
        <f>TEXT('MYP Assumptions'!$F$75,"0.00%")&amp;", CPI"</f>
        <v>3.35%, CPI</v>
      </c>
      <c r="O77" s="83" t="str">
        <f t="shared" si="39"/>
        <v>0.00%</v>
      </c>
      <c r="P77" s="2">
        <f t="shared" ref="P77:P78" si="54">ROUND(L77*(LEFT(Q77,5)+1),0)</f>
        <v>0</v>
      </c>
      <c r="Q77" s="854" t="str">
        <f>TEXT('MYP Assumptions'!$G$75,"0.00%")&amp;", CPI"</f>
        <v>3.02%, CPI</v>
      </c>
      <c r="S77" s="83"/>
      <c r="T77" s="2"/>
      <c r="U77" s="81"/>
      <c r="W77" s="83"/>
      <c r="X77" s="2"/>
      <c r="Y77" s="81"/>
      <c r="AA77" s="83"/>
      <c r="AB77" s="2"/>
      <c r="AC77" s="81"/>
    </row>
    <row r="78" spans="1:29" hidden="1" x14ac:dyDescent="0.25">
      <c r="A78" s="152"/>
      <c r="B78" s="939"/>
      <c r="E78" s="863"/>
      <c r="F78" s="2"/>
      <c r="G78" s="83" t="str">
        <f t="shared" si="51"/>
        <v>0.00%</v>
      </c>
      <c r="H78" s="2">
        <f t="shared" si="47"/>
        <v>0</v>
      </c>
      <c r="I78" s="871" t="str">
        <f t="shared" si="52"/>
        <v>0.00%   reduction</v>
      </c>
      <c r="J78" s="66"/>
      <c r="K78" s="83" t="str">
        <f t="shared" si="50"/>
        <v>0.00%</v>
      </c>
      <c r="L78" s="2">
        <f t="shared" si="53"/>
        <v>0</v>
      </c>
      <c r="M78" s="854" t="str">
        <f>TEXT('MYP Assumptions'!$F$75,"0.00%")&amp;", CPI"</f>
        <v>3.35%, CPI</v>
      </c>
      <c r="O78" s="83" t="str">
        <f t="shared" si="39"/>
        <v>0.00%</v>
      </c>
      <c r="P78" s="2">
        <f t="shared" si="54"/>
        <v>0</v>
      </c>
      <c r="Q78" s="854" t="str">
        <f>TEXT('MYP Assumptions'!$G$75,"0.00%")&amp;", CPI"</f>
        <v>3.02%, CPI</v>
      </c>
      <c r="S78" s="83" t="str">
        <f t="shared" si="40"/>
        <v>0.00%</v>
      </c>
      <c r="T78" s="2">
        <f t="shared" si="43"/>
        <v>0</v>
      </c>
      <c r="U78" s="81" t="str">
        <f>TEXT('MYP Assumptions'!H75,"0.00%")&amp;", CPI"</f>
        <v>2.73%, CPI</v>
      </c>
      <c r="W78" s="83" t="str">
        <f t="shared" si="41"/>
        <v>0.00%</v>
      </c>
      <c r="X78" s="2">
        <f t="shared" si="44"/>
        <v>0</v>
      </c>
      <c r="Y78" s="81" t="str">
        <f>TEXT('MYP Assumptions'!I75,"0.00%")&amp;", CPI"</f>
        <v>2.73%, CPI</v>
      </c>
      <c r="AA78" s="83" t="str">
        <f t="shared" si="42"/>
        <v>0.00%</v>
      </c>
      <c r="AB78" s="2">
        <f t="shared" si="45"/>
        <v>0</v>
      </c>
      <c r="AC78" s="81" t="str">
        <f>TEXT('MYP Assumptions'!J75,"0.00%")&amp;", CPI"</f>
        <v>2.73%, CPI</v>
      </c>
    </row>
    <row r="79" spans="1:29" x14ac:dyDescent="0.25">
      <c r="A79" s="153"/>
      <c r="B79" s="857"/>
      <c r="D79" s="8">
        <f>SUM(D69:D78)</f>
        <v>192659.5</v>
      </c>
      <c r="E79" s="863"/>
      <c r="F79" s="2"/>
      <c r="G79" s="83">
        <f t="shared" si="37"/>
        <v>0.21929102899156283</v>
      </c>
      <c r="H79" s="8">
        <f>SUM(H69:H78)</f>
        <v>234908</v>
      </c>
      <c r="I79" s="1292">
        <f>+H79-D79</f>
        <v>42248.5</v>
      </c>
      <c r="J79" s="29"/>
      <c r="K79" s="83">
        <f t="shared" si="38"/>
        <v>-0.11880395729391932</v>
      </c>
      <c r="L79" s="8">
        <f>SUM(L69:L78)</f>
        <v>207000</v>
      </c>
      <c r="M79" s="1292">
        <f>+L79-H79</f>
        <v>-27908</v>
      </c>
      <c r="O79" s="83">
        <f t="shared" si="39"/>
        <v>0.24154589371980675</v>
      </c>
      <c r="P79" s="8">
        <f>SUM(P69:P78)</f>
        <v>257000</v>
      </c>
      <c r="Q79" s="1292">
        <f>+P79-L79</f>
        <v>50000</v>
      </c>
      <c r="S79" s="83">
        <f t="shared" si="40"/>
        <v>2.7303501945525291E-2</v>
      </c>
      <c r="T79" s="8">
        <f>SUM(T69:T78)</f>
        <v>264017</v>
      </c>
      <c r="U79" s="73"/>
      <c r="W79" s="83">
        <f t="shared" si="41"/>
        <v>2.7297484631671445E-2</v>
      </c>
      <c r="X79" s="8">
        <f>SUM(X69:X78)</f>
        <v>271224</v>
      </c>
      <c r="Y79" s="73"/>
      <c r="AA79" s="83">
        <f t="shared" si="42"/>
        <v>2.7302156151373033E-2</v>
      </c>
      <c r="AB79" s="8">
        <f>SUM(AB69:AB78)</f>
        <v>278629</v>
      </c>
      <c r="AC79" s="73"/>
    </row>
    <row r="80" spans="1:29" x14ac:dyDescent="0.25">
      <c r="A80" s="152"/>
      <c r="E80" s="863"/>
      <c r="F80" s="2"/>
      <c r="H80" s="2"/>
      <c r="I80" s="36">
        <f>450*900</f>
        <v>405000</v>
      </c>
      <c r="J80" s="66"/>
      <c r="L80" s="2"/>
      <c r="M80" s="948"/>
      <c r="Q80" s="948"/>
      <c r="T80" s="2"/>
      <c r="U80" s="73"/>
      <c r="X80" s="2"/>
      <c r="Y80" s="73"/>
      <c r="AB80" s="2"/>
      <c r="AC80" s="73"/>
    </row>
    <row r="81" spans="1:29" s="4" customFormat="1" x14ac:dyDescent="0.25">
      <c r="A81" s="150"/>
      <c r="B81" s="936" t="s">
        <v>16</v>
      </c>
      <c r="C81" s="873"/>
      <c r="D81" s="6"/>
      <c r="E81" s="864"/>
      <c r="F81" s="6"/>
      <c r="G81" s="373"/>
      <c r="H81" s="448"/>
      <c r="I81" s="873"/>
      <c r="J81" s="58"/>
      <c r="K81" s="380"/>
      <c r="L81" s="6"/>
      <c r="M81" s="950"/>
      <c r="O81" s="380"/>
      <c r="P81" s="6"/>
      <c r="Q81" s="950"/>
      <c r="R81" s="111"/>
      <c r="U81" s="71"/>
      <c r="Y81" s="71"/>
      <c r="AC81" s="71"/>
    </row>
    <row r="82" spans="1:29" x14ac:dyDescent="0.25">
      <c r="A82" s="152"/>
      <c r="B82" s="939">
        <v>5130</v>
      </c>
      <c r="C82" s="857" t="s">
        <v>420</v>
      </c>
      <c r="D82" s="2">
        <v>101948.1</v>
      </c>
      <c r="E82" s="863"/>
      <c r="F82" s="2"/>
      <c r="G82" s="83">
        <f t="shared" ref="G82:G87" si="55">IF(D82=0,"0.00%",(H82-D82)/D82)</f>
        <v>-8.7771130604690092E-2</v>
      </c>
      <c r="H82" s="2">
        <v>93000</v>
      </c>
      <c r="I82" s="854"/>
      <c r="J82" s="66"/>
      <c r="K82" s="83">
        <f t="shared" ref="K82:K95" si="56">IF(H82=0,"0.00%",(L82-H82)/H82)</f>
        <v>0</v>
      </c>
      <c r="L82" s="2">
        <f>+H82</f>
        <v>93000</v>
      </c>
      <c r="M82" s="854"/>
      <c r="O82" s="83">
        <f t="shared" ref="O82:O95" si="57">IF(L82=0,"0.00%",(P82-L82)/L82)</f>
        <v>0</v>
      </c>
      <c r="P82" s="2">
        <f>+L82</f>
        <v>93000</v>
      </c>
      <c r="Q82" s="854"/>
      <c r="S82" s="83">
        <f t="shared" ref="S82:S95" si="58">IF(P82=0,"0.00%",(T82-P82)/P82)</f>
        <v>2.7301075268817206E-2</v>
      </c>
      <c r="T82" s="2">
        <f>ROUND(P82*(LEFT(U82,5)+1),0)</f>
        <v>95539</v>
      </c>
      <c r="U82" s="81" t="str">
        <f>TEXT('MYP Assumptions'!H75,"0.00%")&amp;", CPI"</f>
        <v>2.73%, CPI</v>
      </c>
      <c r="W82" s="83">
        <f t="shared" ref="W82:W95" si="59">IF(T82=0,"0.00%",(X82-T82)/T82)</f>
        <v>2.7297752750185787E-2</v>
      </c>
      <c r="X82" s="2">
        <f>ROUND(T82*(LEFT(Y82,5)+1),0)</f>
        <v>98147</v>
      </c>
      <c r="Y82" s="81" t="str">
        <f>TEXT('MYP Assumptions'!I75,"0.00%")&amp;", CPI"</f>
        <v>2.73%, CPI</v>
      </c>
      <c r="AA82" s="83">
        <f t="shared" ref="AA82:AA95" si="60">IF(X82=0,"0.00%",(AB82-X82)/X82)</f>
        <v>2.72957910073665E-2</v>
      </c>
      <c r="AB82" s="2">
        <f>ROUND(X82*(LEFT(AC82,5)+1),0)</f>
        <v>100826</v>
      </c>
      <c r="AC82" s="81" t="str">
        <f>TEXT('MYP Assumptions'!J75,"0.00%")&amp;", CPI"</f>
        <v>2.73%, CPI</v>
      </c>
    </row>
    <row r="83" spans="1:29" x14ac:dyDescent="0.25">
      <c r="A83" s="152"/>
      <c r="B83" s="939" t="s">
        <v>421</v>
      </c>
      <c r="C83" s="857" t="s">
        <v>419</v>
      </c>
      <c r="D83" s="2">
        <v>17163.099999999999</v>
      </c>
      <c r="E83" s="863"/>
      <c r="F83" s="2"/>
      <c r="G83" s="83">
        <f t="shared" si="55"/>
        <v>0.34025904411207775</v>
      </c>
      <c r="H83" s="2">
        <f>108+22895</f>
        <v>23003</v>
      </c>
      <c r="I83" s="854"/>
      <c r="J83" s="66"/>
      <c r="K83" s="83">
        <f t="shared" si="56"/>
        <v>-0.21749337042994393</v>
      </c>
      <c r="L83" s="2">
        <v>18000</v>
      </c>
      <c r="M83" s="854"/>
      <c r="O83" s="83">
        <f t="shared" si="57"/>
        <v>0</v>
      </c>
      <c r="P83" s="2">
        <f t="shared" ref="P83:P92" si="61">+L83</f>
        <v>18000</v>
      </c>
      <c r="Q83" s="854"/>
      <c r="S83" s="83">
        <f t="shared" si="58"/>
        <v>2.7277777777777779E-2</v>
      </c>
      <c r="T83" s="2">
        <f t="shared" ref="T83:T93" si="62">ROUND(P83*(LEFT(U83,5)+1),0)</f>
        <v>18491</v>
      </c>
      <c r="U83" s="81" t="str">
        <f>TEXT('MYP Assumptions'!H75,"0.00%")&amp;", CPI"</f>
        <v>2.73%, CPI</v>
      </c>
      <c r="W83" s="83">
        <f t="shared" si="59"/>
        <v>2.7310583527121301E-2</v>
      </c>
      <c r="X83" s="2">
        <f t="shared" ref="X83:X93" si="63">ROUND(T83*(LEFT(Y83,5)+1),0)</f>
        <v>18996</v>
      </c>
      <c r="Y83" s="81" t="str">
        <f>TEXT('MYP Assumptions'!I75,"0.00%")&amp;", CPI"</f>
        <v>2.73%, CPI</v>
      </c>
      <c r="AA83" s="83">
        <f t="shared" si="60"/>
        <v>2.7321541377132028E-2</v>
      </c>
      <c r="AB83" s="2">
        <f t="shared" ref="AB83:AB93" si="64">ROUND(X83*(LEFT(AC83,5)+1),0)</f>
        <v>19515</v>
      </c>
      <c r="AC83" s="81" t="str">
        <f>TEXT('MYP Assumptions'!J75,"0.00%")&amp;", CPI"</f>
        <v>2.73%, CPI</v>
      </c>
    </row>
    <row r="84" spans="1:29" x14ac:dyDescent="0.25">
      <c r="A84" s="152"/>
      <c r="B84" s="939">
        <v>5310</v>
      </c>
      <c r="C84" s="857" t="s">
        <v>12</v>
      </c>
      <c r="D84" s="2">
        <v>551</v>
      </c>
      <c r="E84" s="863"/>
      <c r="F84" s="2"/>
      <c r="G84" s="83">
        <f t="shared" si="55"/>
        <v>-1</v>
      </c>
      <c r="H84" s="2">
        <v>0</v>
      </c>
      <c r="I84" s="854"/>
      <c r="J84" s="66"/>
      <c r="K84" s="83" t="str">
        <f t="shared" si="56"/>
        <v>0.00%</v>
      </c>
      <c r="L84" s="2">
        <f>+H84</f>
        <v>0</v>
      </c>
      <c r="M84" s="854"/>
      <c r="O84" s="83" t="str">
        <f t="shared" si="57"/>
        <v>0.00%</v>
      </c>
      <c r="P84" s="2">
        <f t="shared" si="61"/>
        <v>0</v>
      </c>
      <c r="Q84" s="854"/>
      <c r="S84" s="83" t="str">
        <f t="shared" si="58"/>
        <v>0.00%</v>
      </c>
      <c r="T84" s="2">
        <f t="shared" si="62"/>
        <v>0</v>
      </c>
      <c r="U84" s="81" t="str">
        <f>TEXT('MYP Assumptions'!H75,"0.00%")&amp;", CPI"</f>
        <v>2.73%, CPI</v>
      </c>
      <c r="W84" s="83" t="str">
        <f t="shared" si="59"/>
        <v>0.00%</v>
      </c>
      <c r="X84" s="2">
        <f t="shared" si="63"/>
        <v>0</v>
      </c>
      <c r="Y84" s="81" t="str">
        <f>TEXT('MYP Assumptions'!I75,"0.00%")&amp;", CPI"</f>
        <v>2.73%, CPI</v>
      </c>
      <c r="AA84" s="83" t="str">
        <f t="shared" si="60"/>
        <v>0.00%</v>
      </c>
      <c r="AB84" s="2">
        <f t="shared" si="64"/>
        <v>0</v>
      </c>
      <c r="AC84" s="81" t="str">
        <f>TEXT('MYP Assumptions'!J75,"0.00%")&amp;", CPI"</f>
        <v>2.73%, CPI</v>
      </c>
    </row>
    <row r="85" spans="1:29" x14ac:dyDescent="0.25">
      <c r="A85" s="152"/>
      <c r="B85" s="939" t="s">
        <v>422</v>
      </c>
      <c r="C85" s="857" t="s">
        <v>423</v>
      </c>
      <c r="D85" s="2">
        <v>1541.32</v>
      </c>
      <c r="E85" s="863"/>
      <c r="F85" s="2"/>
      <c r="G85" s="83">
        <f t="shared" si="55"/>
        <v>12.365167518750162</v>
      </c>
      <c r="H85" s="2">
        <f>600+20000</f>
        <v>20600</v>
      </c>
      <c r="I85" s="854"/>
      <c r="J85" s="66"/>
      <c r="K85" s="83">
        <f t="shared" si="56"/>
        <v>-0.27184466019417475</v>
      </c>
      <c r="L85" s="2">
        <v>15000</v>
      </c>
      <c r="M85" s="854"/>
      <c r="O85" s="83">
        <f t="shared" si="57"/>
        <v>0</v>
      </c>
      <c r="P85" s="2">
        <f t="shared" si="61"/>
        <v>15000</v>
      </c>
      <c r="Q85" s="854"/>
      <c r="S85" s="83">
        <f t="shared" si="58"/>
        <v>2.7333333333333334E-2</v>
      </c>
      <c r="T85" s="2">
        <f t="shared" si="62"/>
        <v>15410</v>
      </c>
      <c r="U85" s="81" t="str">
        <f>TEXT('MYP Assumptions'!H75,"0.00%")&amp;", CPI"</f>
        <v>2.73%, CPI</v>
      </c>
      <c r="W85" s="83">
        <f t="shared" si="59"/>
        <v>2.7319922128487995E-2</v>
      </c>
      <c r="X85" s="2">
        <f t="shared" si="63"/>
        <v>15831</v>
      </c>
      <c r="Y85" s="81" t="str">
        <f>TEXT('MYP Assumptions'!I75,"0.00%")&amp;", CPI"</f>
        <v>2.73%, CPI</v>
      </c>
      <c r="AA85" s="83">
        <f t="shared" si="60"/>
        <v>2.7288231949971573E-2</v>
      </c>
      <c r="AB85" s="2">
        <f t="shared" si="64"/>
        <v>16263</v>
      </c>
      <c r="AC85" s="81" t="str">
        <f>TEXT('MYP Assumptions'!J75,"0.00%")&amp;", CPI"</f>
        <v>2.73%, CPI</v>
      </c>
    </row>
    <row r="86" spans="1:29" x14ac:dyDescent="0.25">
      <c r="A86" s="152"/>
      <c r="B86" s="939">
        <v>5725</v>
      </c>
      <c r="C86" s="857" t="s">
        <v>424</v>
      </c>
      <c r="D86" s="2">
        <v>24622.67</v>
      </c>
      <c r="E86" s="863"/>
      <c r="F86" s="2"/>
      <c r="G86" s="83">
        <f t="shared" si="55"/>
        <v>0.60965484246834334</v>
      </c>
      <c r="H86" s="2">
        <v>39634</v>
      </c>
      <c r="I86" s="854"/>
      <c r="J86" s="66"/>
      <c r="K86" s="83">
        <f t="shared" si="56"/>
        <v>-0.1169198163193218</v>
      </c>
      <c r="L86" s="2">
        <v>35000</v>
      </c>
      <c r="M86" s="854"/>
      <c r="O86" s="83">
        <f t="shared" si="57"/>
        <v>0</v>
      </c>
      <c r="P86" s="2">
        <f t="shared" si="61"/>
        <v>35000</v>
      </c>
      <c r="Q86" s="854"/>
      <c r="S86" s="83">
        <f t="shared" si="58"/>
        <v>2.7314285714285715E-2</v>
      </c>
      <c r="T86" s="2">
        <f t="shared" si="62"/>
        <v>35956</v>
      </c>
      <c r="U86" s="81" t="str">
        <f>TEXT('MYP Assumptions'!H75,"0.00%")&amp;", CPI"</f>
        <v>2.73%, CPI</v>
      </c>
      <c r="W86" s="83">
        <f t="shared" si="59"/>
        <v>2.7311158082100346E-2</v>
      </c>
      <c r="X86" s="2">
        <f t="shared" si="63"/>
        <v>36938</v>
      </c>
      <c r="Y86" s="81" t="str">
        <f>TEXT('MYP Assumptions'!I75,"0.00%")&amp;", CPI"</f>
        <v>2.73%, CPI</v>
      </c>
      <c r="AA86" s="83">
        <f t="shared" si="60"/>
        <v>2.7288970707672316E-2</v>
      </c>
      <c r="AB86" s="2">
        <f t="shared" si="64"/>
        <v>37946</v>
      </c>
      <c r="AC86" s="81" t="str">
        <f>TEXT('MYP Assumptions'!J75,"0.00%")&amp;", CPI"</f>
        <v>2.73%, CPI</v>
      </c>
    </row>
    <row r="87" spans="1:29" x14ac:dyDescent="0.25">
      <c r="A87" s="152"/>
      <c r="B87" s="939">
        <v>5752</v>
      </c>
      <c r="C87" s="857" t="s">
        <v>425</v>
      </c>
      <c r="D87" s="2">
        <v>1567.1</v>
      </c>
      <c r="E87" s="863"/>
      <c r="F87" s="2"/>
      <c r="G87" s="83">
        <f t="shared" si="55"/>
        <v>-0.80856358879458867</v>
      </c>
      <c r="H87" s="2">
        <v>300</v>
      </c>
      <c r="I87" s="854"/>
      <c r="J87" s="66"/>
      <c r="K87" s="83">
        <f t="shared" si="56"/>
        <v>0</v>
      </c>
      <c r="L87" s="2">
        <v>300</v>
      </c>
      <c r="M87" s="854"/>
      <c r="O87" s="83">
        <f t="shared" si="57"/>
        <v>0</v>
      </c>
      <c r="P87" s="2">
        <f t="shared" si="61"/>
        <v>300</v>
      </c>
      <c r="Q87" s="854"/>
      <c r="S87" s="83">
        <f t="shared" si="58"/>
        <v>2.6666666666666668E-2</v>
      </c>
      <c r="T87" s="2">
        <f t="shared" si="62"/>
        <v>308</v>
      </c>
      <c r="U87" s="81" t="str">
        <f>TEXT('MYP Assumptions'!H75,"0.00%")&amp;", CPI"</f>
        <v>2.73%, CPI</v>
      </c>
      <c r="W87" s="83">
        <f t="shared" si="59"/>
        <v>2.5974025974025976E-2</v>
      </c>
      <c r="X87" s="2">
        <f t="shared" si="63"/>
        <v>316</v>
      </c>
      <c r="Y87" s="81" t="str">
        <f>TEXT('MYP Assumptions'!I75,"0.00%")&amp;", CPI"</f>
        <v>2.73%, CPI</v>
      </c>
      <c r="AA87" s="83">
        <f t="shared" si="60"/>
        <v>2.8481012658227847E-2</v>
      </c>
      <c r="AB87" s="2">
        <f t="shared" si="64"/>
        <v>325</v>
      </c>
      <c r="AC87" s="81" t="str">
        <f>TEXT('MYP Assumptions'!J75,"0.00%")&amp;", CPI"</f>
        <v>2.73%, CPI</v>
      </c>
    </row>
    <row r="88" spans="1:29" x14ac:dyDescent="0.25">
      <c r="A88" s="152"/>
      <c r="B88" s="939">
        <v>5807</v>
      </c>
      <c r="C88" s="857" t="s">
        <v>8</v>
      </c>
      <c r="D88" s="2">
        <v>18360</v>
      </c>
      <c r="E88" s="863"/>
      <c r="F88" s="2"/>
      <c r="G88" s="83">
        <f>IF(D88=0,"0.00%",(H88-D88)/D88)</f>
        <v>-1</v>
      </c>
      <c r="H88" s="2">
        <v>0</v>
      </c>
      <c r="I88" s="854"/>
      <c r="J88" s="66"/>
      <c r="K88" s="83" t="str">
        <f t="shared" si="56"/>
        <v>0.00%</v>
      </c>
      <c r="L88" s="2">
        <f>+H88</f>
        <v>0</v>
      </c>
      <c r="M88" s="854"/>
      <c r="O88" s="83" t="str">
        <f t="shared" si="57"/>
        <v>0.00%</v>
      </c>
      <c r="P88" s="2">
        <f t="shared" si="61"/>
        <v>0</v>
      </c>
      <c r="Q88" s="854"/>
      <c r="S88" s="83" t="str">
        <f t="shared" si="58"/>
        <v>0.00%</v>
      </c>
      <c r="T88" s="2">
        <f t="shared" si="62"/>
        <v>0</v>
      </c>
      <c r="U88" s="81" t="str">
        <f>TEXT('MYP Assumptions'!H75,"0.00%")&amp;", CPI"</f>
        <v>2.73%, CPI</v>
      </c>
      <c r="W88" s="83" t="str">
        <f t="shared" si="59"/>
        <v>0.00%</v>
      </c>
      <c r="X88" s="2">
        <f t="shared" si="63"/>
        <v>0</v>
      </c>
      <c r="Y88" s="81" t="str">
        <f>TEXT('MYP Assumptions'!I75,"0.00%")&amp;", CPI"</f>
        <v>2.73%, CPI</v>
      </c>
      <c r="AA88" s="83" t="str">
        <f t="shared" si="60"/>
        <v>0.00%</v>
      </c>
      <c r="AB88" s="2">
        <f t="shared" si="64"/>
        <v>0</v>
      </c>
      <c r="AC88" s="81" t="str">
        <f>TEXT('MYP Assumptions'!J75,"0.00%")&amp;", CPI"</f>
        <v>2.73%, CPI</v>
      </c>
    </row>
    <row r="89" spans="1:29" x14ac:dyDescent="0.25">
      <c r="A89" s="152"/>
      <c r="B89" s="939">
        <v>5809</v>
      </c>
      <c r="C89" s="857" t="s">
        <v>865</v>
      </c>
      <c r="D89" s="2">
        <v>20560</v>
      </c>
      <c r="E89" s="863"/>
      <c r="F89" s="2"/>
      <c r="G89" s="83">
        <f t="shared" ref="G89:G95" si="65">IF(D89=0,"0.00%",(H89-D89)/D89)</f>
        <v>0.11556420233463036</v>
      </c>
      <c r="H89" s="2">
        <v>22936</v>
      </c>
      <c r="I89" s="854"/>
      <c r="J89" s="66"/>
      <c r="K89" s="83">
        <f t="shared" si="56"/>
        <v>-0.12800837111963725</v>
      </c>
      <c r="L89" s="2">
        <v>20000</v>
      </c>
      <c r="M89" s="854"/>
      <c r="O89" s="83">
        <f t="shared" si="57"/>
        <v>0</v>
      </c>
      <c r="P89" s="2">
        <f t="shared" si="61"/>
        <v>20000</v>
      </c>
      <c r="Q89" s="854"/>
      <c r="S89" s="83">
        <f t="shared" si="58"/>
        <v>2.7300000000000001E-2</v>
      </c>
      <c r="T89" s="2">
        <f t="shared" si="62"/>
        <v>20546</v>
      </c>
      <c r="U89" s="81" t="str">
        <f>TEXT('MYP Assumptions'!H75,"0.00%")&amp;", CPI"</f>
        <v>2.73%, CPI</v>
      </c>
      <c r="W89" s="83">
        <f t="shared" si="59"/>
        <v>2.7304584834030955E-2</v>
      </c>
      <c r="X89" s="2">
        <f t="shared" si="63"/>
        <v>21107</v>
      </c>
      <c r="Y89" s="81" t="str">
        <f>TEXT('MYP Assumptions'!I75,"0.00%")&amp;", CPI"</f>
        <v>2.73%, CPI</v>
      </c>
      <c r="AA89" s="83">
        <f t="shared" si="60"/>
        <v>2.7289524802198324E-2</v>
      </c>
      <c r="AB89" s="2">
        <f t="shared" si="64"/>
        <v>21683</v>
      </c>
      <c r="AC89" s="81" t="str">
        <f>TEXT('MYP Assumptions'!J75,"0.00%")&amp;", CPI"</f>
        <v>2.73%, CPI</v>
      </c>
    </row>
    <row r="90" spans="1:29" x14ac:dyDescent="0.25">
      <c r="A90" s="152"/>
      <c r="B90" s="939">
        <v>5810</v>
      </c>
      <c r="C90" s="857" t="s">
        <v>426</v>
      </c>
      <c r="D90" s="2">
        <v>0</v>
      </c>
      <c r="E90" s="863"/>
      <c r="F90" s="2"/>
      <c r="G90" s="83" t="str">
        <f t="shared" si="65"/>
        <v>0.00%</v>
      </c>
      <c r="H90" s="2">
        <v>0</v>
      </c>
      <c r="I90" s="854"/>
      <c r="J90" s="66"/>
      <c r="K90" s="83" t="str">
        <f t="shared" si="56"/>
        <v>0.00%</v>
      </c>
      <c r="L90" s="2">
        <f>+H90</f>
        <v>0</v>
      </c>
      <c r="M90" s="854"/>
      <c r="O90" s="83" t="str">
        <f t="shared" si="57"/>
        <v>0.00%</v>
      </c>
      <c r="P90" s="2">
        <f t="shared" si="61"/>
        <v>0</v>
      </c>
      <c r="Q90" s="854"/>
      <c r="S90" s="83" t="str">
        <f t="shared" si="58"/>
        <v>0.00%</v>
      </c>
      <c r="T90" s="2">
        <f t="shared" si="62"/>
        <v>0</v>
      </c>
      <c r="U90" s="81" t="str">
        <f>TEXT('MYP Assumptions'!H75,"0.00%")&amp;", CPI"</f>
        <v>2.73%, CPI</v>
      </c>
      <c r="W90" s="83" t="str">
        <f t="shared" si="59"/>
        <v>0.00%</v>
      </c>
      <c r="X90" s="2">
        <f t="shared" si="63"/>
        <v>0</v>
      </c>
      <c r="Y90" s="81" t="str">
        <f>TEXT('MYP Assumptions'!I75,"0.00%")&amp;", CPI"</f>
        <v>2.73%, CPI</v>
      </c>
      <c r="AA90" s="83" t="str">
        <f t="shared" si="60"/>
        <v>0.00%</v>
      </c>
      <c r="AB90" s="2">
        <f t="shared" si="64"/>
        <v>0</v>
      </c>
      <c r="AC90" s="81" t="str">
        <f>TEXT('MYP Assumptions'!J75,"0.00%")&amp;", CPI"</f>
        <v>2.73%, CPI</v>
      </c>
    </row>
    <row r="91" spans="1:29" x14ac:dyDescent="0.25">
      <c r="A91" s="152"/>
      <c r="B91" s="939">
        <v>5813</v>
      </c>
      <c r="C91" s="857" t="s">
        <v>6</v>
      </c>
      <c r="D91" s="2">
        <v>39702.93</v>
      </c>
      <c r="E91" s="863"/>
      <c r="F91" s="2"/>
      <c r="G91" s="83">
        <f t="shared" si="65"/>
        <v>-0.90529666198439263</v>
      </c>
      <c r="H91" s="2">
        <v>3760</v>
      </c>
      <c r="I91" s="854"/>
      <c r="J91" s="66"/>
      <c r="K91" s="83">
        <f t="shared" si="56"/>
        <v>1.6595744680851063</v>
      </c>
      <c r="L91" s="2">
        <v>10000</v>
      </c>
      <c r="M91" s="854"/>
      <c r="O91" s="83">
        <f t="shared" si="57"/>
        <v>0</v>
      </c>
      <c r="P91" s="2">
        <f t="shared" si="61"/>
        <v>10000</v>
      </c>
      <c r="Q91" s="854"/>
      <c r="S91" s="83">
        <f t="shared" si="58"/>
        <v>2.7300000000000001E-2</v>
      </c>
      <c r="T91" s="2">
        <f t="shared" si="62"/>
        <v>10273</v>
      </c>
      <c r="U91" s="81" t="str">
        <f>TEXT('MYP Assumptions'!H75,"0.00%")&amp;", CPI"</f>
        <v>2.73%, CPI</v>
      </c>
      <c r="W91" s="83">
        <f t="shared" si="59"/>
        <v>2.7255913559816995E-2</v>
      </c>
      <c r="X91" s="2">
        <f t="shared" si="63"/>
        <v>10553</v>
      </c>
      <c r="Y91" s="81" t="str">
        <f>TEXT('MYP Assumptions'!I75,"0.00%")&amp;", CPI"</f>
        <v>2.73%, CPI</v>
      </c>
      <c r="AA91" s="83">
        <f t="shared" si="60"/>
        <v>2.7290817776935469E-2</v>
      </c>
      <c r="AB91" s="2">
        <f t="shared" si="64"/>
        <v>10841</v>
      </c>
      <c r="AC91" s="81" t="str">
        <f>TEXT('MYP Assumptions'!J75,"0.00%")&amp;", CPI"</f>
        <v>2.73%, CPI</v>
      </c>
    </row>
    <row r="92" spans="1:29" x14ac:dyDescent="0.25">
      <c r="A92" s="152"/>
      <c r="B92" s="939">
        <v>5814</v>
      </c>
      <c r="C92" s="857" t="s">
        <v>4</v>
      </c>
      <c r="D92" s="2">
        <v>19850.23</v>
      </c>
      <c r="E92" s="863"/>
      <c r="F92" s="2"/>
      <c r="G92" s="83">
        <f t="shared" si="65"/>
        <v>3.6280572063900522</v>
      </c>
      <c r="H92" s="2">
        <v>91868</v>
      </c>
      <c r="I92" s="854"/>
      <c r="J92" s="66"/>
      <c r="K92" s="83">
        <f t="shared" si="56"/>
        <v>-0.29246309922932906</v>
      </c>
      <c r="L92" s="2">
        <v>65000</v>
      </c>
      <c r="M92" s="854"/>
      <c r="O92" s="83">
        <f t="shared" si="57"/>
        <v>0</v>
      </c>
      <c r="P92" s="2">
        <f t="shared" si="61"/>
        <v>65000</v>
      </c>
      <c r="Q92" s="854"/>
      <c r="S92" s="83">
        <f t="shared" si="58"/>
        <v>2.7307692307692307E-2</v>
      </c>
      <c r="T92" s="2">
        <f t="shared" si="62"/>
        <v>66775</v>
      </c>
      <c r="U92" s="81" t="str">
        <f>TEXT('MYP Assumptions'!H75,"0.00%")&amp;", CPI"</f>
        <v>2.73%, CPI</v>
      </c>
      <c r="W92" s="83">
        <f t="shared" si="59"/>
        <v>2.7300636465743166E-2</v>
      </c>
      <c r="X92" s="2">
        <f t="shared" si="63"/>
        <v>68598</v>
      </c>
      <c r="Y92" s="81" t="str">
        <f>TEXT('MYP Assumptions'!I75,"0.00%")&amp;", CPI"</f>
        <v>2.73%, CPI</v>
      </c>
      <c r="AA92" s="83">
        <f t="shared" si="60"/>
        <v>2.7304003032158373E-2</v>
      </c>
      <c r="AB92" s="2">
        <f t="shared" si="64"/>
        <v>70471</v>
      </c>
      <c r="AC92" s="81" t="str">
        <f>TEXT('MYP Assumptions'!J75,"0.00%")&amp;", CPI"</f>
        <v>2.73%, CPI</v>
      </c>
    </row>
    <row r="93" spans="1:29" hidden="1" x14ac:dyDescent="0.25">
      <c r="A93" s="152"/>
      <c r="B93" s="939"/>
      <c r="D93" s="2">
        <v>0</v>
      </c>
      <c r="E93" s="863"/>
      <c r="F93" s="2"/>
      <c r="G93" s="83" t="str">
        <f t="shared" si="65"/>
        <v>0.00%</v>
      </c>
      <c r="H93" s="2"/>
      <c r="I93" s="854"/>
      <c r="J93" s="66"/>
      <c r="K93" s="83" t="str">
        <f t="shared" si="56"/>
        <v>0.00%</v>
      </c>
      <c r="L93" s="2">
        <f>ROUND(H93*(LEFT(M93,5)+1),0)</f>
        <v>0</v>
      </c>
      <c r="M93" s="854" t="str">
        <f>TEXT('MYP Assumptions'!F75,"0.00%")&amp;", CPI"</f>
        <v>3.35%, CPI</v>
      </c>
      <c r="O93" s="83" t="str">
        <f t="shared" si="57"/>
        <v>0.00%</v>
      </c>
      <c r="P93" s="2">
        <f t="shared" ref="P93" si="66">ROUND(L93*(LEFT(Q93,5)+1),0)</f>
        <v>0</v>
      </c>
      <c r="Q93" s="854" t="str">
        <f>TEXT('MYP Assumptions'!J75,"0.00%")&amp;", CPI"</f>
        <v>2.73%, CPI</v>
      </c>
      <c r="S93" s="83" t="str">
        <f t="shared" si="58"/>
        <v>0.00%</v>
      </c>
      <c r="T93" s="2">
        <f t="shared" si="62"/>
        <v>0</v>
      </c>
      <c r="U93" s="81" t="str">
        <f>TEXT('MYP Assumptions'!H75,"0.00%")&amp;", CPI"</f>
        <v>2.73%, CPI</v>
      </c>
      <c r="W93" s="83" t="str">
        <f t="shared" si="59"/>
        <v>0.00%</v>
      </c>
      <c r="X93" s="2">
        <f t="shared" si="63"/>
        <v>0</v>
      </c>
      <c r="Y93" s="81" t="str">
        <f>TEXT('MYP Assumptions'!I75,"0.00%")&amp;", CPI"</f>
        <v>2.73%, CPI</v>
      </c>
      <c r="AA93" s="83" t="str">
        <f t="shared" si="60"/>
        <v>0.00%</v>
      </c>
      <c r="AB93" s="2">
        <f t="shared" si="64"/>
        <v>0</v>
      </c>
      <c r="AC93" s="81" t="str">
        <f>TEXT('MYP Assumptions'!J75,"0.00%")&amp;", CPI"</f>
        <v>2.73%, CPI</v>
      </c>
    </row>
    <row r="94" spans="1:29" x14ac:dyDescent="0.25">
      <c r="A94" s="152"/>
      <c r="B94" s="939">
        <v>5817</v>
      </c>
      <c r="C94" s="857" t="s">
        <v>265</v>
      </c>
      <c r="D94" s="2">
        <v>616.97</v>
      </c>
      <c r="E94" s="863"/>
      <c r="F94" s="2"/>
      <c r="G94" s="83">
        <f t="shared" si="65"/>
        <v>-4.8138483232572525E-3</v>
      </c>
      <c r="H94" s="2">
        <v>614</v>
      </c>
      <c r="I94" s="854"/>
      <c r="J94" s="66"/>
      <c r="K94" s="83"/>
      <c r="L94" s="2"/>
      <c r="M94" s="854"/>
      <c r="O94" s="83"/>
      <c r="Q94" s="854"/>
      <c r="S94" s="83"/>
      <c r="T94" s="2"/>
      <c r="U94" s="81"/>
      <c r="W94" s="83"/>
      <c r="X94" s="2"/>
      <c r="Y94" s="81"/>
      <c r="AA94" s="83"/>
      <c r="AB94" s="2"/>
      <c r="AC94" s="81"/>
    </row>
    <row r="95" spans="1:29" x14ac:dyDescent="0.25">
      <c r="A95" s="153"/>
      <c r="D95" s="8">
        <f>SUM(D82:D94)</f>
        <v>246483.42</v>
      </c>
      <c r="E95" s="863"/>
      <c r="F95" s="2"/>
      <c r="G95" s="83">
        <f t="shared" si="65"/>
        <v>0.1997358686438219</v>
      </c>
      <c r="H95" s="8">
        <f>SUM(H82:H94)</f>
        <v>295715</v>
      </c>
      <c r="I95" s="1292">
        <f>+H95-D95</f>
        <v>49231.579999999987</v>
      </c>
      <c r="J95" s="29"/>
      <c r="K95" s="83">
        <f t="shared" si="56"/>
        <v>-0.133287117663967</v>
      </c>
      <c r="L95" s="8">
        <f>SUM(L82:L94)</f>
        <v>256300</v>
      </c>
      <c r="M95" s="1292">
        <f>+L95-H95</f>
        <v>-39415</v>
      </c>
      <c r="O95" s="83">
        <f t="shared" si="57"/>
        <v>0</v>
      </c>
      <c r="P95" s="8">
        <f>SUM(P82:P94)</f>
        <v>256300</v>
      </c>
      <c r="Q95" s="1292">
        <f>+P95-L95</f>
        <v>0</v>
      </c>
      <c r="S95" s="83">
        <f t="shared" si="58"/>
        <v>2.7303940694498634E-2</v>
      </c>
      <c r="T95" s="8">
        <f>SUM(T82:T94)</f>
        <v>263298</v>
      </c>
      <c r="U95" s="73"/>
      <c r="W95" s="83">
        <f t="shared" si="59"/>
        <v>2.729986555158034E-2</v>
      </c>
      <c r="X95" s="8">
        <f>SUM(X82:X94)</f>
        <v>270486</v>
      </c>
      <c r="Y95" s="73"/>
      <c r="AA95" s="83">
        <f t="shared" si="60"/>
        <v>2.7299009930273656E-2</v>
      </c>
      <c r="AB95" s="8">
        <f>SUM(AB82:AB94)</f>
        <v>277870</v>
      </c>
      <c r="AC95" s="73"/>
    </row>
    <row r="96" spans="1:29" x14ac:dyDescent="0.25">
      <c r="A96" s="152"/>
      <c r="B96" s="936"/>
      <c r="E96" s="863"/>
      <c r="F96" s="2"/>
      <c r="G96" s="83"/>
      <c r="H96" s="2"/>
      <c r="I96" s="871"/>
      <c r="J96" s="66"/>
      <c r="L96" s="2"/>
      <c r="M96" s="948"/>
      <c r="Q96" s="948"/>
      <c r="T96" s="2"/>
      <c r="U96" s="73"/>
      <c r="X96" s="2"/>
      <c r="Y96" s="73"/>
      <c r="AB96" s="2"/>
      <c r="AC96" s="73"/>
    </row>
    <row r="97" spans="1:29" x14ac:dyDescent="0.25">
      <c r="A97" s="152"/>
      <c r="E97" s="863"/>
      <c r="F97" s="2"/>
      <c r="H97" s="2"/>
      <c r="I97" s="871"/>
      <c r="J97" s="66"/>
      <c r="L97" s="2"/>
      <c r="M97" s="948"/>
      <c r="Q97" s="948"/>
      <c r="T97" s="2"/>
      <c r="U97" s="73"/>
      <c r="X97" s="2"/>
      <c r="Y97" s="73"/>
      <c r="AB97" s="2"/>
      <c r="AC97" s="73"/>
    </row>
    <row r="98" spans="1:29" x14ac:dyDescent="0.25">
      <c r="A98" s="153"/>
      <c r="B98" s="936" t="s">
        <v>0</v>
      </c>
      <c r="D98" s="8">
        <f>SUM(D95,D79,D65,D13)</f>
        <v>3802090.55</v>
      </c>
      <c r="E98" s="863"/>
      <c r="F98" s="2"/>
      <c r="G98" s="83">
        <f>IF(D98=0,"0.00%",(H98-D98)/D98)</f>
        <v>9.9620838856665367E-2</v>
      </c>
      <c r="H98" s="8">
        <f>SUM(H95,H79,H65,H13)</f>
        <v>4180858</v>
      </c>
      <c r="I98" s="1077" t="s">
        <v>866</v>
      </c>
      <c r="J98" s="29"/>
      <c r="K98" s="83">
        <f>IF(H98=0,"0.00%",(L98-H98)/H98)</f>
        <v>1.5412625829435011E-2</v>
      </c>
      <c r="L98" s="8">
        <f>SUM(L95,L79,L65,L13)</f>
        <v>4245296</v>
      </c>
      <c r="M98" s="1077" t="s">
        <v>867</v>
      </c>
      <c r="O98" s="83">
        <f>IF(L98=0,"0.00%",(P98-L98)/L98)</f>
        <v>4.1922165144668358E-2</v>
      </c>
      <c r="P98" s="8">
        <f>SUM(P95,P79,P65,P13)</f>
        <v>4423268</v>
      </c>
      <c r="Q98" s="1077" t="s">
        <v>868</v>
      </c>
      <c r="S98" s="83">
        <f>IF(P98=0,"0.00%",(T98-P98)/P98)</f>
        <v>-9.4739907236007399E-3</v>
      </c>
      <c r="T98" s="8">
        <f>SUM(T95,T79,T65,T13)</f>
        <v>4381362</v>
      </c>
      <c r="U98" s="73"/>
      <c r="W98" s="83">
        <f>IF(T98=0,"0.00%",(X98-T98)/T98)</f>
        <v>2.3936848861153222E-2</v>
      </c>
      <c r="X98" s="8">
        <f>SUM(X95,X79,X65,X13)</f>
        <v>4486238</v>
      </c>
      <c r="Y98" s="73"/>
      <c r="AA98" s="83">
        <f>IF(X98=0,"0.00%",(AB98-X98)/X98)</f>
        <v>2.3793432269977651E-2</v>
      </c>
      <c r="AB98" s="8">
        <f>SUM(AB95,AB79,AB65,AB13)</f>
        <v>4592981</v>
      </c>
      <c r="AC98" s="73"/>
    </row>
    <row r="99" spans="1:29" x14ac:dyDescent="0.25">
      <c r="A99" s="152"/>
      <c r="E99" s="863"/>
      <c r="F99" s="2"/>
      <c r="H99" s="2"/>
      <c r="I99" s="871"/>
      <c r="J99" s="66"/>
      <c r="L99" s="2"/>
      <c r="M99" s="80">
        <f>+L98-H98</f>
        <v>64438</v>
      </c>
      <c r="Q99" s="948"/>
      <c r="T99" s="2"/>
      <c r="U99" s="73"/>
      <c r="X99" s="2"/>
      <c r="Y99" s="73"/>
      <c r="AB99" s="2"/>
      <c r="AC99" s="73"/>
    </row>
    <row r="100" spans="1:29" x14ac:dyDescent="0.25">
      <c r="A100" s="152"/>
      <c r="B100" s="936" t="s">
        <v>138</v>
      </c>
      <c r="D100" s="3">
        <f>D11-D98</f>
        <v>245488.45000000019</v>
      </c>
      <c r="G100" s="83">
        <f>IF(D100=0,"0.00%",(H100-D100)/D100)</f>
        <v>2.610100597400812</v>
      </c>
      <c r="H100" s="3">
        <f>H11-H98</f>
        <v>886238</v>
      </c>
      <c r="I100" s="871"/>
      <c r="J100" s="66"/>
      <c r="K100" s="83">
        <f>IF(H100=0,"0.00%",(L100-H100)/H100)</f>
        <v>0.912210941079033</v>
      </c>
      <c r="L100" s="3">
        <f>L11-L98</f>
        <v>1694674</v>
      </c>
      <c r="M100" s="948"/>
      <c r="O100" s="83">
        <f>IF(L100=0,"0.00%",(P100-L100)/L100)</f>
        <v>5.9770197689939186E-2</v>
      </c>
      <c r="P100" s="3">
        <f>P11-P98</f>
        <v>1795965</v>
      </c>
      <c r="Q100" s="948"/>
      <c r="S100" s="83">
        <f>IF(P100=0,"0.00%",(T100-P100)/P100)</f>
        <v>-3.4395586773684341</v>
      </c>
      <c r="T100" s="3">
        <f>T11-T98</f>
        <v>-4381362</v>
      </c>
      <c r="U100" s="73"/>
      <c r="W100" s="83">
        <f>IF(T100=0,"0.00%",(X100-T100)/T100)</f>
        <v>2.3936848861153222E-2</v>
      </c>
      <c r="X100" s="3">
        <f>X11-X98</f>
        <v>-4486238</v>
      </c>
      <c r="Y100" s="73"/>
      <c r="AA100" s="83">
        <f>IF(X100=0,"0.00%",(AB100-X100)/X100)</f>
        <v>2.3793432269977651E-2</v>
      </c>
      <c r="AB100" s="3">
        <f>AB11-AB98</f>
        <v>-4592981</v>
      </c>
      <c r="AC100" s="73"/>
    </row>
    <row r="101" spans="1:29" x14ac:dyDescent="0.25">
      <c r="B101" s="936"/>
      <c r="C101" s="930"/>
      <c r="D101" s="3"/>
      <c r="H101" s="3"/>
      <c r="I101" s="871"/>
      <c r="J101" s="66"/>
      <c r="L101" s="3"/>
      <c r="M101" s="948"/>
      <c r="P101" s="3"/>
      <c r="Q101" s="948"/>
      <c r="T101" s="44"/>
      <c r="U101" s="73"/>
      <c r="X101" s="44"/>
      <c r="Y101" s="73"/>
      <c r="AB101" s="44"/>
      <c r="AC101" s="73"/>
    </row>
    <row r="102" spans="1:29" x14ac:dyDescent="0.25">
      <c r="B102" s="936" t="s">
        <v>136</v>
      </c>
      <c r="C102" s="932"/>
      <c r="D102" s="3">
        <f>D7+D100</f>
        <v>568740.15000000014</v>
      </c>
      <c r="G102" s="83">
        <f>IF(D102=0,"0.00%",(H102-D102)/D102)</f>
        <v>1.5582476461350581</v>
      </c>
      <c r="H102" s="3">
        <f>H7+H100</f>
        <v>1454978.1500000001</v>
      </c>
      <c r="I102" s="1292"/>
      <c r="J102" s="66"/>
      <c r="K102" s="83">
        <f>IF(H102=0,"0.00%",(L102-H102)/H102)</f>
        <v>1.1647418897665234</v>
      </c>
      <c r="L102" s="3">
        <f>L7+L100</f>
        <v>3149652.1500000004</v>
      </c>
      <c r="M102" s="1292"/>
      <c r="O102" s="83">
        <f>IF(L102=0,"0.00%",(P102-L102)/L102)</f>
        <v>0.5702105865881093</v>
      </c>
      <c r="P102" s="3">
        <f>P7+P100</f>
        <v>4945617.1500000004</v>
      </c>
      <c r="Q102" s="1292"/>
      <c r="S102" s="83">
        <f>IF(P102=0,"0.00%",(T102-P102)/P102)</f>
        <v>-0.88590804081953645</v>
      </c>
      <c r="T102" s="49">
        <f>T7+T100</f>
        <v>564255.15000000037</v>
      </c>
      <c r="U102" s="73"/>
      <c r="W102" s="83">
        <f>IF(T102=0,"0.00%",(X102-T102)/T102)</f>
        <v>-7.9507258374159226</v>
      </c>
      <c r="X102" s="49">
        <f>X7+X100</f>
        <v>-3921982.8499999996</v>
      </c>
      <c r="Y102" s="73"/>
      <c r="AA102" s="83">
        <f>IF(X102=0,"0.00%",(AB102-X102)/X102)</f>
        <v>1.1710864569435842</v>
      </c>
      <c r="AB102" s="49">
        <f>AB7+AB100</f>
        <v>-8514963.8499999996</v>
      </c>
      <c r="AC102" s="73"/>
    </row>
    <row r="103" spans="1:29" x14ac:dyDescent="0.25">
      <c r="C103" s="873"/>
      <c r="G103" s="374"/>
      <c r="H103" s="5"/>
      <c r="I103" s="872"/>
      <c r="J103" s="29"/>
      <c r="L103" s="5"/>
      <c r="M103" s="948"/>
      <c r="P103" s="5"/>
      <c r="Q103" s="948"/>
      <c r="T103" s="5"/>
      <c r="U103" s="73"/>
      <c r="X103" s="5"/>
      <c r="Y103" s="73"/>
      <c r="AB103" s="5"/>
      <c r="AC103" s="73"/>
    </row>
    <row r="104" spans="1:29" x14ac:dyDescent="0.25">
      <c r="C104" s="868"/>
      <c r="G104" s="374"/>
      <c r="H104" s="36"/>
      <c r="I104" s="871"/>
      <c r="J104" s="66"/>
      <c r="L104" s="2"/>
      <c r="M104" s="948"/>
      <c r="Q104" s="948"/>
      <c r="T104" s="2"/>
      <c r="U104" s="73"/>
      <c r="X104" s="2"/>
      <c r="Y104" s="73"/>
      <c r="AB104" s="2"/>
      <c r="AC104" s="73"/>
    </row>
    <row r="105" spans="1:29" x14ac:dyDescent="0.25">
      <c r="C105" s="868"/>
      <c r="G105" s="374"/>
      <c r="H105" s="36"/>
      <c r="I105" s="871"/>
      <c r="J105" s="66"/>
      <c r="L105" s="2"/>
      <c r="M105" s="948"/>
      <c r="Q105" s="948"/>
      <c r="T105" s="2"/>
      <c r="U105" s="73"/>
      <c r="X105" s="2"/>
      <c r="Y105" s="73"/>
      <c r="AB105" s="2"/>
      <c r="AC105" s="73"/>
    </row>
    <row r="106" spans="1:29" x14ac:dyDescent="0.25">
      <c r="C106" s="868"/>
      <c r="G106" s="374"/>
      <c r="H106" s="36"/>
      <c r="I106" s="871"/>
      <c r="J106" s="66"/>
      <c r="L106" s="2"/>
      <c r="M106" s="948"/>
      <c r="Q106" s="948"/>
      <c r="T106" s="2"/>
      <c r="U106" s="73"/>
      <c r="X106" s="2"/>
      <c r="Y106" s="73"/>
      <c r="AB106" s="2"/>
      <c r="AC106" s="73"/>
    </row>
    <row r="107" spans="1:29" x14ac:dyDescent="0.25">
      <c r="C107" s="868"/>
      <c r="G107" s="374"/>
      <c r="H107" s="36"/>
      <c r="I107" s="871"/>
      <c r="J107" s="66"/>
      <c r="L107" s="2"/>
      <c r="M107" s="948"/>
      <c r="Q107" s="948"/>
      <c r="T107" s="2"/>
      <c r="U107" s="73"/>
      <c r="X107" s="2"/>
      <c r="Y107" s="73"/>
      <c r="AB107" s="2"/>
      <c r="AC107" s="73"/>
    </row>
    <row r="108" spans="1:29" s="137" customFormat="1" ht="11.25" x14ac:dyDescent="0.2">
      <c r="A108" s="156"/>
      <c r="B108" s="942"/>
      <c r="C108" s="943" t="s">
        <v>223</v>
      </c>
      <c r="D108" s="134">
        <f>+D95+D79+D63+D51+D33</f>
        <v>3802090.5500000003</v>
      </c>
      <c r="E108" s="865"/>
      <c r="G108" s="133" t="s">
        <v>223</v>
      </c>
      <c r="H108" s="134">
        <f>+H95+H79+H63+H51+H33</f>
        <v>4180858</v>
      </c>
      <c r="I108" s="874"/>
      <c r="J108" s="135"/>
      <c r="K108" s="133" t="s">
        <v>223</v>
      </c>
      <c r="L108" s="134">
        <f>+L95+L79+L63+L51+L33</f>
        <v>4245296</v>
      </c>
      <c r="M108" s="951"/>
      <c r="O108" s="133" t="s">
        <v>223</v>
      </c>
      <c r="P108" s="134">
        <f>+P95+P79+P63+P51+P33</f>
        <v>4423268</v>
      </c>
      <c r="Q108" s="951"/>
      <c r="R108" s="139"/>
      <c r="S108" s="133" t="s">
        <v>223</v>
      </c>
      <c r="T108" s="134">
        <f>+T95+T79+T63+T51+T33</f>
        <v>4381362</v>
      </c>
      <c r="U108" s="138"/>
      <c r="W108" s="133" t="s">
        <v>223</v>
      </c>
      <c r="X108" s="134">
        <f>+X95+X79+X63+X51+X33</f>
        <v>4486238</v>
      </c>
      <c r="Y108" s="138"/>
      <c r="AA108" s="133" t="s">
        <v>223</v>
      </c>
      <c r="AB108" s="134">
        <f>+AB95+AB79+AB63+AB51+AB33</f>
        <v>4592981</v>
      </c>
      <c r="AC108" s="138"/>
    </row>
    <row r="109" spans="1:29" s="137" customFormat="1" ht="11.25" x14ac:dyDescent="0.2">
      <c r="A109" s="158"/>
      <c r="B109" s="942"/>
      <c r="C109" s="944" t="s">
        <v>224</v>
      </c>
      <c r="D109" s="142">
        <f>+D13</f>
        <v>0</v>
      </c>
      <c r="E109" s="866"/>
      <c r="F109" s="144"/>
      <c r="G109" s="375" t="s">
        <v>224</v>
      </c>
      <c r="H109" s="142">
        <f>+H13</f>
        <v>0</v>
      </c>
      <c r="I109" s="875"/>
      <c r="J109" s="143"/>
      <c r="K109" s="375" t="s">
        <v>224</v>
      </c>
      <c r="L109" s="142">
        <f>+L13</f>
        <v>0</v>
      </c>
      <c r="M109" s="951"/>
      <c r="O109" s="375" t="s">
        <v>224</v>
      </c>
      <c r="P109" s="142">
        <f>+P13</f>
        <v>0</v>
      </c>
      <c r="Q109" s="865"/>
      <c r="R109" s="139"/>
      <c r="S109" s="141" t="s">
        <v>224</v>
      </c>
      <c r="T109" s="142">
        <f>+T13</f>
        <v>0</v>
      </c>
      <c r="W109" s="141" t="s">
        <v>224</v>
      </c>
      <c r="X109" s="142">
        <f>+X13</f>
        <v>0</v>
      </c>
      <c r="AA109" s="141" t="s">
        <v>224</v>
      </c>
      <c r="AB109" s="142">
        <f>+AB13</f>
        <v>0</v>
      </c>
    </row>
    <row r="110" spans="1:29" s="137" customFormat="1" ht="11.25" x14ac:dyDescent="0.2">
      <c r="A110" s="158"/>
      <c r="B110" s="942"/>
      <c r="C110" s="944"/>
      <c r="D110" s="145">
        <f>+D108+D109</f>
        <v>3802090.5500000003</v>
      </c>
      <c r="E110" s="866"/>
      <c r="F110" s="144"/>
      <c r="G110" s="375"/>
      <c r="H110" s="145">
        <f>+H108+H109</f>
        <v>4180858</v>
      </c>
      <c r="I110" s="875"/>
      <c r="J110" s="143"/>
      <c r="K110" s="375"/>
      <c r="L110" s="145">
        <f>+L108+L109</f>
        <v>4245296</v>
      </c>
      <c r="M110" s="865"/>
      <c r="O110" s="375"/>
      <c r="P110" s="145">
        <f>+P108+P109</f>
        <v>4423268</v>
      </c>
      <c r="Q110" s="865"/>
      <c r="R110" s="139"/>
      <c r="S110" s="141"/>
      <c r="T110" s="145">
        <f>+T108+T109</f>
        <v>4381362</v>
      </c>
      <c r="W110" s="141"/>
      <c r="X110" s="145">
        <f>+X108+X109</f>
        <v>4486238</v>
      </c>
      <c r="AA110" s="141"/>
      <c r="AB110" s="145">
        <f>+AB108+AB109</f>
        <v>4592981</v>
      </c>
    </row>
    <row r="111" spans="1:29" ht="15" customHeight="1" x14ac:dyDescent="0.25">
      <c r="A111" s="152"/>
      <c r="B111" s="945"/>
      <c r="C111" s="945"/>
      <c r="D111" s="5">
        <f>+D98-D110</f>
        <v>0</v>
      </c>
      <c r="E111" s="863"/>
      <c r="F111" s="2"/>
      <c r="G111" s="376"/>
      <c r="H111" s="5">
        <f>+H98-H110</f>
        <v>0</v>
      </c>
      <c r="K111" s="376"/>
      <c r="L111" s="5">
        <f>+L98-L110</f>
        <v>0</v>
      </c>
      <c r="O111" s="376"/>
      <c r="P111" s="5">
        <f>+P98-P110</f>
        <v>0</v>
      </c>
      <c r="S111" s="103"/>
      <c r="T111" s="5">
        <f>+T98-T110</f>
        <v>0</v>
      </c>
      <c r="W111" s="103"/>
      <c r="X111" s="5">
        <f>+X98-X110</f>
        <v>0</v>
      </c>
      <c r="AA111" s="103"/>
      <c r="AB111" s="5">
        <f>+AB98-AB110</f>
        <v>0</v>
      </c>
    </row>
    <row r="112" spans="1:29" x14ac:dyDescent="0.25">
      <c r="A112" s="152"/>
      <c r="B112" s="945"/>
      <c r="C112" s="945"/>
      <c r="D112" s="36"/>
      <c r="E112" s="863"/>
      <c r="F112" s="2"/>
    </row>
    <row r="113" spans="1:6" x14ac:dyDescent="0.25">
      <c r="A113" s="152"/>
      <c r="B113" s="932"/>
      <c r="C113" s="868"/>
      <c r="D113" s="25"/>
      <c r="E113" s="863"/>
      <c r="F113" s="2"/>
    </row>
    <row r="114" spans="1:6" x14ac:dyDescent="0.25">
      <c r="B114" s="932"/>
      <c r="C114" s="868"/>
      <c r="D114" s="36"/>
    </row>
    <row r="115" spans="1:6" x14ac:dyDescent="0.25">
      <c r="B115" s="932"/>
      <c r="C115" s="868"/>
      <c r="D115" s="36"/>
    </row>
    <row r="116" spans="1:6" ht="15" customHeight="1" x14ac:dyDescent="0.25">
      <c r="B116" s="932"/>
      <c r="C116" s="868"/>
      <c r="D116" s="36"/>
    </row>
    <row r="117" spans="1:6" x14ac:dyDescent="0.25">
      <c r="B117" s="932"/>
      <c r="C117" s="868"/>
      <c r="D117" s="36"/>
    </row>
    <row r="118" spans="1:6" x14ac:dyDescent="0.25">
      <c r="B118" s="932"/>
      <c r="C118" s="868"/>
      <c r="D118" s="36"/>
    </row>
    <row r="119" spans="1:6" ht="15" customHeight="1" x14ac:dyDescent="0.25">
      <c r="B119" s="2209"/>
      <c r="C119" s="2209"/>
      <c r="D119" s="36"/>
    </row>
    <row r="120" spans="1:6" x14ac:dyDescent="0.25">
      <c r="B120" s="2209"/>
      <c r="C120" s="2209"/>
      <c r="D120" s="36"/>
    </row>
    <row r="121" spans="1:6" x14ac:dyDescent="0.25">
      <c r="B121" s="932"/>
      <c r="C121" s="868"/>
      <c r="D121" s="6"/>
    </row>
    <row r="122" spans="1:6" x14ac:dyDescent="0.25">
      <c r="B122" s="932"/>
      <c r="C122" s="868"/>
      <c r="D122" s="36"/>
    </row>
    <row r="123" spans="1:6" x14ac:dyDescent="0.25">
      <c r="B123" s="932"/>
      <c r="C123" s="868"/>
      <c r="D123" s="36"/>
    </row>
    <row r="124" spans="1:6" ht="28.5" customHeight="1" x14ac:dyDescent="0.25">
      <c r="B124" s="932"/>
      <c r="C124" s="868"/>
      <c r="D124" s="25"/>
    </row>
    <row r="125" spans="1:6" x14ac:dyDescent="0.25">
      <c r="B125" s="932"/>
      <c r="C125" s="868"/>
      <c r="D125" s="36"/>
    </row>
    <row r="126" spans="1:6" x14ac:dyDescent="0.25">
      <c r="B126" s="932"/>
      <c r="C126" s="868"/>
      <c r="D126" s="36"/>
    </row>
    <row r="127" spans="1:6" x14ac:dyDescent="0.25">
      <c r="B127" s="932"/>
      <c r="C127" s="868"/>
      <c r="D127" s="36"/>
    </row>
    <row r="128" spans="1:6" x14ac:dyDescent="0.25">
      <c r="B128" s="932"/>
      <c r="C128" s="868"/>
      <c r="D128" s="36"/>
    </row>
    <row r="129" spans="2:4" x14ac:dyDescent="0.25">
      <c r="B129" s="932"/>
      <c r="C129" s="868"/>
      <c r="D129" s="36"/>
    </row>
    <row r="130" spans="2:4" x14ac:dyDescent="0.25">
      <c r="B130" s="932"/>
      <c r="C130" s="868"/>
      <c r="D130" s="36"/>
    </row>
    <row r="131" spans="2:4" x14ac:dyDescent="0.25">
      <c r="B131" s="932"/>
      <c r="C131" s="868"/>
      <c r="D131" s="36"/>
    </row>
    <row r="132" spans="2:4" x14ac:dyDescent="0.25">
      <c r="B132" s="932"/>
      <c r="C132" s="868"/>
      <c r="D132" s="36"/>
    </row>
    <row r="133" spans="2:4" x14ac:dyDescent="0.25">
      <c r="B133" s="932"/>
      <c r="C133" s="868"/>
      <c r="D133" s="36"/>
    </row>
    <row r="134" spans="2:4" x14ac:dyDescent="0.25">
      <c r="B134" s="932"/>
      <c r="C134" s="868"/>
      <c r="D134" s="36"/>
    </row>
    <row r="135" spans="2:4" x14ac:dyDescent="0.25">
      <c r="B135" s="932"/>
      <c r="C135" s="868"/>
      <c r="D135" s="36"/>
    </row>
    <row r="136" spans="2:4" x14ac:dyDescent="0.25">
      <c r="B136" s="932"/>
      <c r="C136" s="868"/>
      <c r="D136" s="36"/>
    </row>
    <row r="137" spans="2:4" x14ac:dyDescent="0.25">
      <c r="B137" s="932"/>
      <c r="C137" s="868"/>
      <c r="D137" s="36"/>
    </row>
    <row r="138" spans="2:4" x14ac:dyDescent="0.25">
      <c r="B138" s="932"/>
      <c r="C138" s="868"/>
      <c r="D138" s="36"/>
    </row>
    <row r="139" spans="2:4" x14ac:dyDescent="0.25">
      <c r="B139" s="932"/>
      <c r="C139" s="868"/>
      <c r="D139" s="36"/>
    </row>
  </sheetData>
  <sheetProtection password="B79F" sheet="1" objects="1" scenarios="1"/>
  <mergeCells count="1">
    <mergeCell ref="B119:C120"/>
  </mergeCells>
  <pageMargins left="0.25" right="0.25" top="0.5" bottom="0.5" header="0.25" footer="0.25"/>
  <pageSetup paperSize="5" scale="56" orientation="portrait" r:id="rId1"/>
  <headerFooter>
    <oddHeader>&amp;L&amp;F</oddHeader>
    <oddFooter>&amp;R&amp;A</oddFooter>
  </headerFooter>
  <ignoredErrors>
    <ignoredError sqref="B3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139"/>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1.7109375" style="146" customWidth="1"/>
    <col min="2" max="2" width="8.5703125" style="930" customWidth="1"/>
    <col min="3" max="3" width="24.85546875" style="857" customWidth="1"/>
    <col min="4" max="4" width="16" style="2" customWidth="1"/>
    <col min="5" max="5" width="17.7109375" style="857" hidden="1" customWidth="1"/>
    <col min="6" max="6" width="6" style="39" customWidth="1"/>
    <col min="7" max="7" width="10.28515625" style="52" customWidth="1"/>
    <col min="8" max="8" width="13.85546875" style="122" bestFit="1" customWidth="1"/>
    <col min="9" max="9" width="26.42578125" style="868" hidden="1" customWidth="1"/>
    <col min="10" max="10" width="5.7109375" style="59" customWidth="1"/>
    <col min="11" max="11" width="8.42578125" style="377" customWidth="1"/>
    <col min="12" max="12" width="14" style="123" bestFit="1" customWidth="1"/>
    <col min="13" max="13" width="26" style="857" hidden="1" customWidth="1"/>
    <col min="14" max="14" width="5.7109375" style="39" customWidth="1"/>
    <col min="15" max="15" width="9.42578125" style="377" bestFit="1" customWidth="1"/>
    <col min="16" max="16" width="14" style="2" bestFit="1" customWidth="1"/>
    <col min="17" max="17" width="24.85546875" style="857"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930" t="s">
        <v>61</v>
      </c>
      <c r="C1" s="931" t="s">
        <v>267</v>
      </c>
      <c r="D1" s="97">
        <v>0</v>
      </c>
      <c r="E1" s="855"/>
      <c r="F1" s="98"/>
      <c r="G1" s="369"/>
      <c r="H1" s="99">
        <v>0</v>
      </c>
      <c r="I1" s="855"/>
      <c r="L1" s="122">
        <v>0</v>
      </c>
      <c r="M1" s="855"/>
      <c r="P1" s="122">
        <v>0</v>
      </c>
      <c r="Q1" s="855"/>
      <c r="T1" s="86">
        <v>0</v>
      </c>
      <c r="U1" s="98"/>
      <c r="X1" s="86">
        <v>0</v>
      </c>
      <c r="Y1" s="98"/>
      <c r="AB1" s="86">
        <v>0</v>
      </c>
      <c r="AC1" s="98"/>
    </row>
    <row r="2" spans="1:29" ht="17.25" x14ac:dyDescent="0.4">
      <c r="B2" s="932" t="s">
        <v>59</v>
      </c>
      <c r="C2" s="1031" t="s">
        <v>576</v>
      </c>
      <c r="D2" s="99">
        <v>0</v>
      </c>
      <c r="E2" s="855"/>
      <c r="F2" s="98"/>
      <c r="G2" s="370"/>
      <c r="H2" s="99">
        <v>0</v>
      </c>
      <c r="I2" s="855"/>
      <c r="L2" s="87">
        <v>0</v>
      </c>
      <c r="M2" s="855"/>
      <c r="P2" s="87">
        <v>0</v>
      </c>
      <c r="Q2" s="855"/>
      <c r="T2" s="87">
        <v>0</v>
      </c>
      <c r="U2" s="98"/>
      <c r="X2" s="87">
        <v>0</v>
      </c>
      <c r="Y2" s="98"/>
      <c r="AB2" s="87">
        <v>0</v>
      </c>
      <c r="AC2" s="98"/>
    </row>
    <row r="3" spans="1:29" x14ac:dyDescent="0.25">
      <c r="D3" s="323">
        <f>+SUM(D1:D2)</f>
        <v>0</v>
      </c>
      <c r="E3" s="856"/>
      <c r="F3" s="100"/>
      <c r="G3" s="83"/>
      <c r="H3" s="323">
        <f>+SUM(H1:H2)</f>
        <v>0</v>
      </c>
      <c r="I3" s="867"/>
      <c r="L3" s="122">
        <f>SUM(L1:L2)</f>
        <v>0</v>
      </c>
      <c r="M3" s="868"/>
      <c r="P3" s="122">
        <f>SUM(P1:P2)</f>
        <v>0</v>
      </c>
      <c r="Q3" s="868"/>
      <c r="T3" s="86">
        <f>SUM(T1:T2)</f>
        <v>0</v>
      </c>
      <c r="U3" s="51"/>
      <c r="X3" s="86">
        <f>SUM(X1:X2)</f>
        <v>0</v>
      </c>
      <c r="Y3" s="51"/>
      <c r="AB3" s="86">
        <f>SUM(AB1:AB2)</f>
        <v>0</v>
      </c>
      <c r="AC3" s="51"/>
    </row>
    <row r="4" spans="1:29" x14ac:dyDescent="0.25">
      <c r="L4" s="122"/>
      <c r="M4" s="868"/>
      <c r="P4" s="122"/>
      <c r="Q4" s="868"/>
      <c r="T4" s="86"/>
      <c r="U4" s="51"/>
      <c r="X4" s="86"/>
      <c r="Y4" s="51"/>
      <c r="AB4" s="86"/>
      <c r="AC4" s="51"/>
    </row>
    <row r="5" spans="1:29" ht="15.75" x14ac:dyDescent="0.25">
      <c r="B5" s="934" t="s">
        <v>56</v>
      </c>
      <c r="P5" s="123"/>
      <c r="T5" s="73"/>
      <c r="X5" s="73"/>
      <c r="AB5" s="73"/>
    </row>
    <row r="6" spans="1:29" s="89" customFormat="1" ht="15.75" x14ac:dyDescent="0.25">
      <c r="A6" s="147"/>
      <c r="B6" s="935"/>
      <c r="C6" s="935"/>
      <c r="D6" s="284" t="s">
        <v>55</v>
      </c>
      <c r="E6" s="858"/>
      <c r="G6" s="371"/>
      <c r="H6" s="324" t="str">
        <f>LEFT(D6,4)+1&amp;"-"&amp;RIGHT(D6,4)+1</f>
        <v>2017-2018</v>
      </c>
      <c r="I6" s="869"/>
      <c r="J6" s="93"/>
      <c r="K6" s="378"/>
      <c r="L6" s="124" t="str">
        <f>LEFT(H6,4)+1&amp;"-"&amp;RIGHT(H6,4)+1</f>
        <v>2018-2019</v>
      </c>
      <c r="M6" s="946"/>
      <c r="N6" s="96"/>
      <c r="O6" s="381"/>
      <c r="P6" s="124" t="str">
        <f>LEFT(L6,4)+1&amp;"-"&amp;RIGHT(L6,4)+1</f>
        <v>2019-2020</v>
      </c>
      <c r="Q6" s="94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936" t="s">
        <v>54</v>
      </c>
      <c r="D7" s="2">
        <v>2095.1999999999998</v>
      </c>
      <c r="E7" s="928"/>
      <c r="H7" s="2">
        <f>D102</f>
        <v>4.638422979041934E-11</v>
      </c>
      <c r="I7" s="928"/>
      <c r="J7" s="60"/>
      <c r="L7" s="2">
        <f>H102</f>
        <v>-17258.999999999953</v>
      </c>
      <c r="M7" s="928"/>
      <c r="P7" s="2">
        <f>L102</f>
        <v>4.7293724492192268E-11</v>
      </c>
      <c r="Q7" s="928"/>
      <c r="T7" s="2">
        <f>P102</f>
        <v>4.7293724492192268E-11</v>
      </c>
      <c r="U7" s="105"/>
      <c r="X7" s="2">
        <f>T102</f>
        <v>-966915</v>
      </c>
      <c r="Y7" s="105"/>
      <c r="AB7" s="2">
        <f>X102</f>
        <v>-1965912</v>
      </c>
      <c r="AC7" s="105"/>
    </row>
    <row r="8" spans="1:29" x14ac:dyDescent="0.25">
      <c r="E8" s="928"/>
      <c r="H8" s="2"/>
      <c r="I8" s="928"/>
      <c r="L8" s="2"/>
      <c r="M8" s="928"/>
      <c r="Q8" s="928"/>
      <c r="U8" s="105"/>
      <c r="Y8" s="105"/>
      <c r="AC8" s="105"/>
    </row>
    <row r="9" spans="1:29" x14ac:dyDescent="0.25">
      <c r="B9" s="930" t="s">
        <v>52</v>
      </c>
      <c r="C9" s="857" t="s">
        <v>408</v>
      </c>
      <c r="D9" s="2">
        <v>817134.13</v>
      </c>
      <c r="E9" s="928"/>
      <c r="G9" s="83">
        <f>IF(D9=0,"0.00%",(H9-D9)/D9)</f>
        <v>0.16505719813710387</v>
      </c>
      <c r="H9" s="162">
        <v>952008</v>
      </c>
      <c r="I9" s="928"/>
      <c r="J9" s="61"/>
      <c r="K9" s="83">
        <f>IF(H9=0,"0.00%",(L9-H9)/H9)</f>
        <v>3.4530172015361217E-2</v>
      </c>
      <c r="L9" s="162">
        <v>984881</v>
      </c>
      <c r="M9" s="928"/>
      <c r="O9" s="83">
        <f>IF(L9=0,"0.00%",(P9-L9)/L9)</f>
        <v>2.1905184484216876E-2</v>
      </c>
      <c r="P9" s="162">
        <v>1006455</v>
      </c>
      <c r="Q9" s="928"/>
      <c r="S9" s="83">
        <f>IF(P9=0,"0.00%",(T9-P9)/P9)</f>
        <v>-1</v>
      </c>
      <c r="T9" s="3">
        <f>T3</f>
        <v>0</v>
      </c>
      <c r="U9" s="105"/>
      <c r="W9" s="83" t="str">
        <f>IF(T9=0,"0.00%",(X9-T9)/T9)</f>
        <v>0.00%</v>
      </c>
      <c r="X9" s="3">
        <f>X3</f>
        <v>0</v>
      </c>
      <c r="Y9" s="105"/>
      <c r="AA9" s="83" t="str">
        <f>IF(X9=0,"0.00%",(AB9-X9)/X9)</f>
        <v>0.00%</v>
      </c>
      <c r="AB9" s="3">
        <f>AB3</f>
        <v>0</v>
      </c>
      <c r="AC9" s="105"/>
    </row>
    <row r="10" spans="1:29" x14ac:dyDescent="0.25">
      <c r="C10" s="857" t="s">
        <v>427</v>
      </c>
      <c r="D10" s="2">
        <v>18346.310000000001</v>
      </c>
      <c r="E10" s="928"/>
      <c r="G10" s="83">
        <f t="shared" ref="G10:G15" si="0">IF(D10=0,"0.00%",(H10-D10)/D10)</f>
        <v>-0.61845188487494218</v>
      </c>
      <c r="H10" s="3">
        <v>7000</v>
      </c>
      <c r="I10" s="928"/>
      <c r="J10" s="61"/>
      <c r="K10" s="83">
        <f>IF(H10=0,"0.00%",(L10-H10)/H10)</f>
        <v>0</v>
      </c>
      <c r="L10" s="3">
        <f>+H10</f>
        <v>7000</v>
      </c>
      <c r="M10" s="928"/>
      <c r="O10" s="83">
        <f>IF(L10=0,"0.00%",(P10-L10)/L10)</f>
        <v>0</v>
      </c>
      <c r="P10" s="3">
        <f>+L10</f>
        <v>7000</v>
      </c>
      <c r="Q10" s="928"/>
      <c r="S10" s="83">
        <f>IF(P10=0,"0.00%",(T10-P10)/P10)</f>
        <v>-1</v>
      </c>
      <c r="T10" s="3">
        <f>-P2</f>
        <v>0</v>
      </c>
      <c r="U10" s="105"/>
      <c r="W10" s="83" t="str">
        <f>IF(T10=0,"0.00%",(X10-T10)/T10)</f>
        <v>0.00%</v>
      </c>
      <c r="X10" s="3">
        <f>-T2</f>
        <v>0</v>
      </c>
      <c r="Y10" s="105"/>
      <c r="AA10" s="83" t="str">
        <f>IF(X10=0,"0.00%",(AB10-X10)/X10)</f>
        <v>0.00%</v>
      </c>
      <c r="AB10" s="3">
        <f>-X2</f>
        <v>0</v>
      </c>
      <c r="AC10" s="105"/>
    </row>
    <row r="11" spans="1:29" x14ac:dyDescent="0.25">
      <c r="B11" s="936" t="s">
        <v>137</v>
      </c>
      <c r="D11" s="8">
        <f>SUM(D9:D10)</f>
        <v>835480.44000000006</v>
      </c>
      <c r="E11" s="928"/>
      <c r="G11" s="83">
        <f t="shared" si="0"/>
        <v>0.14785212685529769</v>
      </c>
      <c r="H11" s="8">
        <f>SUM(H9:H10)</f>
        <v>959008</v>
      </c>
      <c r="I11" s="1292">
        <f>+H11-D11</f>
        <v>123527.55999999994</v>
      </c>
      <c r="J11" s="62"/>
      <c r="K11" s="83">
        <f>IF(H11=0,"0.00%",(L11-H11)/H11)</f>
        <v>3.4278129066702259E-2</v>
      </c>
      <c r="L11" s="8">
        <f>SUM(L9:L10)</f>
        <v>991881</v>
      </c>
      <c r="M11" s="1292">
        <f>+L11-H11</f>
        <v>32873</v>
      </c>
      <c r="O11" s="83">
        <f>IF(L11=0,"0.00%",(P11-L11)/L11)</f>
        <v>2.1750593065095511E-2</v>
      </c>
      <c r="P11" s="8">
        <f>SUM(P9:P10)</f>
        <v>1013455</v>
      </c>
      <c r="Q11" s="1292">
        <f>+P11-L11</f>
        <v>21574</v>
      </c>
      <c r="S11" s="83">
        <f>IF(P11=0,"0.00%",(T11-P11)/P11)</f>
        <v>-1</v>
      </c>
      <c r="T11" s="78">
        <f>SUM(T9:T10)</f>
        <v>0</v>
      </c>
      <c r="U11" s="105"/>
      <c r="W11" s="83" t="str">
        <f>IF(T11=0,"0.00%",(X11-T11)/T11)</f>
        <v>0.00%</v>
      </c>
      <c r="X11" s="78">
        <f>SUM(X9:X10)</f>
        <v>0</v>
      </c>
      <c r="Y11" s="105"/>
      <c r="AA11" s="83" t="str">
        <f>IF(X11=0,"0.00%",(AB11-X11)/X11)</f>
        <v>0.00%</v>
      </c>
      <c r="AB11" s="78">
        <f>SUM(AB9:AB10)</f>
        <v>0</v>
      </c>
      <c r="AC11" s="105"/>
    </row>
    <row r="12" spans="1:29" x14ac:dyDescent="0.25">
      <c r="E12" s="928"/>
      <c r="H12" s="3"/>
      <c r="I12" s="928"/>
      <c r="J12" s="63"/>
      <c r="K12" s="52"/>
      <c r="L12" s="3"/>
      <c r="M12" s="1292"/>
      <c r="O12" s="52"/>
      <c r="P12" s="3"/>
      <c r="Q12" s="928"/>
      <c r="S12" s="46"/>
      <c r="T12" s="44"/>
      <c r="U12" s="105"/>
      <c r="W12" s="46"/>
      <c r="X12" s="44"/>
      <c r="Y12" s="105"/>
      <c r="AA12" s="46"/>
      <c r="AB12" s="44"/>
      <c r="AC12" s="105"/>
    </row>
    <row r="13" spans="1:29" x14ac:dyDescent="0.25">
      <c r="C13" s="938" t="s">
        <v>64</v>
      </c>
      <c r="D13" s="9">
        <f>ROUND(D11-(D11/(1+E13)),0)</f>
        <v>0</v>
      </c>
      <c r="E13" s="52">
        <v>0</v>
      </c>
      <c r="G13" s="83" t="str">
        <f t="shared" si="0"/>
        <v>0.00%</v>
      </c>
      <c r="H13" s="9">
        <f>ROUND(H11-(H11/(1+E13)),0)</f>
        <v>0</v>
      </c>
      <c r="I13" s="928"/>
      <c r="J13" s="64"/>
      <c r="K13" s="83" t="str">
        <f>IF(H13=0,"0.00%",(L13-H13)/H13)</f>
        <v>0.00%</v>
      </c>
      <c r="L13" s="9">
        <f>ROUND(L11-(L11/(1+E13)),0)</f>
        <v>0</v>
      </c>
      <c r="M13" s="928"/>
      <c r="O13" s="83" t="str">
        <f>IF(L13=0,"0.00%",(P13-L13)/L13)</f>
        <v>0.00%</v>
      </c>
      <c r="P13" s="9">
        <f>ROUND(P11-(P11/(1+E13)),0)</f>
        <v>0</v>
      </c>
      <c r="Q13" s="928"/>
      <c r="S13" s="83" t="str">
        <f>IF(P13=0,"0.00%",(T13-P13)/P13)</f>
        <v>0.00%</v>
      </c>
      <c r="T13" s="77">
        <f>ROUND(T11-(T11/(1+E13)),0)</f>
        <v>0</v>
      </c>
      <c r="U13" s="105"/>
      <c r="W13" s="83" t="str">
        <f>IF(T13=0,"0.00%",(X13-T13)/T13)</f>
        <v>0.00%</v>
      </c>
      <c r="X13" s="77">
        <f>ROUND(X11-(X11/(1+E13)),0)</f>
        <v>0</v>
      </c>
      <c r="Y13" s="105"/>
      <c r="AA13" s="83" t="str">
        <f>IF(X13=0,"0.00%",(AB13-X13)/X13)</f>
        <v>0.00%</v>
      </c>
      <c r="AB13" s="77">
        <f>ROUND(AB11-(AB11/(1+G13)),0)</f>
        <v>0</v>
      </c>
      <c r="AC13" s="105"/>
    </row>
    <row r="14" spans="1:29" x14ac:dyDescent="0.25">
      <c r="H14" s="3"/>
      <c r="I14" s="928"/>
      <c r="J14" s="63"/>
      <c r="K14" s="52"/>
      <c r="L14" s="3"/>
      <c r="M14" s="928"/>
      <c r="O14" s="52"/>
      <c r="P14" s="3"/>
      <c r="Q14" s="928"/>
      <c r="S14" s="46"/>
      <c r="T14" s="44"/>
      <c r="U14" s="105"/>
      <c r="W14" s="46"/>
      <c r="X14" s="44"/>
      <c r="Y14" s="105"/>
      <c r="AA14" s="46"/>
      <c r="AB14" s="44"/>
      <c r="AC14" s="105"/>
    </row>
    <row r="15" spans="1:29" x14ac:dyDescent="0.25">
      <c r="B15" s="936" t="s">
        <v>50</v>
      </c>
      <c r="D15" s="10">
        <f>D11-D13+D7</f>
        <v>837575.64</v>
      </c>
      <c r="E15" s="928"/>
      <c r="G15" s="83">
        <f t="shared" si="0"/>
        <v>0.14498076854288644</v>
      </c>
      <c r="H15" s="10">
        <f>H11-H13+H7</f>
        <v>959008</v>
      </c>
      <c r="I15" s="1292">
        <f>+H15-D15</f>
        <v>121432.35999999999</v>
      </c>
      <c r="J15" s="62"/>
      <c r="K15" s="83">
        <f>IF(H15=0,"0.00%",(L15-H15)/H15)</f>
        <v>1.6281407454369515E-2</v>
      </c>
      <c r="L15" s="10">
        <f>L11-L13+L7</f>
        <v>974622</v>
      </c>
      <c r="M15" s="1292">
        <f>+L15-H15</f>
        <v>15614</v>
      </c>
      <c r="O15" s="83">
        <f>IF(L15=0,"0.00%",(P15-L15)/L15)</f>
        <v>3.9844165225082134E-2</v>
      </c>
      <c r="P15" s="10">
        <f>P11-P13+P7</f>
        <v>1013455</v>
      </c>
      <c r="Q15" s="1292">
        <f>+P15-L15</f>
        <v>38833</v>
      </c>
      <c r="S15" s="83">
        <f>IF(P15=0,"0.00%",(T15-P15)/P15)</f>
        <v>-1</v>
      </c>
      <c r="T15" s="19">
        <f>T11-T13</f>
        <v>0</v>
      </c>
      <c r="U15" s="105"/>
      <c r="W15" s="83" t="str">
        <f>IF(T15=0,"0.00%",(X15-T15)/T15)</f>
        <v>0.00%</v>
      </c>
      <c r="X15" s="19">
        <f>X11-X13</f>
        <v>0</v>
      </c>
      <c r="Y15" s="105"/>
      <c r="AA15" s="83" t="str">
        <f>IF(X15=0,"0.00%",(AB15-X15)/X15)</f>
        <v>0.00%</v>
      </c>
      <c r="AB15" s="19">
        <f>AB11-AB13</f>
        <v>0</v>
      </c>
      <c r="AC15" s="105"/>
    </row>
    <row r="16" spans="1:29" x14ac:dyDescent="0.25">
      <c r="E16" s="928"/>
      <c r="H16" s="3"/>
      <c r="I16" s="928"/>
      <c r="J16" s="62"/>
      <c r="L16" s="3"/>
      <c r="M16" s="928"/>
      <c r="P16" s="3"/>
      <c r="Q16" s="928"/>
      <c r="T16" s="49"/>
      <c r="U16" s="105"/>
      <c r="X16" s="49"/>
      <c r="Y16" s="105"/>
      <c r="AB16" s="49"/>
      <c r="AC16" s="105"/>
    </row>
    <row r="17" spans="1:29" x14ac:dyDescent="0.25">
      <c r="C17" s="930"/>
      <c r="E17" s="928"/>
      <c r="H17" s="3"/>
      <c r="I17" s="928"/>
      <c r="J17" s="63"/>
      <c r="L17" s="3"/>
      <c r="M17" s="928"/>
      <c r="P17" s="3"/>
      <c r="Q17" s="928"/>
      <c r="T17" s="44"/>
      <c r="U17" s="105"/>
      <c r="X17" s="44"/>
      <c r="Y17" s="105"/>
      <c r="AB17" s="44"/>
      <c r="AC17" s="105"/>
    </row>
    <row r="18" spans="1:29" x14ac:dyDescent="0.25">
      <c r="A18" s="148"/>
      <c r="D18" s="29" t="s">
        <v>826</v>
      </c>
      <c r="E18" s="929"/>
      <c r="F18" s="32"/>
      <c r="H18" s="29" t="s">
        <v>177</v>
      </c>
      <c r="I18" s="929"/>
      <c r="J18" s="65"/>
      <c r="M18" s="929"/>
      <c r="Q18" s="929"/>
      <c r="U18" s="106"/>
      <c r="Y18" s="106"/>
      <c r="AC18" s="106"/>
    </row>
    <row r="19" spans="1:29" ht="17.25" x14ac:dyDescent="0.4">
      <c r="A19" s="149"/>
      <c r="D19" s="35" t="s">
        <v>827</v>
      </c>
      <c r="E19" s="860"/>
      <c r="F19" s="34"/>
      <c r="H19" s="35" t="s">
        <v>48</v>
      </c>
      <c r="I19" s="870"/>
      <c r="J19" s="29"/>
      <c r="L19" s="14" t="s">
        <v>48</v>
      </c>
      <c r="M19" s="2034">
        <v>1.4999999999999999E-2</v>
      </c>
      <c r="P19" s="14" t="s">
        <v>48</v>
      </c>
      <c r="Q19" s="2034">
        <v>1.4999999999999999E-2</v>
      </c>
      <c r="T19" s="14" t="s">
        <v>48</v>
      </c>
      <c r="U19" s="104">
        <v>0.02</v>
      </c>
      <c r="X19" s="14" t="s">
        <v>48</v>
      </c>
      <c r="Y19" s="104">
        <v>0.02</v>
      </c>
      <c r="AB19" s="14" t="s">
        <v>48</v>
      </c>
      <c r="AC19" s="104">
        <v>0.02</v>
      </c>
    </row>
    <row r="20" spans="1:29" s="13" customFormat="1" hidden="1" x14ac:dyDescent="0.25">
      <c r="A20" s="150"/>
      <c r="B20" s="936" t="s">
        <v>46</v>
      </c>
      <c r="C20" s="938"/>
      <c r="D20" s="10"/>
      <c r="E20" s="861"/>
      <c r="F20" s="10"/>
      <c r="G20" s="372"/>
      <c r="H20" s="10"/>
      <c r="I20" s="864"/>
      <c r="J20" s="57"/>
      <c r="K20" s="379"/>
      <c r="L20" s="10"/>
      <c r="M20" s="947"/>
      <c r="O20" s="379"/>
      <c r="P20" s="10"/>
      <c r="Q20" s="947"/>
      <c r="R20" s="111"/>
      <c r="T20" s="10"/>
      <c r="U20" s="74"/>
      <c r="X20" s="10"/>
      <c r="Y20" s="74"/>
      <c r="AB20" s="10"/>
      <c r="AC20" s="74"/>
    </row>
    <row r="21" spans="1:29" hidden="1" x14ac:dyDescent="0.25">
      <c r="A21" s="151"/>
      <c r="B21" s="939"/>
      <c r="D21" s="2">
        <v>0</v>
      </c>
      <c r="E21" s="863"/>
      <c r="F21" s="2"/>
      <c r="G21" s="83" t="str">
        <f t="shared" ref="G21:G32" si="1">IF(D21=0,"0.00%",(H21-D21)/D21)</f>
        <v>0.00%</v>
      </c>
      <c r="H21" s="2">
        <f t="shared" ref="H21:H27" si="2">ROUND(D21*(1+$I$19),0)</f>
        <v>0</v>
      </c>
      <c r="I21" s="854" t="str">
        <f t="shared" ref="I21:I31" si="3">TEXT($I$19,"0.0%")&amp;" = Est. S &amp; C"</f>
        <v>0.0% = Est. S &amp; C</v>
      </c>
      <c r="J21" s="66"/>
      <c r="K21" s="83" t="str">
        <f t="shared" ref="K21:K27" si="4">IF(H21=0,"0.00%",(L21-H21)/H21)</f>
        <v>0.00%</v>
      </c>
      <c r="L21" s="2">
        <f>ROUND(H21*(1+M19),0)</f>
        <v>0</v>
      </c>
      <c r="M21" s="871" t="str">
        <f>TEXT(M19,"0.0%")&amp;" = Est. S &amp; C"</f>
        <v>1.5% = Est. S &amp; C</v>
      </c>
      <c r="O21" s="83" t="str">
        <f t="shared" ref="O21:O27" si="5">IF(L21=0,"0.00%",(P21-L21)/L21)</f>
        <v>0.00%</v>
      </c>
      <c r="P21" s="2">
        <f>ROUND(L21*(1+Q19),0)</f>
        <v>0</v>
      </c>
      <c r="Q21" s="871" t="str">
        <f>TEXT(Q19,"0.0%")&amp;" = Est. S &amp; C"</f>
        <v>1.5%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2"/>
      <c r="B22" s="939"/>
      <c r="D22" s="2">
        <v>0</v>
      </c>
      <c r="E22" s="863"/>
      <c r="F22" s="2"/>
      <c r="G22" s="83" t="str">
        <f t="shared" si="1"/>
        <v>0.00%</v>
      </c>
      <c r="H22" s="2">
        <f t="shared" si="2"/>
        <v>0</v>
      </c>
      <c r="I22" s="871" t="str">
        <f t="shared" si="3"/>
        <v>0.0% = Est. S &amp; C</v>
      </c>
      <c r="J22" s="66"/>
      <c r="K22" s="83" t="str">
        <f t="shared" si="4"/>
        <v>0.00%</v>
      </c>
      <c r="L22" s="2">
        <f>ROUND(H22*(1+M19),0)</f>
        <v>0</v>
      </c>
      <c r="M22" s="871" t="str">
        <f>TEXT(M19,"0.0%")&amp;" = Est. S &amp; C"</f>
        <v>1.5% = Est. S &amp; C</v>
      </c>
      <c r="O22" s="83" t="str">
        <f t="shared" si="5"/>
        <v>0.00%</v>
      </c>
      <c r="P22" s="2">
        <f>ROUND(L22*(1+Q19),0)</f>
        <v>0</v>
      </c>
      <c r="Q22" s="871" t="str">
        <f>TEXT(Q19,"0.0%")&amp;" = Est. S &amp; C"</f>
        <v>1.5%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2"/>
      <c r="B23" s="939"/>
      <c r="D23" s="2">
        <v>0</v>
      </c>
      <c r="E23" s="863"/>
      <c r="F23" s="2"/>
      <c r="G23" s="83" t="str">
        <f t="shared" si="1"/>
        <v>0.00%</v>
      </c>
      <c r="H23" s="2">
        <f t="shared" si="2"/>
        <v>0</v>
      </c>
      <c r="I23" s="871" t="str">
        <f t="shared" si="3"/>
        <v>0.0% = Est. S &amp; C</v>
      </c>
      <c r="J23" s="66"/>
      <c r="K23" s="83" t="str">
        <f t="shared" si="4"/>
        <v>0.00%</v>
      </c>
      <c r="L23" s="2">
        <f>ROUND(H23*(1+M19),0)</f>
        <v>0</v>
      </c>
      <c r="M23" s="871" t="str">
        <f>TEXT(M19,"0.0%")&amp;" = Est. S &amp; C"</f>
        <v>1.5% = Est. S &amp; C</v>
      </c>
      <c r="O23" s="83" t="str">
        <f t="shared" si="5"/>
        <v>0.00%</v>
      </c>
      <c r="P23" s="2">
        <f>ROUND(L23*(1+Q19),0)</f>
        <v>0</v>
      </c>
      <c r="Q23" s="871" t="str">
        <f>TEXT(Q19,"0.0%")&amp;" = Est. S &amp; C"</f>
        <v>1.5%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2"/>
      <c r="B24" s="939"/>
      <c r="D24" s="2">
        <v>0</v>
      </c>
      <c r="E24" s="863"/>
      <c r="F24" s="2"/>
      <c r="G24" s="83" t="str">
        <f t="shared" si="1"/>
        <v>0.00%</v>
      </c>
      <c r="H24" s="2">
        <f t="shared" si="2"/>
        <v>0</v>
      </c>
      <c r="I24" s="871" t="str">
        <f t="shared" si="3"/>
        <v>0.0% = Est. S &amp; C</v>
      </c>
      <c r="J24" s="66"/>
      <c r="K24" s="83" t="str">
        <f t="shared" si="4"/>
        <v>0.00%</v>
      </c>
      <c r="L24" s="2">
        <f>ROUND(H24*(1+M19),0)</f>
        <v>0</v>
      </c>
      <c r="M24" s="871" t="str">
        <f>TEXT(M19,"0.0%")&amp;" = Est. S &amp; C"</f>
        <v>1.5% = Est. S &amp; C</v>
      </c>
      <c r="O24" s="83" t="str">
        <f t="shared" si="5"/>
        <v>0.00%</v>
      </c>
      <c r="P24" s="2">
        <f>ROUND(L24*(1+Q19),0)</f>
        <v>0</v>
      </c>
      <c r="Q24" s="871" t="str">
        <f>TEXT(Q19,"0.0%")&amp;" = Est. S &amp; C"</f>
        <v>1.5%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2"/>
      <c r="B25" s="939"/>
      <c r="D25" s="2">
        <v>0</v>
      </c>
      <c r="E25" s="863"/>
      <c r="F25" s="2"/>
      <c r="G25" s="83" t="str">
        <f t="shared" si="1"/>
        <v>0.00%</v>
      </c>
      <c r="H25" s="2">
        <f>ROUND(D25*(1+$I$19),0)</f>
        <v>0</v>
      </c>
      <c r="I25" s="871" t="str">
        <f t="shared" si="3"/>
        <v>0.0% = Est. S &amp; C</v>
      </c>
      <c r="J25" s="66"/>
      <c r="K25" s="83" t="str">
        <f t="shared" si="4"/>
        <v>0.00%</v>
      </c>
      <c r="L25" s="2">
        <f>ROUND(H25*(1+M19),0)</f>
        <v>0</v>
      </c>
      <c r="M25" s="871" t="str">
        <f>TEXT(M19,"0.0%")&amp;" = Est. S &amp; C"</f>
        <v>1.5% = Est. S &amp; C</v>
      </c>
      <c r="O25" s="83" t="str">
        <f t="shared" si="5"/>
        <v>0.00%</v>
      </c>
      <c r="P25" s="2">
        <f>ROUND(L25*(1+Q19),0)</f>
        <v>0</v>
      </c>
      <c r="Q25" s="871" t="str">
        <f>TEXT(Q19,"0.0%")&amp;" = Est. S &amp; C"</f>
        <v>1.5%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2"/>
      <c r="B26" s="939"/>
      <c r="D26" s="2">
        <v>0</v>
      </c>
      <c r="E26" s="863"/>
      <c r="F26" s="2"/>
      <c r="G26" s="83" t="str">
        <f t="shared" si="1"/>
        <v>0.00%</v>
      </c>
      <c r="H26" s="2">
        <f t="shared" si="2"/>
        <v>0</v>
      </c>
      <c r="I26" s="871" t="str">
        <f t="shared" si="3"/>
        <v>0.0% = Est. S &amp; C</v>
      </c>
      <c r="J26" s="66"/>
      <c r="K26" s="83" t="str">
        <f t="shared" si="4"/>
        <v>0.00%</v>
      </c>
      <c r="L26" s="2">
        <f>ROUND(H26*(1+M19),0)</f>
        <v>0</v>
      </c>
      <c r="M26" s="382" t="str">
        <f>TEXT(M19,"0.0%")&amp;" = Est. S &amp; C"</f>
        <v>1.5% = Est. S &amp; C</v>
      </c>
      <c r="O26" s="83" t="str">
        <f t="shared" si="5"/>
        <v>0.00%</v>
      </c>
      <c r="P26" s="2">
        <f>ROUND(L26*(1+Q19),0)</f>
        <v>0</v>
      </c>
      <c r="Q26" s="871" t="str">
        <f>TEXT(Q19,"0.0%")&amp;" = Est. S &amp; C"</f>
        <v>1.5%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2"/>
      <c r="B27" s="939"/>
      <c r="D27" s="2">
        <v>0</v>
      </c>
      <c r="E27" s="863"/>
      <c r="F27" s="2"/>
      <c r="G27" s="83" t="str">
        <f t="shared" si="1"/>
        <v>0.00%</v>
      </c>
      <c r="H27" s="2">
        <f t="shared" si="2"/>
        <v>0</v>
      </c>
      <c r="I27" s="871" t="str">
        <f t="shared" si="3"/>
        <v>0.0% = Est. S &amp; C</v>
      </c>
      <c r="J27" s="66"/>
      <c r="K27" s="83" t="str">
        <f t="shared" si="4"/>
        <v>0.00%</v>
      </c>
      <c r="L27" s="2">
        <f>ROUND(H27*(1+$M$19),0)</f>
        <v>0</v>
      </c>
      <c r="M27" s="871" t="str">
        <f>TEXT(M19,"0.0%")&amp;" = Est. S &amp; C"</f>
        <v>1.5% = Est. S &amp; C</v>
      </c>
      <c r="O27" s="83" t="str">
        <f t="shared" si="5"/>
        <v>0.00%</v>
      </c>
      <c r="P27" s="2">
        <f>ROUND(L27*(1+$Q$19),0)</f>
        <v>0</v>
      </c>
      <c r="Q27" s="871" t="str">
        <f>TEXT($Q$19,"0.0%")&amp;" = Est. S &amp; C"</f>
        <v>1.5%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2"/>
      <c r="B28" s="939"/>
      <c r="D28" s="2">
        <v>0</v>
      </c>
      <c r="E28" s="863"/>
      <c r="F28" s="2"/>
      <c r="G28" s="83" t="str">
        <f>IF(D28=0,"0.00%",(H28-D28)/D28)</f>
        <v>0.00%</v>
      </c>
      <c r="H28" s="2">
        <f>ROUND(D28*(1+$I$19),0)</f>
        <v>0</v>
      </c>
      <c r="I28" s="871" t="str">
        <f t="shared" si="3"/>
        <v>0.0% = Est. S &amp; C</v>
      </c>
      <c r="J28" s="66"/>
      <c r="K28" s="83" t="str">
        <f>IF(H28=0,"0.00%",(L28-H28)/H28)</f>
        <v>0.00%</v>
      </c>
      <c r="L28" s="2">
        <f t="shared" ref="L28:L30" si="9">ROUND(H28*(1+$M$19),0)</f>
        <v>0</v>
      </c>
      <c r="M28" s="871" t="str">
        <f>TEXT($M$19,"0.0%")&amp;" = Est. S &amp; C"</f>
        <v>1.5% = Est. S &amp; C</v>
      </c>
      <c r="O28" s="83" t="str">
        <f>IF(L28=0,"0.00%",(P28-L28)/L28)</f>
        <v>0.00%</v>
      </c>
      <c r="P28" s="2">
        <f t="shared" ref="P28:P30" si="10">ROUND(L28*(1+$Q$19),0)</f>
        <v>0</v>
      </c>
      <c r="Q28" s="871" t="str">
        <f t="shared" ref="Q28:Q30" si="11">TEXT($Q$19,"0.0%")&amp;" = Est. S &amp; C"</f>
        <v>1.5%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idden="1" x14ac:dyDescent="0.25">
      <c r="A29" s="152"/>
      <c r="B29" s="939"/>
      <c r="D29" s="2">
        <v>0</v>
      </c>
      <c r="E29" s="863"/>
      <c r="F29" s="2"/>
      <c r="G29" s="83" t="str">
        <f>IF(D29=0,"0.00%",(H29-D29)/D29)</f>
        <v>0.00%</v>
      </c>
      <c r="H29" s="2">
        <f>ROUND(D29*(1+$I$19),0)</f>
        <v>0</v>
      </c>
      <c r="I29" s="871" t="str">
        <f t="shared" si="3"/>
        <v>0.0% = Est. S &amp; C</v>
      </c>
      <c r="J29" s="66"/>
      <c r="K29" s="83" t="str">
        <f t="shared" ref="K29:K31" si="12">IF(H29=0,"0.00%",(L29-H29)/H29)</f>
        <v>0.00%</v>
      </c>
      <c r="L29" s="2">
        <f t="shared" si="9"/>
        <v>0</v>
      </c>
      <c r="M29" s="871" t="str">
        <f t="shared" ref="M29:M30" si="13">TEXT($M$19,"0.0%")&amp;" = Est. S &amp; C"</f>
        <v>1.5% = Est. S &amp; C</v>
      </c>
      <c r="O29" s="83" t="str">
        <f t="shared" ref="O29:O32" si="14">IF(L29=0,"0.00%",(P29-L29)/L29)</f>
        <v>0.00%</v>
      </c>
      <c r="P29" s="2">
        <f t="shared" si="10"/>
        <v>0</v>
      </c>
      <c r="Q29" s="871" t="str">
        <f t="shared" si="11"/>
        <v>1.5% = Est. S &amp; C</v>
      </c>
      <c r="T29" s="2"/>
      <c r="U29" s="73"/>
      <c r="X29" s="2"/>
      <c r="Y29" s="73"/>
      <c r="AB29" s="2"/>
      <c r="AC29" s="73"/>
    </row>
    <row r="30" spans="1:29" hidden="1" x14ac:dyDescent="0.25">
      <c r="A30" s="152"/>
      <c r="B30" s="939"/>
      <c r="D30" s="2">
        <v>0</v>
      </c>
      <c r="E30" s="863"/>
      <c r="F30" s="2"/>
      <c r="G30" s="83" t="str">
        <f>IF(D30=0,"0.00%",(H30-D30)/D30)</f>
        <v>0.00%</v>
      </c>
      <c r="H30" s="2">
        <f>ROUND(D30*(1+$I$19),0)</f>
        <v>0</v>
      </c>
      <c r="I30" s="871" t="str">
        <f t="shared" si="3"/>
        <v>0.0% = Est. S &amp; C</v>
      </c>
      <c r="J30" s="66"/>
      <c r="K30" s="83" t="str">
        <f t="shared" si="12"/>
        <v>0.00%</v>
      </c>
      <c r="L30" s="2">
        <f t="shared" si="9"/>
        <v>0</v>
      </c>
      <c r="M30" s="871" t="str">
        <f t="shared" si="13"/>
        <v>1.5% = Est. S &amp; C</v>
      </c>
      <c r="O30" s="83" t="str">
        <f t="shared" si="14"/>
        <v>0.00%</v>
      </c>
      <c r="P30" s="2">
        <f t="shared" si="10"/>
        <v>0</v>
      </c>
      <c r="Q30" s="871" t="str">
        <f t="shared" si="11"/>
        <v>1.5% = Est. S &amp; C</v>
      </c>
      <c r="T30" s="2"/>
      <c r="U30" s="73"/>
      <c r="X30" s="2"/>
      <c r="Y30" s="73"/>
      <c r="AB30" s="2"/>
      <c r="AC30" s="73"/>
    </row>
    <row r="31" spans="1:29" hidden="1" x14ac:dyDescent="0.25">
      <c r="A31" s="152"/>
      <c r="B31" s="939"/>
      <c r="D31" s="2">
        <v>0</v>
      </c>
      <c r="E31" s="863"/>
      <c r="F31" s="2"/>
      <c r="G31" s="83" t="str">
        <f>IF(D31=0,"0.00%",(H31-D31)/D31)</f>
        <v>0.00%</v>
      </c>
      <c r="H31" s="2">
        <f>ROUND(D31*(1+$I$19),0)</f>
        <v>0</v>
      </c>
      <c r="I31" s="854" t="str">
        <f t="shared" si="3"/>
        <v>0.0% = Est. S &amp; C</v>
      </c>
      <c r="J31" s="66"/>
      <c r="K31" s="83" t="str">
        <f t="shared" si="12"/>
        <v>0.00%</v>
      </c>
      <c r="L31" s="2">
        <v>0</v>
      </c>
      <c r="M31" s="854"/>
      <c r="O31" s="83" t="str">
        <f t="shared" si="14"/>
        <v>0.00%</v>
      </c>
      <c r="P31" s="2">
        <v>0</v>
      </c>
      <c r="Q31" s="854" t="s">
        <v>417</v>
      </c>
      <c r="T31" s="2"/>
      <c r="U31" s="73"/>
      <c r="X31" s="2"/>
      <c r="Y31" s="73"/>
      <c r="AB31" s="2"/>
      <c r="AC31" s="73"/>
    </row>
    <row r="32" spans="1:29" hidden="1" x14ac:dyDescent="0.25">
      <c r="A32" s="153"/>
      <c r="B32" s="939"/>
      <c r="D32" s="8">
        <f>SUM(D21:D31)</f>
        <v>0</v>
      </c>
      <c r="E32" s="863"/>
      <c r="F32" s="2"/>
      <c r="G32" s="83" t="str">
        <f t="shared" si="1"/>
        <v>0.00%</v>
      </c>
      <c r="H32" s="8">
        <f>SUM(H21:H31)</f>
        <v>0</v>
      </c>
      <c r="I32" s="872"/>
      <c r="J32" s="29"/>
      <c r="K32" s="83" t="str">
        <f>IF(H32=0,"0.00%",(L32-H32)/H32)</f>
        <v>0.00%</v>
      </c>
      <c r="L32" s="8">
        <f>SUM(L21:L31)</f>
        <v>0</v>
      </c>
      <c r="M32" s="948"/>
      <c r="O32" s="83" t="str">
        <f t="shared" si="14"/>
        <v>0.00%</v>
      </c>
      <c r="P32" s="8">
        <f>SUM(P21:P31)</f>
        <v>0</v>
      </c>
      <c r="Q32" s="948"/>
      <c r="S32" s="83" t="str">
        <f>IF(P32=0,"0.00%",(T32-P32)/P32)</f>
        <v>0.00%</v>
      </c>
      <c r="T32" s="8">
        <f>SUM(T21:T29)</f>
        <v>0</v>
      </c>
      <c r="U32" s="73"/>
      <c r="W32" s="83" t="str">
        <f>IF(T32=0,"0.00%",(X32-T32)/T32)</f>
        <v>0.00%</v>
      </c>
      <c r="X32" s="8">
        <f>SUM(X21:X29)</f>
        <v>0</v>
      </c>
      <c r="Y32" s="73"/>
      <c r="AA32" s="83" t="str">
        <f>IF(X32=0,"0.00%",(AB32-X32)/X32)</f>
        <v>0.00%</v>
      </c>
      <c r="AB32" s="8">
        <f>SUM(AB21:AB29)</f>
        <v>0</v>
      </c>
      <c r="AC32" s="73"/>
    </row>
    <row r="33" spans="1:29" x14ac:dyDescent="0.25">
      <c r="A33" s="152"/>
      <c r="E33" s="863"/>
      <c r="F33" s="2"/>
      <c r="H33" s="2"/>
      <c r="I33" s="871"/>
      <c r="J33" s="66"/>
      <c r="L33" s="2"/>
      <c r="M33" s="948"/>
      <c r="Q33" s="948"/>
      <c r="T33" s="2"/>
      <c r="U33" s="73"/>
      <c r="X33" s="2"/>
      <c r="Y33" s="73"/>
      <c r="AB33" s="2"/>
      <c r="AC33" s="73"/>
    </row>
    <row r="34" spans="1:29" s="4" customFormat="1" x14ac:dyDescent="0.25">
      <c r="A34" s="150"/>
      <c r="B34" s="940" t="s">
        <v>35</v>
      </c>
      <c r="C34" s="873"/>
      <c r="D34" s="6"/>
      <c r="E34" s="864"/>
      <c r="F34" s="6"/>
      <c r="G34" s="373"/>
      <c r="H34" s="6"/>
      <c r="I34" s="864"/>
      <c r="J34" s="57"/>
      <c r="K34" s="380"/>
      <c r="L34" s="6"/>
      <c r="M34" s="950"/>
      <c r="O34" s="380"/>
      <c r="P34" s="6"/>
      <c r="Q34" s="950"/>
      <c r="R34" s="111"/>
      <c r="T34" s="6"/>
      <c r="U34" s="71"/>
      <c r="X34" s="6"/>
      <c r="Y34" s="71"/>
      <c r="AB34" s="6"/>
      <c r="AC34" s="71"/>
    </row>
    <row r="35" spans="1:29" x14ac:dyDescent="0.25">
      <c r="A35" s="152"/>
      <c r="B35" s="939">
        <v>2215</v>
      </c>
      <c r="C35" s="857" t="s">
        <v>923</v>
      </c>
      <c r="D35" s="2">
        <v>344880.34</v>
      </c>
      <c r="E35" s="863"/>
      <c r="F35" s="2"/>
      <c r="G35" s="83">
        <f t="shared" ref="G35:G43" si="15">IF(D35=0,"0.00%",(H35-D35)/D35)</f>
        <v>5.7456623940929694E-2</v>
      </c>
      <c r="H35" s="2">
        <v>364696</v>
      </c>
      <c r="I35" s="871"/>
      <c r="J35" s="66"/>
      <c r="K35" s="83">
        <f t="shared" ref="K35:K43" si="16">IF(H35=0,"0.00%",(L35-H35)/H35)</f>
        <v>1.4998793515695264E-2</v>
      </c>
      <c r="L35" s="2">
        <f>ROUND(H35*(1+M19),0)</f>
        <v>370166</v>
      </c>
      <c r="M35" s="871" t="str">
        <f>TEXT(M19,"0.0%")&amp;" = Est. S &amp; C"</f>
        <v>1.5% = Est. S &amp; C</v>
      </c>
      <c r="O35" s="83">
        <f t="shared" ref="O35:O43" si="17">IF(L35=0,"0.00%",(P35-L35)/L35)</f>
        <v>1.4998676269565546E-2</v>
      </c>
      <c r="P35" s="2">
        <f>ROUND(L35*(1+Q19),0)</f>
        <v>375718</v>
      </c>
      <c r="Q35" s="871" t="str">
        <f>TEXT(Q19,"0.0%")&amp;" = Est. S &amp; C"</f>
        <v>1.5% = Est. S &amp; C</v>
      </c>
      <c r="S35" s="83">
        <f t="shared" ref="S35:S43" si="18">IF(P35=0,"0.00%",(T35-P35)/P35)</f>
        <v>1.9999041834567414E-2</v>
      </c>
      <c r="T35" s="2">
        <f>ROUND(P35*(1+U19),0)</f>
        <v>383232</v>
      </c>
      <c r="U35" s="36" t="str">
        <f>TEXT(U19,"0.0%")&amp;" = Est. S &amp; C"</f>
        <v>2.0% = Est. S &amp; C</v>
      </c>
      <c r="W35" s="83">
        <f t="shared" ref="W35:W43" si="19">IF(T35=0,"0.00%",(X35-T35)/T35)</f>
        <v>2.0000939378757514E-2</v>
      </c>
      <c r="X35" s="2">
        <f>ROUND(T35*(1+Y19),0)</f>
        <v>390897</v>
      </c>
      <c r="Y35" s="36" t="str">
        <f>TEXT(Y19,"0.0%")&amp;" = Est. S &amp; C"</f>
        <v>2.0% = Est. S &amp; C</v>
      </c>
      <c r="AA35" s="83">
        <f t="shared" ref="AA35:AA43" si="20">IF(X35=0,"0.00%",(AB35-X35)/X35)</f>
        <v>2.000015349311967E-2</v>
      </c>
      <c r="AB35" s="2">
        <f>ROUND(X35*(1+AC19),0)</f>
        <v>398715</v>
      </c>
      <c r="AC35" s="36" t="str">
        <f>TEXT(AC19,"0.0%")&amp;" = Est. S &amp; C"</f>
        <v>2.0% = Est. S &amp; C</v>
      </c>
    </row>
    <row r="36" spans="1:29" x14ac:dyDescent="0.25">
      <c r="A36" s="152"/>
      <c r="B36" s="939">
        <v>2216</v>
      </c>
      <c r="C36" s="857" t="s">
        <v>924</v>
      </c>
      <c r="D36" s="2">
        <v>61368.480000000003</v>
      </c>
      <c r="E36" s="863"/>
      <c r="F36" s="2"/>
      <c r="G36" s="83">
        <f t="shared" si="15"/>
        <v>4.6432957114140624E-2</v>
      </c>
      <c r="H36" s="2">
        <v>64218</v>
      </c>
      <c r="I36" s="871"/>
      <c r="J36" s="66"/>
      <c r="K36" s="83">
        <f t="shared" si="16"/>
        <v>1.499579557133514E-2</v>
      </c>
      <c r="L36" s="2">
        <f>ROUND(H36*(1+M19),0)</f>
        <v>65181</v>
      </c>
      <c r="M36" s="871" t="str">
        <f>TEXT(M19,"0.0%")&amp;" = Est. S &amp; C"</f>
        <v>1.5% = Est. S &amp; C</v>
      </c>
      <c r="O36" s="83">
        <f t="shared" si="17"/>
        <v>1.5004372439821421E-2</v>
      </c>
      <c r="P36" s="2">
        <f>ROUND(L36*(1+Q19),0)</f>
        <v>66159</v>
      </c>
      <c r="Q36" s="871" t="str">
        <f>TEXT(Q19,"0.0%")&amp;" = Est. S &amp; C"</f>
        <v>1.5% = Est. S &amp; C</v>
      </c>
      <c r="S36" s="83">
        <f t="shared" si="18"/>
        <v>1.9997279281730378E-2</v>
      </c>
      <c r="T36" s="2">
        <f>ROUND(P36*(1+U19),0)</f>
        <v>67482</v>
      </c>
      <c r="U36" s="36" t="str">
        <f>TEXT(U19,"0.0%")&amp;" = Est. S &amp; C"</f>
        <v>2.0% = Est. S &amp; C</v>
      </c>
      <c r="W36" s="83">
        <f t="shared" si="19"/>
        <v>2.0005334755934915E-2</v>
      </c>
      <c r="X36" s="2">
        <f>ROUND(T36*(1+Y19),0)</f>
        <v>68832</v>
      </c>
      <c r="Y36" s="36" t="str">
        <f>TEXT(Y19,"0.0%")&amp;" = Est. S &amp; C"</f>
        <v>2.0% = Est. S &amp; C</v>
      </c>
      <c r="AA36" s="83">
        <f t="shared" si="20"/>
        <v>2.0005230125523011E-2</v>
      </c>
      <c r="AB36" s="2">
        <f>ROUND(X36*(1+AC19),0)</f>
        <v>70209</v>
      </c>
      <c r="AC36" s="36" t="str">
        <f>TEXT(AC19,"0.0%")&amp;" = Est. S &amp; C"</f>
        <v>2.0% = Est. S &amp; C</v>
      </c>
    </row>
    <row r="37" spans="1:29" x14ac:dyDescent="0.25">
      <c r="A37" s="152"/>
      <c r="B37" s="939">
        <v>2217</v>
      </c>
      <c r="C37" s="857" t="s">
        <v>925</v>
      </c>
      <c r="D37" s="2">
        <v>54580.32</v>
      </c>
      <c r="E37" s="863"/>
      <c r="F37" s="2"/>
      <c r="G37" s="83">
        <f t="shared" si="15"/>
        <v>4.5999730305721923E-2</v>
      </c>
      <c r="H37" s="2">
        <v>57091</v>
      </c>
      <c r="I37" s="871"/>
      <c r="J37" s="66"/>
      <c r="K37" s="83">
        <f t="shared" si="16"/>
        <v>1.4993606698078506E-2</v>
      </c>
      <c r="L37" s="2">
        <f>ROUND(H37*(1+$M$19),0)</f>
        <v>57947</v>
      </c>
      <c r="M37" s="871" t="str">
        <f>TEXT(M19,"0.0%")&amp;" = Est. S &amp; C"</f>
        <v>1.5% = Est. S &amp; C</v>
      </c>
      <c r="O37" s="83">
        <f t="shared" si="17"/>
        <v>1.4996462284501355E-2</v>
      </c>
      <c r="P37" s="2">
        <f>ROUND(L37*(1+$Q$19),0)</f>
        <v>58816</v>
      </c>
      <c r="Q37" s="871" t="str">
        <f>TEXT(Q19,"0.0%")&amp;" = Est. S &amp; C"</f>
        <v>1.5% = Est. S &amp; C</v>
      </c>
      <c r="S37" s="83">
        <f t="shared" si="18"/>
        <v>1.9994559303590859E-2</v>
      </c>
      <c r="T37" s="2">
        <f>ROUND(P37*(1+U19),0)</f>
        <v>59992</v>
      </c>
      <c r="U37" s="36" t="str">
        <f>TEXT(U19,"0.0%")&amp;" = Est. S &amp; C"</f>
        <v>2.0% = Est. S &amp; C</v>
      </c>
      <c r="W37" s="83">
        <f t="shared" si="19"/>
        <v>2.0002667022269636E-2</v>
      </c>
      <c r="X37" s="2">
        <f>ROUND(T37*(1+Y19),0)</f>
        <v>61192</v>
      </c>
      <c r="Y37" s="36" t="str">
        <f>TEXT(Y19,"0.0%")&amp;" = Est. S &amp; C"</f>
        <v>2.0% = Est. S &amp; C</v>
      </c>
      <c r="AA37" s="83">
        <f t="shared" si="20"/>
        <v>2.0002614720878546E-2</v>
      </c>
      <c r="AB37" s="2">
        <f>ROUND(X37*(1+AC19),0)</f>
        <v>62416</v>
      </c>
      <c r="AC37" s="36" t="str">
        <f>TEXT(AC19,"0.0%")&amp;" = Est. S &amp; C"</f>
        <v>2.0% = Est. S &amp; C</v>
      </c>
    </row>
    <row r="38" spans="1:29" x14ac:dyDescent="0.25">
      <c r="A38" s="152"/>
      <c r="B38" s="939">
        <v>2218</v>
      </c>
      <c r="C38" s="857" t="s">
        <v>926</v>
      </c>
      <c r="D38" s="2">
        <v>51970.32</v>
      </c>
      <c r="E38" s="863"/>
      <c r="F38" s="2"/>
      <c r="G38" s="83">
        <f t="shared" si="15"/>
        <v>9.7010755369603269E-2</v>
      </c>
      <c r="H38" s="2">
        <v>57012</v>
      </c>
      <c r="I38" s="871"/>
      <c r="J38" s="66"/>
      <c r="K38" s="83">
        <f t="shared" ref="K38:K39" si="21">IF(H38=0,"0.00%",(L38-H38)/H38)</f>
        <v>1.499684276994317E-2</v>
      </c>
      <c r="L38" s="2">
        <f t="shared" ref="L38" si="22">ROUND(H38*(1+$M$19),0)</f>
        <v>57867</v>
      </c>
      <c r="M38" s="871" t="str">
        <f t="shared" ref="M38" si="23">TEXT(M20,"0.0%")&amp;" = Est. S &amp; C"</f>
        <v>0.0% = Est. S &amp; C</v>
      </c>
      <c r="O38" s="83">
        <f t="shared" ref="O38:O39" si="24">IF(L38=0,"0.00%",(P38-L38)/L38)</f>
        <v>1.4999913594967771E-2</v>
      </c>
      <c r="P38" s="2">
        <f t="shared" ref="P38" si="25">ROUND(L38*(1+$Q$19),0)</f>
        <v>58735</v>
      </c>
      <c r="Q38" s="871" t="str">
        <f t="shared" ref="Q38" si="26">TEXT(Q20,"0.0%")&amp;" = Est. S &amp; C"</f>
        <v>0.0% = Est. S &amp; C</v>
      </c>
      <c r="S38" s="83"/>
      <c r="T38" s="2"/>
      <c r="U38" s="36"/>
      <c r="W38" s="83"/>
      <c r="X38" s="2"/>
      <c r="Y38" s="36"/>
      <c r="AA38" s="83"/>
      <c r="AB38" s="2"/>
      <c r="AC38" s="36"/>
    </row>
    <row r="39" spans="1:29" x14ac:dyDescent="0.25">
      <c r="A39" s="152"/>
      <c r="B39" s="939">
        <v>2273</v>
      </c>
      <c r="C39" s="857" t="s">
        <v>927</v>
      </c>
      <c r="D39" s="2">
        <v>800.9</v>
      </c>
      <c r="E39" s="863"/>
      <c r="F39" s="2"/>
      <c r="G39" s="83">
        <f t="shared" si="15"/>
        <v>5.242976651267325</v>
      </c>
      <c r="H39" s="2">
        <v>5000</v>
      </c>
      <c r="I39" s="871"/>
      <c r="J39" s="66"/>
      <c r="K39" s="83">
        <f t="shared" si="21"/>
        <v>0</v>
      </c>
      <c r="L39" s="2">
        <f>+H39</f>
        <v>5000</v>
      </c>
      <c r="M39" s="871" t="s">
        <v>174</v>
      </c>
      <c r="O39" s="83">
        <f t="shared" si="24"/>
        <v>0</v>
      </c>
      <c r="P39" s="2">
        <f>+L39</f>
        <v>5000</v>
      </c>
      <c r="Q39" s="871" t="s">
        <v>174</v>
      </c>
      <c r="S39" s="83"/>
      <c r="T39" s="2"/>
      <c r="U39" s="36"/>
      <c r="W39" s="83"/>
      <c r="X39" s="2"/>
      <c r="Y39" s="36"/>
      <c r="AA39" s="83"/>
      <c r="AB39" s="2"/>
      <c r="AC39" s="36"/>
    </row>
    <row r="40" spans="1:29" x14ac:dyDescent="0.25">
      <c r="A40" s="152"/>
      <c r="B40" s="939">
        <v>2281</v>
      </c>
      <c r="C40" s="857" t="s">
        <v>928</v>
      </c>
      <c r="D40" s="2">
        <v>0</v>
      </c>
      <c r="E40" s="863"/>
      <c r="F40" s="2"/>
      <c r="G40" s="83" t="str">
        <f t="shared" si="15"/>
        <v>0.00%</v>
      </c>
      <c r="H40" s="2">
        <v>2500</v>
      </c>
      <c r="I40" s="871"/>
      <c r="J40" s="66"/>
      <c r="K40" s="83">
        <f t="shared" si="16"/>
        <v>0</v>
      </c>
      <c r="L40" s="2">
        <f>+H40</f>
        <v>2500</v>
      </c>
      <c r="M40" s="871" t="s">
        <v>174</v>
      </c>
      <c r="O40" s="83">
        <f t="shared" si="17"/>
        <v>0</v>
      </c>
      <c r="P40" s="2">
        <f>+L40</f>
        <v>2500</v>
      </c>
      <c r="Q40" s="871" t="s">
        <v>174</v>
      </c>
      <c r="S40" s="83">
        <f t="shared" si="18"/>
        <v>0.02</v>
      </c>
      <c r="T40" s="2">
        <f>ROUND(P40*(1+U19),0)</f>
        <v>2550</v>
      </c>
      <c r="U40" s="36" t="str">
        <f>TEXT(U19,"0.0%")&amp;" = Est. S &amp; C"</f>
        <v>2.0% = Est. S &amp; C</v>
      </c>
      <c r="W40" s="83">
        <f t="shared" si="19"/>
        <v>0.02</v>
      </c>
      <c r="X40" s="2">
        <f>ROUND(T40*(1+Y19),0)</f>
        <v>2601</v>
      </c>
      <c r="Y40" s="36" t="str">
        <f>TEXT(Y19,"0.0%")&amp;" = Est. S &amp; C"</f>
        <v>2.0% = Est. S &amp; C</v>
      </c>
      <c r="AA40" s="83">
        <f t="shared" si="20"/>
        <v>1.9992310649750097E-2</v>
      </c>
      <c r="AB40" s="2">
        <f>ROUND(X40*(1+AC19),0)</f>
        <v>2653</v>
      </c>
      <c r="AC40" s="36" t="str">
        <f>TEXT(AC19,"0.0%")&amp;" = Est. S &amp; C"</f>
        <v>2.0% = Est. S &amp; C</v>
      </c>
    </row>
    <row r="41" spans="1:29" x14ac:dyDescent="0.25">
      <c r="A41" s="152"/>
      <c r="B41" s="939">
        <v>2309</v>
      </c>
      <c r="C41" s="857" t="s">
        <v>929</v>
      </c>
      <c r="D41" s="2">
        <v>14975.54</v>
      </c>
      <c r="E41" s="863"/>
      <c r="F41" s="2"/>
      <c r="G41" s="83">
        <f t="shared" si="15"/>
        <v>-9.5849632133466218E-3</v>
      </c>
      <c r="H41" s="2">
        <v>14832</v>
      </c>
      <c r="I41" s="871"/>
      <c r="J41" s="66"/>
      <c r="K41" s="83">
        <f t="shared" si="16"/>
        <v>1.4967637540453074E-2</v>
      </c>
      <c r="L41" s="2">
        <f>ROUND(H41*(1+M19),0)</f>
        <v>15054</v>
      </c>
      <c r="M41" s="871" t="str">
        <f>TEXT(M19,"0.0%")&amp;" = Est. S &amp; C"</f>
        <v>1.5% = Est. S &amp; C</v>
      </c>
      <c r="O41" s="83">
        <f t="shared" si="17"/>
        <v>1.501262123023781E-2</v>
      </c>
      <c r="P41" s="2">
        <f>ROUND(L41*(1+Q19),0)</f>
        <v>15280</v>
      </c>
      <c r="Q41" s="871" t="str">
        <f>TEXT(Q19,"0.0%")&amp;" = Est. S &amp; C"</f>
        <v>1.5% = Est. S &amp; C</v>
      </c>
      <c r="S41" s="83">
        <f t="shared" si="18"/>
        <v>2.0026178010471206E-2</v>
      </c>
      <c r="T41" s="2">
        <f>ROUND(P41*(1+U19),0)</f>
        <v>15586</v>
      </c>
      <c r="U41" s="36" t="str">
        <f>TEXT(U19,"0.0%")&amp;" = Est. S &amp; C"</f>
        <v>2.0% = Est. S &amp; C</v>
      </c>
      <c r="W41" s="83">
        <f t="shared" si="19"/>
        <v>2.0017964840241244E-2</v>
      </c>
      <c r="X41" s="2">
        <f>ROUND(T41*(1+Y19),0)</f>
        <v>15898</v>
      </c>
      <c r="Y41" s="36" t="str">
        <f>TEXT(Y19,"0.0%")&amp;" = Est. S &amp; C"</f>
        <v>2.0% = Est. S &amp; C</v>
      </c>
      <c r="AA41" s="83">
        <f t="shared" si="20"/>
        <v>2.0002516039753428E-2</v>
      </c>
      <c r="AB41" s="2">
        <f>ROUND(X41*(1+AC19),0)</f>
        <v>16216</v>
      </c>
      <c r="AC41" s="36" t="str">
        <f>TEXT(AC19,"0.0%")&amp;" = Est. S &amp; C"</f>
        <v>2.0% = Est. S &amp; C</v>
      </c>
    </row>
    <row r="42" spans="1:29" x14ac:dyDescent="0.25">
      <c r="A42" s="152"/>
      <c r="B42" s="939">
        <v>2310</v>
      </c>
      <c r="C42" s="857" t="s">
        <v>930</v>
      </c>
      <c r="D42" s="2">
        <v>64097.42</v>
      </c>
      <c r="E42" s="863"/>
      <c r="F42" s="2"/>
      <c r="G42" s="83">
        <f t="shared" si="15"/>
        <v>2.3176907900505226E-2</v>
      </c>
      <c r="H42" s="2">
        <v>65583</v>
      </c>
      <c r="I42" s="871"/>
      <c r="J42" s="66"/>
      <c r="K42" s="83">
        <f t="shared" si="16"/>
        <v>1.5003888202735466E-2</v>
      </c>
      <c r="L42" s="2">
        <f>ROUND(H42*(1+M19),0)</f>
        <v>66567</v>
      </c>
      <c r="M42" s="871" t="str">
        <f>TEXT(M19,"0.0%")&amp;" = Est. S &amp; C"</f>
        <v>1.5% = Est. S &amp; C</v>
      </c>
      <c r="O42" s="83">
        <f t="shared" si="17"/>
        <v>1.5007436116994908E-2</v>
      </c>
      <c r="P42" s="2">
        <f>ROUND(L42*(1+Q19),0)</f>
        <v>67566</v>
      </c>
      <c r="Q42" s="871" t="str">
        <f>TEXT(Q19,"0.0%")&amp;" = Est. S &amp; C"</f>
        <v>1.5% = Est. S &amp; C</v>
      </c>
      <c r="S42" s="83">
        <f t="shared" si="18"/>
        <v>1.9995263890122249E-2</v>
      </c>
      <c r="T42" s="2">
        <f>ROUND(P42*(1+U19),0)</f>
        <v>68917</v>
      </c>
      <c r="U42" s="36" t="str">
        <f>TEXT(U19,"0.0%")&amp;" = Est. S &amp; C"</f>
        <v>2.0% = Est. S &amp; C</v>
      </c>
      <c r="W42" s="83">
        <f t="shared" si="19"/>
        <v>1.9995066529303364E-2</v>
      </c>
      <c r="X42" s="2">
        <f>ROUND(T42*(1+Y19),0)</f>
        <v>70295</v>
      </c>
      <c r="Y42" s="36" t="str">
        <f>TEXT(Y19,"0.0%")&amp;" = Est. S &amp; C"</f>
        <v>2.0% = Est. S &amp; C</v>
      </c>
      <c r="AA42" s="83">
        <f t="shared" si="20"/>
        <v>2.0001422576285652E-2</v>
      </c>
      <c r="AB42" s="2">
        <f>ROUND(X42*(1+AC19),0)</f>
        <v>71701</v>
      </c>
      <c r="AC42" s="36" t="str">
        <f>TEXT(AC19,"0.0%")&amp;" = Est. S &amp; C"</f>
        <v>2.0% = Est. S &amp; C</v>
      </c>
    </row>
    <row r="43" spans="1:29" x14ac:dyDescent="0.25">
      <c r="A43" s="152"/>
      <c r="B43" s="939">
        <v>2473</v>
      </c>
      <c r="C43" s="857" t="s">
        <v>931</v>
      </c>
      <c r="D43" s="2">
        <v>0</v>
      </c>
      <c r="E43" s="863"/>
      <c r="F43" s="2"/>
      <c r="G43" s="83" t="str">
        <f t="shared" si="15"/>
        <v>0.00%</v>
      </c>
      <c r="H43" s="2">
        <v>445</v>
      </c>
      <c r="I43" s="871"/>
      <c r="J43" s="66"/>
      <c r="K43" s="83">
        <f t="shared" si="16"/>
        <v>0</v>
      </c>
      <c r="L43" s="2">
        <f>+H43</f>
        <v>445</v>
      </c>
      <c r="M43" s="871" t="s">
        <v>174</v>
      </c>
      <c r="O43" s="83">
        <f t="shared" si="17"/>
        <v>0</v>
      </c>
      <c r="P43" s="2">
        <f>+L43</f>
        <v>445</v>
      </c>
      <c r="Q43" s="871" t="s">
        <v>174</v>
      </c>
      <c r="S43" s="83">
        <f t="shared" si="18"/>
        <v>2.0224719101123594E-2</v>
      </c>
      <c r="T43" s="2">
        <f>ROUND(P43*(1+U19),0)</f>
        <v>454</v>
      </c>
      <c r="U43" s="36" t="str">
        <f>TEXT(U19,"0.0%")&amp;" = Est. S &amp; C"</f>
        <v>2.0% = Est. S &amp; C</v>
      </c>
      <c r="W43" s="83">
        <f t="shared" si="19"/>
        <v>1.9823788546255508E-2</v>
      </c>
      <c r="X43" s="2">
        <f>ROUND(T43*(1+Y19),0)</f>
        <v>463</v>
      </c>
      <c r="Y43" s="36" t="str">
        <f>TEXT(Y19,"0.0%")&amp;" = Est. S &amp; C"</f>
        <v>2.0% = Est. S &amp; C</v>
      </c>
      <c r="AA43" s="83">
        <f t="shared" si="20"/>
        <v>1.9438444924406047E-2</v>
      </c>
      <c r="AB43" s="2">
        <f>ROUND(X43*(1+AC19),0)</f>
        <v>472</v>
      </c>
      <c r="AC43" s="36" t="str">
        <f>TEXT(AC19,"0.0%")&amp;" = Est. S &amp; C"</f>
        <v>2.0% = Est. S &amp; C</v>
      </c>
    </row>
    <row r="44" spans="1:29" ht="6" customHeight="1" x14ac:dyDescent="0.25">
      <c r="A44" s="152"/>
      <c r="B44" s="939"/>
      <c r="E44" s="863"/>
      <c r="F44" s="2"/>
      <c r="H44" s="2"/>
      <c r="I44" s="871"/>
      <c r="J44" s="66"/>
      <c r="L44" s="2"/>
      <c r="M44" s="948"/>
      <c r="Q44" s="948"/>
      <c r="T44" s="2"/>
      <c r="U44" s="73"/>
      <c r="X44" s="2"/>
      <c r="Y44" s="73"/>
      <c r="AB44" s="2"/>
      <c r="AC44" s="73"/>
    </row>
    <row r="45" spans="1:29" x14ac:dyDescent="0.25">
      <c r="A45" s="153"/>
      <c r="B45" s="939"/>
      <c r="D45" s="8">
        <f>SUM(D35:D44)</f>
        <v>592673.32000000007</v>
      </c>
      <c r="E45" s="863"/>
      <c r="F45" s="2"/>
      <c r="G45" s="83">
        <f>IF(D45=0,"0.00%",(H45-D45)/D45)</f>
        <v>6.5303563858754313E-2</v>
      </c>
      <c r="H45" s="8">
        <f>SUM(H35:H44)</f>
        <v>631377</v>
      </c>
      <c r="I45" s="1292">
        <f>+H45-D45</f>
        <v>38703.679999999935</v>
      </c>
      <c r="J45" s="29"/>
      <c r="K45" s="83">
        <f>IF(H45=0,"0.00%",(L45-H45)/H45)</f>
        <v>1.480890181302138E-2</v>
      </c>
      <c r="L45" s="8">
        <f>SUM(L35:L44)</f>
        <v>640727</v>
      </c>
      <c r="M45" s="1292">
        <f>+L45-H45</f>
        <v>9350</v>
      </c>
      <c r="O45" s="83">
        <f>IF(L45=0,"0.00%",(P45-L45)/L45)</f>
        <v>1.4814421742801537E-2</v>
      </c>
      <c r="P45" s="8">
        <f>SUM(P35:P44)</f>
        <v>650219</v>
      </c>
      <c r="Q45" s="1292">
        <f>+P45-L45</f>
        <v>9492</v>
      </c>
      <c r="S45" s="83">
        <f>IF(P45=0,"0.00%",(T45-P45)/P45)</f>
        <v>-7.9982282892379339E-2</v>
      </c>
      <c r="T45" s="8">
        <f>SUM(T35:T44)</f>
        <v>598213</v>
      </c>
      <c r="U45" s="73"/>
      <c r="W45" s="83">
        <f>IF(T45=0,"0.00%",(X45-T45)/T45)</f>
        <v>2.0001237017584036E-2</v>
      </c>
      <c r="X45" s="8">
        <f>SUM(X35:X44)</f>
        <v>610178</v>
      </c>
      <c r="Y45" s="73"/>
      <c r="AA45" s="83">
        <f>IF(X45=0,"0.00%",(AB45-X45)/X45)</f>
        <v>2.0000721101055757E-2</v>
      </c>
      <c r="AB45" s="8">
        <f>SUM(AB35:AB44)</f>
        <v>622382</v>
      </c>
      <c r="AC45" s="73"/>
    </row>
    <row r="46" spans="1:29" x14ac:dyDescent="0.25">
      <c r="A46" s="152"/>
      <c r="B46" s="930" t="s">
        <v>28</v>
      </c>
      <c r="E46" s="863"/>
      <c r="F46" s="2"/>
      <c r="H46" s="2"/>
      <c r="I46" s="871"/>
      <c r="J46" s="66"/>
      <c r="L46" s="2"/>
      <c r="M46" s="948"/>
      <c r="Q46" s="948"/>
      <c r="T46" s="2"/>
      <c r="U46" s="73"/>
      <c r="X46" s="2"/>
      <c r="Y46" s="73"/>
      <c r="AB46" s="2"/>
      <c r="AC46" s="73"/>
    </row>
    <row r="47" spans="1:29" x14ac:dyDescent="0.25">
      <c r="A47" s="154"/>
      <c r="B47" s="936" t="s">
        <v>27</v>
      </c>
      <c r="E47" s="863"/>
      <c r="F47" s="2"/>
      <c r="H47" s="2"/>
      <c r="I47" s="871"/>
      <c r="J47" s="66"/>
      <c r="L47" s="2"/>
      <c r="M47" s="948"/>
      <c r="Q47" s="948"/>
      <c r="T47" s="2"/>
      <c r="U47" s="73"/>
      <c r="X47" s="2"/>
      <c r="Y47" s="73"/>
      <c r="AB47" s="2"/>
      <c r="AC47" s="73"/>
    </row>
    <row r="48" spans="1:29" x14ac:dyDescent="0.25">
      <c r="A48" s="152"/>
      <c r="B48" s="939" t="s">
        <v>83</v>
      </c>
      <c r="C48" s="857" t="s">
        <v>76</v>
      </c>
      <c r="D48" s="2">
        <v>0</v>
      </c>
      <c r="E48" s="854" t="str">
        <f>TEXT('MYP Assumptions'!$D$55,"0.00%")&amp;", STRS rate"</f>
        <v>12.58%, STRS rate</v>
      </c>
      <c r="F48" s="2"/>
      <c r="G48" s="83" t="str">
        <f t="shared" ref="G48:G57" si="27">IF(D48=0,"0.00%",(H48-D48)/D48)</f>
        <v>0.00%</v>
      </c>
      <c r="H48" s="2">
        <f>ROUND(H32*LEFT(I48,6),0)</f>
        <v>0</v>
      </c>
      <c r="I48" s="854" t="str">
        <f>TEXT('MYP Assumptions'!E55,"0.00%")&amp;", projected STRS rate"</f>
        <v>14.43%, projected STRS rate</v>
      </c>
      <c r="J48" s="66"/>
      <c r="K48" s="83" t="str">
        <f t="shared" ref="K48:K57" si="28">IF(H48=0,"0.00%",(L48-H48)/H48)</f>
        <v>0.00%</v>
      </c>
      <c r="L48" s="2">
        <f>ROUND(L32*LEFT(M48,6),0)</f>
        <v>0</v>
      </c>
      <c r="M48" s="854" t="str">
        <f>TEXT('MYP Assumptions'!F55,"0.00%")&amp;", projected STRS rate"</f>
        <v>16.28%, projected STRS rate</v>
      </c>
      <c r="O48" s="83" t="str">
        <f t="shared" ref="O48:O57" si="29">IF(L48=0,"0.00%",(P48-L48)/L48)</f>
        <v>0.00%</v>
      </c>
      <c r="P48" s="2">
        <f>ROUND(P32*LEFT(Q48,6),0)</f>
        <v>0</v>
      </c>
      <c r="Q48" s="854" t="str">
        <f>TEXT('MYP Assumptions'!G55,"0.00%")&amp;", projected STRS rate"</f>
        <v>18.13%, projected STRS rate</v>
      </c>
      <c r="S48" s="83" t="str">
        <f t="shared" ref="S48:S57" si="30">IF(P48=0,"0.00%",(T48-P48)/P48)</f>
        <v>0.00%</v>
      </c>
      <c r="T48" s="2">
        <f>ROUND(T32*LEFT(U48,6),0)</f>
        <v>0</v>
      </c>
      <c r="U48" s="81" t="str">
        <f>TEXT('MYP Assumptions'!H55,"0.00%")&amp;", projected STRS rate"</f>
        <v>19.10%, projected STRS rate</v>
      </c>
      <c r="W48" s="83" t="str">
        <f t="shared" ref="W48:W57" si="31">IF(T48=0,"0.00%",(X48-T48)/T48)</f>
        <v>0.00%</v>
      </c>
      <c r="X48" s="2">
        <f>ROUND(X32*LEFT(Y48,6),0)</f>
        <v>0</v>
      </c>
      <c r="Y48" s="81" t="str">
        <f>TEXT('MYP Assumptions'!I55,"0.00%")&amp;", projected STRS rate"</f>
        <v>19.10%, projected STRS rate</v>
      </c>
      <c r="AA48" s="83" t="str">
        <f t="shared" ref="AA48:AA57" si="32">IF(X48=0,"0.00%",(AB48-X48)/X48)</f>
        <v>0.00%</v>
      </c>
      <c r="AB48" s="2">
        <f>ROUND(AB32*LEFT(AC48,6),0)</f>
        <v>0</v>
      </c>
      <c r="AC48" s="81" t="str">
        <f>TEXT('MYP Assumptions'!J55,"0.00%")&amp;", projected STRS rate"</f>
        <v>19.10%, projected STRS rate</v>
      </c>
    </row>
    <row r="49" spans="1:29" x14ac:dyDescent="0.25">
      <c r="A49" s="152"/>
      <c r="B49" s="939" t="s">
        <v>84</v>
      </c>
      <c r="C49" s="857" t="s">
        <v>77</v>
      </c>
      <c r="D49" s="2">
        <v>79049.87</v>
      </c>
      <c r="E49" s="854" t="str">
        <f>TEXT('MYP Assumptions'!$D$56,"0.00%")&amp;", PERS rate"</f>
        <v>13.89%, PERS rate</v>
      </c>
      <c r="F49" s="2"/>
      <c r="G49" s="83">
        <f t="shared" si="27"/>
        <v>0.22766805309104246</v>
      </c>
      <c r="H49" s="2">
        <v>97047</v>
      </c>
      <c r="I49" s="854" t="str">
        <f>TEXT('MYP Assumptions'!E56,"0.00%")&amp;", projected PERS rate"</f>
        <v>15.53%, projected PERS rate</v>
      </c>
      <c r="J49" s="66"/>
      <c r="K49" s="83">
        <f t="shared" si="28"/>
        <v>0.19500860407843623</v>
      </c>
      <c r="L49" s="2">
        <f>ROUND(L45*LEFT(M49,6),0)</f>
        <v>115972</v>
      </c>
      <c r="M49" s="854" t="str">
        <f>TEXT('MYP Assumptions'!F56,"0.00%")&amp;", projected PERS rate"</f>
        <v>18.10%, projected PERS rate</v>
      </c>
      <c r="O49" s="83">
        <f t="shared" si="29"/>
        <v>0.16619528851791812</v>
      </c>
      <c r="P49" s="2">
        <f>ROUND(P45*LEFT(Q49,6),0)</f>
        <v>135246</v>
      </c>
      <c r="Q49" s="854" t="str">
        <f>TEXT('MYP Assumptions'!G56,"0.00%")&amp;", projected PERS rate"</f>
        <v>20.80%, projected PERS rate</v>
      </c>
      <c r="S49" s="83">
        <f t="shared" si="30"/>
        <v>5.2711355603862593E-2</v>
      </c>
      <c r="T49" s="2">
        <f>ROUND(T45*LEFT(U49,6),0)</f>
        <v>142375</v>
      </c>
      <c r="U49" s="81" t="str">
        <f>TEXT('MYP Assumptions'!H56,"0.00%")&amp;", projected PERS rate"</f>
        <v>23.80%, projected PERS rate</v>
      </c>
      <c r="W49" s="83">
        <f t="shared" si="31"/>
        <v>0.08</v>
      </c>
      <c r="X49" s="2">
        <f>ROUND(X45*LEFT(Y49,6),0)</f>
        <v>153765</v>
      </c>
      <c r="Y49" s="81" t="str">
        <f>TEXT('MYP Assumptions'!I56,"0.00%")&amp;", projected PERS rate"</f>
        <v>25.20%, projected PERS rate</v>
      </c>
      <c r="AA49" s="83">
        <f t="shared" si="32"/>
        <v>5.6430266965824476E-2</v>
      </c>
      <c r="AB49" s="2">
        <f>ROUND(AB45*LEFT(AC49,6),0)</f>
        <v>162442</v>
      </c>
      <c r="AC49" s="81" t="str">
        <f>TEXT('MYP Assumptions'!J56,"0.00%")&amp;", projected PERS rate"</f>
        <v>26.10%, projected PERS rate</v>
      </c>
    </row>
    <row r="50" spans="1:29" x14ac:dyDescent="0.25">
      <c r="A50" s="152"/>
      <c r="B50" s="939" t="s">
        <v>85</v>
      </c>
      <c r="C50" s="857" t="s">
        <v>78</v>
      </c>
      <c r="D50" s="2">
        <v>34232.31</v>
      </c>
      <c r="E50" s="854" t="str">
        <f>TEXT('MYP Assumptions'!$D$57,"0.00%")&amp;", SS rate"</f>
        <v>6.20%, SS rate</v>
      </c>
      <c r="F50" s="2"/>
      <c r="G50" s="83">
        <f t="shared" si="27"/>
        <v>0.13810607580966644</v>
      </c>
      <c r="H50" s="2">
        <v>38960</v>
      </c>
      <c r="I50" s="854" t="str">
        <f>TEXT('MYP Assumptions'!E57,"0.00%")&amp;", no rate change"</f>
        <v>6.20%, no rate change</v>
      </c>
      <c r="J50" s="66"/>
      <c r="K50" s="83">
        <f t="shared" si="28"/>
        <v>1.9635523613963039E-2</v>
      </c>
      <c r="L50" s="2">
        <f>ROUND(L45*LEFT(M50,5),0)</f>
        <v>39725</v>
      </c>
      <c r="M50" s="854" t="str">
        <f>TEXT('MYP Assumptions'!F57,"0.00%")&amp;", no rate change"</f>
        <v>6.20%, no rate change</v>
      </c>
      <c r="O50" s="83">
        <f t="shared" si="29"/>
        <v>1.4826935179358087E-2</v>
      </c>
      <c r="P50" s="2">
        <f>ROUND(P45*LEFT(Q50,5),0)</f>
        <v>40314</v>
      </c>
      <c r="Q50" s="854" t="str">
        <f>TEXT('MYP Assumptions'!G57,"0.00%")&amp;", no rate change"</f>
        <v>6.20%, no rate change</v>
      </c>
      <c r="S50" s="83">
        <f t="shared" si="30"/>
        <v>-7.9997023366572412E-2</v>
      </c>
      <c r="T50" s="2">
        <f>ROUND(T45*LEFT(U50,5),0)</f>
        <v>37089</v>
      </c>
      <c r="U50" s="81" t="str">
        <f>TEXT('MYP Assumptions'!H57,"0.00%")&amp;", no rate change"</f>
        <v>6.20%, no rate change</v>
      </c>
      <c r="W50" s="83">
        <f t="shared" si="31"/>
        <v>2.0005931677855967E-2</v>
      </c>
      <c r="X50" s="2">
        <f>ROUND(X45*LEFT(Y50,5),0)</f>
        <v>37831</v>
      </c>
      <c r="Y50" s="81" t="str">
        <f>TEXT('MYP Assumptions'!I57,"0.00%")&amp;", no rate change"</f>
        <v>6.20%, no rate change</v>
      </c>
      <c r="AA50" s="83">
        <f t="shared" si="32"/>
        <v>2.0010044672358649E-2</v>
      </c>
      <c r="AB50" s="2">
        <f>ROUND(AB45*LEFT(AC50,5),0)</f>
        <v>38588</v>
      </c>
      <c r="AC50" s="81" t="str">
        <f>TEXT('MYP Assumptions'!J57,"0.00%")&amp;", no rate change"</f>
        <v>6.20%, no rate change</v>
      </c>
    </row>
    <row r="51" spans="1:29" x14ac:dyDescent="0.25">
      <c r="A51" s="152"/>
      <c r="B51" s="939" t="s">
        <v>86</v>
      </c>
      <c r="C51" s="857" t="s">
        <v>79</v>
      </c>
      <c r="D51" s="2">
        <v>8040.39</v>
      </c>
      <c r="E51" s="854" t="str">
        <f>TEXT('MYP Assumptions'!$D$58,"0.00%")&amp;", Medicare rate"</f>
        <v>1.45%, Medicare rate</v>
      </c>
      <c r="F51" s="2"/>
      <c r="G51" s="83">
        <f t="shared" si="27"/>
        <v>0.13315398879905074</v>
      </c>
      <c r="H51" s="2">
        <v>9111</v>
      </c>
      <c r="I51" s="854" t="str">
        <f>TEXT('MYP Assumptions'!E58,"0.00%")&amp;", no rate change"</f>
        <v>1.45%, no rate change</v>
      </c>
      <c r="J51" s="66"/>
      <c r="K51" s="83">
        <f t="shared" si="28"/>
        <v>1.975633849193283E-2</v>
      </c>
      <c r="L51" s="2">
        <f>ROUND((L45+L32)*LEFT(M51,5),0)</f>
        <v>9291</v>
      </c>
      <c r="M51" s="854" t="str">
        <f>TEXT('MYP Assumptions'!F58,"0.00%")&amp;", no rate change"</f>
        <v>1.45%, no rate change</v>
      </c>
      <c r="O51" s="83">
        <f t="shared" si="29"/>
        <v>1.474545258852653E-2</v>
      </c>
      <c r="P51" s="2">
        <f>ROUND((P45+P32)*LEFT(Q51,5),0)</f>
        <v>9428</v>
      </c>
      <c r="Q51" s="854" t="str">
        <f>TEXT('MYP Assumptions'!G58,"0.00%")&amp;", no rate change"</f>
        <v>1.45%, no rate change</v>
      </c>
      <c r="S51" s="83">
        <f t="shared" si="30"/>
        <v>-7.9974543911752224E-2</v>
      </c>
      <c r="T51" s="2">
        <f>ROUND((T45+T32)*LEFT(U51,5),0)</f>
        <v>8674</v>
      </c>
      <c r="U51" s="81" t="str">
        <f>TEXT('MYP Assumptions'!H58,"0.00%")&amp;", no rate change"</f>
        <v>1.45%, no rate change</v>
      </c>
      <c r="W51" s="83">
        <f t="shared" si="31"/>
        <v>2.005994927369149E-2</v>
      </c>
      <c r="X51" s="2">
        <f>ROUND((X45+X32)*LEFT(Y51,5),0)</f>
        <v>8848</v>
      </c>
      <c r="Y51" s="81" t="str">
        <f>TEXT('MYP Assumptions'!I58,"0.00%")&amp;", no rate change"</f>
        <v>1.45%, no rate change</v>
      </c>
      <c r="AA51" s="83">
        <f t="shared" si="32"/>
        <v>2.0004520795660036E-2</v>
      </c>
      <c r="AB51" s="2">
        <f>ROUND((AB45+AB32)*LEFT(AC51,5),0)</f>
        <v>9025</v>
      </c>
      <c r="AC51" s="81" t="str">
        <f>TEXT('MYP Assumptions'!J58,"0.00%")&amp;", no rate change"</f>
        <v>1.45%, no rate change</v>
      </c>
    </row>
    <row r="52" spans="1:29" x14ac:dyDescent="0.25">
      <c r="A52" s="152"/>
      <c r="B52" s="939" t="s">
        <v>87</v>
      </c>
      <c r="C52" s="857" t="s">
        <v>80</v>
      </c>
      <c r="D52" s="2">
        <v>57482.99</v>
      </c>
      <c r="E52" s="854"/>
      <c r="F52" s="2"/>
      <c r="G52" s="83">
        <f t="shared" si="27"/>
        <v>-1.0594264494592191E-2</v>
      </c>
      <c r="H52" s="2">
        <v>56874</v>
      </c>
      <c r="I52" s="854"/>
      <c r="J52" s="66"/>
      <c r="K52" s="83">
        <f t="shared" si="28"/>
        <v>6.9996835109188735E-2</v>
      </c>
      <c r="L52" s="2">
        <f>ROUND((H52)*(LEFT(M52,5)+1),0)</f>
        <v>60855</v>
      </c>
      <c r="M52" s="854" t="str">
        <f>TEXT('MYP Assumptions'!$M$65,"0.00%")&amp;", projected increase"</f>
        <v>7.00%, projected increase</v>
      </c>
      <c r="O52" s="83">
        <f t="shared" si="29"/>
        <v>7.0002464875523793E-2</v>
      </c>
      <c r="P52" s="2">
        <f>ROUND((L52)*(LEFT(Q52,5)+1),0)</f>
        <v>65115</v>
      </c>
      <c r="Q52" s="854" t="str">
        <f>TEXT('MYP Assumptions'!$M$65,"0.00%")&amp;", projected increase"</f>
        <v>7.00%, projected increase</v>
      </c>
      <c r="S52" s="83">
        <f t="shared" si="30"/>
        <v>6.9999232127773939E-2</v>
      </c>
      <c r="T52" s="2">
        <f>ROUND((P52)*(LEFT(U52,5)+1),0)</f>
        <v>69673</v>
      </c>
      <c r="U52" s="81" t="str">
        <f>TEXT('MYP Assumptions'!$M$65,"0.00%")&amp;", projected increase"</f>
        <v>7.00%, projected increase</v>
      </c>
      <c r="W52" s="83">
        <f t="shared" si="31"/>
        <v>6.9998421196159205E-2</v>
      </c>
      <c r="X52" s="2">
        <f>ROUND((T52)*(LEFT(Y52,5)+1),0)</f>
        <v>74550</v>
      </c>
      <c r="Y52" s="81" t="str">
        <f>TEXT('MYP Assumptions'!$M$65,"0.00%")&amp;", projected increase"</f>
        <v>7.00%, projected increase</v>
      </c>
      <c r="AA52" s="83">
        <f t="shared" si="32"/>
        <v>7.0006706908115363E-2</v>
      </c>
      <c r="AB52" s="2">
        <f>ROUND((X52)*(LEFT(AC52,5)+1),0)</f>
        <v>79769</v>
      </c>
      <c r="AC52" s="81" t="str">
        <f>TEXT('MYP Assumptions'!$M$65,"0.00%")&amp;", projected increase"</f>
        <v>7.00%, projected increase</v>
      </c>
    </row>
    <row r="53" spans="1:29" x14ac:dyDescent="0.25">
      <c r="A53" s="152"/>
      <c r="B53" s="939" t="s">
        <v>88</v>
      </c>
      <c r="C53" s="857" t="s">
        <v>81</v>
      </c>
      <c r="D53" s="2">
        <v>277.55</v>
      </c>
      <c r="E53" s="854" t="str">
        <f>TEXT('MYP Assumptions'!$D$59,"0.00%")&amp;", SUI rate"</f>
        <v>0.05%, SUI rate</v>
      </c>
      <c r="F53" s="2"/>
      <c r="G53" s="83">
        <f t="shared" si="27"/>
        <v>0.12772473428211129</v>
      </c>
      <c r="H53" s="2">
        <v>313</v>
      </c>
      <c r="I53" s="854" t="str">
        <f>TEXT('MYP Assumptions'!E59,"0.00%")&amp;", no rate change"</f>
        <v>0.05%, no rate change</v>
      </c>
      <c r="J53" s="66"/>
      <c r="K53" s="83">
        <f t="shared" si="28"/>
        <v>2.2364217252396165E-2</v>
      </c>
      <c r="L53" s="2">
        <f>ROUND((L45+L32)*LEFT(M53,5),0)</f>
        <v>320</v>
      </c>
      <c r="M53" s="854" t="str">
        <f>TEXT('MYP Assumptions'!F59,"0.00%")&amp;", no rate change"</f>
        <v>0.05%, no rate change</v>
      </c>
      <c r="O53" s="83">
        <f t="shared" si="29"/>
        <v>1.5625E-2</v>
      </c>
      <c r="P53" s="2">
        <f>ROUND((P45+P32)*LEFT(Q53,5),0)</f>
        <v>325</v>
      </c>
      <c r="Q53" s="854" t="str">
        <f>TEXT('MYP Assumptions'!G59,"0.00%")&amp;", no rate change"</f>
        <v>0.05%, no rate change</v>
      </c>
      <c r="S53" s="83">
        <f t="shared" si="30"/>
        <v>-0.08</v>
      </c>
      <c r="T53" s="2">
        <f>ROUND((T45+T32)*LEFT(U53,5),0)</f>
        <v>299</v>
      </c>
      <c r="U53" s="81" t="str">
        <f>TEXT('MYP Assumptions'!H59,"0.00%")&amp;", no rate change"</f>
        <v>0.05%, no rate change</v>
      </c>
      <c r="W53" s="83">
        <f t="shared" si="31"/>
        <v>2.0066889632107024E-2</v>
      </c>
      <c r="X53" s="2">
        <f>ROUND((X45+X32)*LEFT(Y53,5),0)</f>
        <v>305</v>
      </c>
      <c r="Y53" s="81" t="str">
        <f>TEXT('MYP Assumptions'!I59,"0.00%")&amp;", no rate change"</f>
        <v>0.05%, no rate change</v>
      </c>
      <c r="AA53" s="83">
        <f t="shared" si="32"/>
        <v>1.9672131147540985E-2</v>
      </c>
      <c r="AB53" s="2">
        <f>ROUND((AB45+AB32)*LEFT(AC53,5),0)</f>
        <v>311</v>
      </c>
      <c r="AC53" s="81" t="str">
        <f>TEXT('MYP Assumptions'!J59,"0.00%")&amp;", no rate change"</f>
        <v>0.05%, no rate change</v>
      </c>
    </row>
    <row r="54" spans="1:29" x14ac:dyDescent="0.25">
      <c r="A54" s="152"/>
      <c r="B54" s="939" t="s">
        <v>89</v>
      </c>
      <c r="C54" s="857" t="s">
        <v>82</v>
      </c>
      <c r="D54" s="2">
        <v>6109.59</v>
      </c>
      <c r="E54" s="854" t="str">
        <f>TEXT('MYP Assumptions'!$D$60,"0.00%")&amp;", W/C rate"</f>
        <v>1.10%, W/C rate</v>
      </c>
      <c r="F54" s="2"/>
      <c r="G54" s="83">
        <f t="shared" si="27"/>
        <v>0.13149982241034175</v>
      </c>
      <c r="H54" s="2">
        <v>6913</v>
      </c>
      <c r="I54" s="854" t="str">
        <f>TEXT('MYP Assumptions'!E60,"0.00%")&amp;", no rate change"</f>
        <v>0.80%, no rate change</v>
      </c>
      <c r="J54" s="66"/>
      <c r="K54" s="83">
        <f t="shared" si="28"/>
        <v>-0.25849848112252277</v>
      </c>
      <c r="L54" s="2">
        <f>ROUND((L45+L32)*LEFT(M54,5),0)</f>
        <v>5126</v>
      </c>
      <c r="M54" s="854" t="str">
        <f>TEXT('MYP Assumptions'!F60,"0.00%")&amp;", no rate change"</f>
        <v>0.80%, no rate change</v>
      </c>
      <c r="O54" s="83">
        <f t="shared" si="29"/>
        <v>1.4826375341396801E-2</v>
      </c>
      <c r="P54" s="2">
        <f>ROUND((P45+P32)*LEFT(Q54,5),0)</f>
        <v>5202</v>
      </c>
      <c r="Q54" s="854" t="str">
        <f>TEXT('MYP Assumptions'!G60,"0.00%")&amp;", no rate change"</f>
        <v>0.80%, no rate change</v>
      </c>
      <c r="S54" s="83">
        <f t="shared" si="30"/>
        <v>-7.9969242599000387E-2</v>
      </c>
      <c r="T54" s="2">
        <f>ROUND((T45+T32)*LEFT(U54,5),0)</f>
        <v>4786</v>
      </c>
      <c r="U54" s="81" t="str">
        <f>TEXT('MYP Assumptions'!H60,"0.00%")&amp;", no rate change"</f>
        <v>0.80%, no rate change</v>
      </c>
      <c r="W54" s="83">
        <f t="shared" si="31"/>
        <v>1.9849561220225659E-2</v>
      </c>
      <c r="X54" s="2">
        <f>ROUND((X45+X32)*LEFT(Y54,5),0)</f>
        <v>4881</v>
      </c>
      <c r="Y54" s="81" t="str">
        <f>TEXT('MYP Assumptions'!I60,"0.00%")&amp;", no rate change"</f>
        <v>0.80%, no rate change</v>
      </c>
      <c r="AA54" s="83">
        <f t="shared" si="32"/>
        <v>2.0077852898996107E-2</v>
      </c>
      <c r="AB54" s="2">
        <f>ROUND((AB45+AB32)*LEFT(AC54,5),0)</f>
        <v>4979</v>
      </c>
      <c r="AC54" s="81" t="str">
        <f>TEXT('MYP Assumptions'!J60,"0.00%")&amp;", no rate change"</f>
        <v>0.80%, no rate change</v>
      </c>
    </row>
    <row r="55" spans="1:29" x14ac:dyDescent="0.25">
      <c r="A55" s="152"/>
      <c r="B55" s="939" t="s">
        <v>91</v>
      </c>
      <c r="C55" s="857" t="s">
        <v>93</v>
      </c>
      <c r="D55" s="2">
        <f>1500+480</f>
        <v>1980</v>
      </c>
      <c r="E55" s="863"/>
      <c r="F55" s="2"/>
      <c r="G55" s="83">
        <f t="shared" si="27"/>
        <v>0</v>
      </c>
      <c r="H55" s="2">
        <f>1500+480</f>
        <v>1980</v>
      </c>
      <c r="I55" s="854" t="s">
        <v>166</v>
      </c>
      <c r="J55" s="66"/>
      <c r="K55" s="83">
        <f t="shared" si="28"/>
        <v>0</v>
      </c>
      <c r="L55" s="2">
        <f>H55</f>
        <v>1980</v>
      </c>
      <c r="M55" s="854" t="s">
        <v>166</v>
      </c>
      <c r="O55" s="83">
        <f t="shared" si="29"/>
        <v>0</v>
      </c>
      <c r="P55" s="2">
        <f>L55</f>
        <v>1980</v>
      </c>
      <c r="Q55" s="854" t="s">
        <v>166</v>
      </c>
      <c r="S55" s="83">
        <f t="shared" si="30"/>
        <v>0</v>
      </c>
      <c r="T55" s="2">
        <f>P55</f>
        <v>1980</v>
      </c>
      <c r="U55" s="81" t="s">
        <v>166</v>
      </c>
      <c r="W55" s="83">
        <f t="shared" si="31"/>
        <v>0</v>
      </c>
      <c r="X55" s="2">
        <f>T55</f>
        <v>1980</v>
      </c>
      <c r="Y55" s="81" t="s">
        <v>166</v>
      </c>
      <c r="AA55" s="83">
        <f t="shared" si="32"/>
        <v>0</v>
      </c>
      <c r="AB55" s="2">
        <f>X55</f>
        <v>1980</v>
      </c>
      <c r="AC55" s="81" t="s">
        <v>166</v>
      </c>
    </row>
    <row r="56" spans="1:29" hidden="1" x14ac:dyDescent="0.25">
      <c r="A56" s="152"/>
      <c r="B56" s="939"/>
      <c r="E56" s="863"/>
      <c r="F56" s="2"/>
      <c r="G56" s="83"/>
      <c r="H56" s="2"/>
      <c r="I56" s="854"/>
      <c r="J56" s="66"/>
      <c r="K56" s="83"/>
      <c r="L56" s="2"/>
      <c r="M56" s="854"/>
      <c r="O56" s="83"/>
      <c r="Q56" s="854"/>
      <c r="S56" s="83"/>
      <c r="T56" s="2"/>
      <c r="U56" s="81"/>
      <c r="W56" s="83"/>
      <c r="X56" s="2"/>
      <c r="Y56" s="81"/>
      <c r="AA56" s="83"/>
      <c r="AB56" s="2"/>
      <c r="AC56" s="81"/>
    </row>
    <row r="57" spans="1:29" x14ac:dyDescent="0.25">
      <c r="A57" s="153"/>
      <c r="B57" s="939"/>
      <c r="D57" s="8">
        <f>SUM(D48:D56)</f>
        <v>187172.69999999998</v>
      </c>
      <c r="E57" s="863"/>
      <c r="F57" s="2"/>
      <c r="G57" s="83">
        <f t="shared" si="27"/>
        <v>0.12835899679814428</v>
      </c>
      <c r="H57" s="8">
        <f>SUM(H48:H56)</f>
        <v>211198</v>
      </c>
      <c r="I57" s="1292">
        <f>+H57-D57</f>
        <v>24025.300000000017</v>
      </c>
      <c r="J57" s="29"/>
      <c r="K57" s="83">
        <f t="shared" si="28"/>
        <v>0.10450383052869819</v>
      </c>
      <c r="L57" s="8">
        <f>SUM(L48:L56)</f>
        <v>233269</v>
      </c>
      <c r="M57" s="1292">
        <f>+L57-H57</f>
        <v>22071</v>
      </c>
      <c r="O57" s="83">
        <f t="shared" si="29"/>
        <v>0.10434734148129413</v>
      </c>
      <c r="P57" s="8">
        <f>SUM(P48:P56)</f>
        <v>257610</v>
      </c>
      <c r="Q57" s="1292">
        <f>+P57-L57</f>
        <v>24341</v>
      </c>
      <c r="S57" s="83">
        <f t="shared" si="30"/>
        <v>2.820542680796553E-2</v>
      </c>
      <c r="T57" s="8">
        <f>SUM(T48:T56)</f>
        <v>264876</v>
      </c>
      <c r="U57" s="73"/>
      <c r="W57" s="83">
        <f t="shared" si="31"/>
        <v>6.5253175070599079E-2</v>
      </c>
      <c r="X57" s="8">
        <f>SUM(X48:X56)</f>
        <v>282160</v>
      </c>
      <c r="Y57" s="73"/>
      <c r="AA57" s="83">
        <f t="shared" si="32"/>
        <v>5.2927417068330027E-2</v>
      </c>
      <c r="AB57" s="8">
        <f>SUM(AB48:AB56)</f>
        <v>297094</v>
      </c>
      <c r="AC57" s="73"/>
    </row>
    <row r="58" spans="1:29" x14ac:dyDescent="0.25">
      <c r="A58" s="154"/>
      <c r="B58" s="939"/>
      <c r="E58" s="863"/>
      <c r="F58" s="2"/>
      <c r="H58" s="2"/>
      <c r="I58" s="871"/>
      <c r="J58" s="66"/>
      <c r="L58" s="2"/>
      <c r="M58" s="948"/>
      <c r="Q58" s="948"/>
      <c r="T58" s="2"/>
      <c r="U58" s="73"/>
      <c r="X58" s="2"/>
      <c r="Y58" s="73"/>
      <c r="AB58" s="2"/>
      <c r="AC58" s="73"/>
    </row>
    <row r="59" spans="1:29" x14ac:dyDescent="0.25">
      <c r="A59" s="153"/>
      <c r="B59" s="936" t="s">
        <v>26</v>
      </c>
      <c r="D59" s="8">
        <f>SUM(D57,D45,D32)</f>
        <v>779846.02</v>
      </c>
      <c r="E59" s="863"/>
      <c r="F59" s="2"/>
      <c r="G59" s="83">
        <f>IF(D59=0,"0.00%",(H59-D59)/D59)</f>
        <v>8.0437648447574284E-2</v>
      </c>
      <c r="H59" s="8">
        <f>SUM(H57,H45,H32)</f>
        <v>842575</v>
      </c>
      <c r="I59" s="1292">
        <f>+H59-D59</f>
        <v>62728.979999999981</v>
      </c>
      <c r="J59" s="29"/>
      <c r="K59" s="83">
        <f>IF(H59=0,"0.00%",(L59-H59)/H59)</f>
        <v>3.7291635759427941E-2</v>
      </c>
      <c r="L59" s="8">
        <f>SUM(L57,L45,L32)</f>
        <v>873996</v>
      </c>
      <c r="M59" s="1292">
        <f>+L59-H59</f>
        <v>31421</v>
      </c>
      <c r="O59" s="83">
        <f>IF(L59=0,"0.00%",(P59-L59)/L59)</f>
        <v>3.8710703481480466E-2</v>
      </c>
      <c r="P59" s="8">
        <f>SUM(P57,P45,P32)</f>
        <v>907829</v>
      </c>
      <c r="Q59" s="1292">
        <f>+P59-L59</f>
        <v>33833</v>
      </c>
      <c r="S59" s="83">
        <f>IF(P59=0,"0.00%",(T59-P59)/P59)</f>
        <v>-4.9282408911810481E-2</v>
      </c>
      <c r="T59" s="8">
        <f>SUM(T57,T45,T32)</f>
        <v>863089</v>
      </c>
      <c r="U59" s="73"/>
      <c r="W59" s="83">
        <f>IF(T59=0,"0.00%",(X59-T59)/T59)</f>
        <v>3.3888741485524669E-2</v>
      </c>
      <c r="X59" s="8">
        <f>SUM(X57,X45,X32)</f>
        <v>892338</v>
      </c>
      <c r="Y59" s="73"/>
      <c r="AA59" s="83">
        <f>IF(X59=0,"0.00%",(AB59-X59)/X59)</f>
        <v>3.0412242894508584E-2</v>
      </c>
      <c r="AB59" s="8">
        <f>SUM(AB57,AB45,AB32)</f>
        <v>919476</v>
      </c>
      <c r="AC59" s="73"/>
    </row>
    <row r="60" spans="1:29" x14ac:dyDescent="0.25">
      <c r="A60" s="155"/>
      <c r="E60" s="863"/>
      <c r="F60" s="2"/>
      <c r="H60" s="2"/>
      <c r="I60" s="871"/>
      <c r="J60" s="66"/>
      <c r="L60" s="2"/>
      <c r="M60" s="948"/>
      <c r="Q60" s="948"/>
      <c r="T60" s="2"/>
      <c r="U60" s="73"/>
      <c r="X60" s="2"/>
      <c r="Y60" s="73"/>
      <c r="AB60" s="2"/>
      <c r="AC60" s="73"/>
    </row>
    <row r="61" spans="1:29" x14ac:dyDescent="0.25">
      <c r="A61" s="152"/>
      <c r="E61" s="863"/>
      <c r="F61" s="2"/>
      <c r="H61" s="2"/>
      <c r="I61" s="871"/>
      <c r="J61" s="66"/>
      <c r="L61" s="2"/>
      <c r="M61" s="948"/>
      <c r="Q61" s="948"/>
      <c r="T61" s="2"/>
      <c r="U61" s="73"/>
      <c r="X61" s="2"/>
      <c r="Y61" s="73"/>
      <c r="AB61" s="2"/>
      <c r="AC61" s="73"/>
    </row>
    <row r="62" spans="1:29" x14ac:dyDescent="0.25">
      <c r="A62" s="155"/>
      <c r="B62" s="940" t="s">
        <v>25</v>
      </c>
      <c r="C62" s="873"/>
      <c r="E62" s="863"/>
      <c r="F62" s="2"/>
      <c r="H62" s="448"/>
      <c r="I62" s="871"/>
      <c r="J62" s="66"/>
      <c r="L62" s="448"/>
      <c r="M62" s="871"/>
      <c r="P62" s="448"/>
      <c r="Q62" s="871"/>
      <c r="T62" s="2"/>
      <c r="U62" s="73"/>
      <c r="X62" s="2"/>
      <c r="Y62" s="73"/>
      <c r="AB62" s="2"/>
      <c r="AC62" s="73"/>
    </row>
    <row r="63" spans="1:29" x14ac:dyDescent="0.25">
      <c r="A63" s="152"/>
      <c r="B63" s="939">
        <v>4349</v>
      </c>
      <c r="C63" s="857" t="s">
        <v>323</v>
      </c>
      <c r="D63" s="2">
        <v>26969.08</v>
      </c>
      <c r="E63" s="863"/>
      <c r="F63" s="2"/>
      <c r="G63" s="83">
        <f t="shared" ref="G63:G73" si="33">IF(D63=0,"0.00%",(H63-D63)/D63)</f>
        <v>0.82431139660678066</v>
      </c>
      <c r="H63" s="2">
        <v>49200</v>
      </c>
      <c r="I63" s="871"/>
      <c r="J63" s="66"/>
      <c r="K63" s="83">
        <f t="shared" ref="K63:K73" si="34">IF(H63=0,"0.00%",(L63-H63)/H63)</f>
        <v>-0.2886178861788618</v>
      </c>
      <c r="L63" s="2">
        <v>35000</v>
      </c>
      <c r="M63" s="871"/>
      <c r="O63" s="83">
        <f t="shared" ref="O63:O73" si="35">IF(L63=0,"0.00%",(P63-L63)/L63)</f>
        <v>0.14285714285714285</v>
      </c>
      <c r="P63" s="2">
        <v>40000</v>
      </c>
      <c r="Q63" s="871"/>
      <c r="S63" s="83">
        <f t="shared" ref="S63:S73" si="36">IF(P63=0,"0.00%",(T63-P63)/P63)</f>
        <v>2.7300000000000001E-2</v>
      </c>
      <c r="T63" s="2">
        <f>ROUND(P63*(LEFT(U63,5)+1),0)</f>
        <v>41092</v>
      </c>
      <c r="U63" s="81" t="str">
        <f>TEXT('MYP Assumptions'!H75,"0.00%")&amp;", CPI"</f>
        <v>2.73%, CPI</v>
      </c>
      <c r="W63" s="83">
        <f t="shared" ref="W63:W73" si="37">IF(T63=0,"0.00%",(X63-T63)/T63)</f>
        <v>2.7304584834030955E-2</v>
      </c>
      <c r="X63" s="2">
        <f>ROUND(T63*(LEFT(Y63,5)+1),0)</f>
        <v>42214</v>
      </c>
      <c r="Y63" s="81" t="str">
        <f>TEXT('MYP Assumptions'!I75,"0.00%")&amp;", CPI"</f>
        <v>2.73%, CPI</v>
      </c>
      <c r="AA63" s="83">
        <f t="shared" ref="AA63:AA73" si="38">IF(X63=0,"0.00%",(AB63-X63)/X63)</f>
        <v>2.7289524802198324E-2</v>
      </c>
      <c r="AB63" s="2">
        <f>ROUND(X63*(LEFT(AC63,5)+1),0)</f>
        <v>43366</v>
      </c>
      <c r="AC63" s="81" t="str">
        <f>TEXT('MYP Assumptions'!J75,"0.00%")&amp;", CPI"</f>
        <v>2.73%, CPI</v>
      </c>
    </row>
    <row r="64" spans="1:29" x14ac:dyDescent="0.25">
      <c r="A64" s="152"/>
      <c r="B64" s="939">
        <v>4352</v>
      </c>
      <c r="C64" s="857" t="s">
        <v>324</v>
      </c>
      <c r="D64" s="2">
        <v>972.09</v>
      </c>
      <c r="E64" s="863"/>
      <c r="F64" s="2"/>
      <c r="G64" s="83">
        <f t="shared" si="33"/>
        <v>2.8711333312759074E-2</v>
      </c>
      <c r="H64" s="2">
        <v>1000</v>
      </c>
      <c r="I64" s="871"/>
      <c r="J64" s="66"/>
      <c r="K64" s="83">
        <f t="shared" si="34"/>
        <v>-0.5</v>
      </c>
      <c r="L64" s="2">
        <v>500</v>
      </c>
      <c r="M64" s="871"/>
      <c r="O64" s="83">
        <f t="shared" si="35"/>
        <v>0</v>
      </c>
      <c r="P64" s="2">
        <f t="shared" ref="P64:P69" si="39">+L64*(1-$P$62)</f>
        <v>500</v>
      </c>
      <c r="Q64" s="871"/>
      <c r="S64" s="83">
        <f t="shared" si="36"/>
        <v>2.8000000000000001E-2</v>
      </c>
      <c r="T64" s="2">
        <f t="shared" ref="T64:T72" si="40">ROUND(P64*(LEFT(U64,5)+1),0)</f>
        <v>514</v>
      </c>
      <c r="U64" s="81" t="str">
        <f>TEXT('MYP Assumptions'!H75,"0.00%")&amp;", CPI"</f>
        <v>2.73%, CPI</v>
      </c>
      <c r="W64" s="83">
        <f t="shared" si="37"/>
        <v>2.7237354085603113E-2</v>
      </c>
      <c r="X64" s="2">
        <f t="shared" ref="X64:X72" si="41">ROUND(T64*(LEFT(Y64,5)+1),0)</f>
        <v>528</v>
      </c>
      <c r="Y64" s="81" t="str">
        <f>TEXT('MYP Assumptions'!I75,"0.00%")&amp;", CPI"</f>
        <v>2.73%, CPI</v>
      </c>
      <c r="AA64" s="83">
        <f t="shared" si="38"/>
        <v>2.6515151515151516E-2</v>
      </c>
      <c r="AB64" s="2">
        <f t="shared" ref="AB64:AB72" si="42">ROUND(X64*(LEFT(AC64,5)+1),0)</f>
        <v>542</v>
      </c>
      <c r="AC64" s="81" t="str">
        <f>TEXT('MYP Assumptions'!J75,"0.00%")&amp;", CPI"</f>
        <v>2.73%, CPI</v>
      </c>
    </row>
    <row r="65" spans="1:29" x14ac:dyDescent="0.25">
      <c r="A65" s="152"/>
      <c r="B65" s="939">
        <v>4353</v>
      </c>
      <c r="C65" s="857" t="s">
        <v>428</v>
      </c>
      <c r="D65" s="2">
        <v>87.14</v>
      </c>
      <c r="E65" s="863"/>
      <c r="F65" s="2"/>
      <c r="G65" s="83">
        <f t="shared" si="33"/>
        <v>10.475786091347258</v>
      </c>
      <c r="H65" s="2">
        <v>1000</v>
      </c>
      <c r="I65" s="871"/>
      <c r="J65" s="66"/>
      <c r="K65" s="83">
        <f t="shared" si="34"/>
        <v>-0.25</v>
      </c>
      <c r="L65" s="2">
        <v>750</v>
      </c>
      <c r="M65" s="871"/>
      <c r="O65" s="83">
        <f t="shared" si="35"/>
        <v>0</v>
      </c>
      <c r="P65" s="2">
        <f t="shared" si="39"/>
        <v>750</v>
      </c>
      <c r="Q65" s="871"/>
      <c r="S65" s="83">
        <f t="shared" si="36"/>
        <v>2.6666666666666668E-2</v>
      </c>
      <c r="T65" s="2">
        <f t="shared" si="40"/>
        <v>770</v>
      </c>
      <c r="U65" s="81" t="str">
        <f>TEXT('MYP Assumptions'!H75,"0.00%")&amp;", CPI"</f>
        <v>2.73%, CPI</v>
      </c>
      <c r="W65" s="83">
        <f t="shared" si="37"/>
        <v>2.7272727272727271E-2</v>
      </c>
      <c r="X65" s="2">
        <f t="shared" si="41"/>
        <v>791</v>
      </c>
      <c r="Y65" s="81" t="str">
        <f>TEXT('MYP Assumptions'!I75,"0.00%")&amp;", CPI"</f>
        <v>2.73%, CPI</v>
      </c>
      <c r="AA65" s="83">
        <f t="shared" si="38"/>
        <v>2.7812895069532238E-2</v>
      </c>
      <c r="AB65" s="2">
        <f t="shared" si="42"/>
        <v>813</v>
      </c>
      <c r="AC65" s="81" t="str">
        <f>TEXT('MYP Assumptions'!J75,"0.00%")&amp;", CPI"</f>
        <v>2.73%, CPI</v>
      </c>
    </row>
    <row r="66" spans="1:29" x14ac:dyDescent="0.25">
      <c r="A66" s="152"/>
      <c r="B66" s="939">
        <v>4373</v>
      </c>
      <c r="C66" s="857" t="s">
        <v>429</v>
      </c>
      <c r="D66" s="2">
        <v>0</v>
      </c>
      <c r="E66" s="863"/>
      <c r="F66" s="2"/>
      <c r="G66" s="83" t="str">
        <f t="shared" si="33"/>
        <v>0.00%</v>
      </c>
      <c r="H66" s="2">
        <v>3000</v>
      </c>
      <c r="I66" s="871"/>
      <c r="J66" s="66"/>
      <c r="K66" s="83">
        <f t="shared" si="34"/>
        <v>0</v>
      </c>
      <c r="L66" s="2">
        <f t="shared" ref="L66:L69" si="43">+H66*(1-$L$62)</f>
        <v>3000</v>
      </c>
      <c r="M66" s="871"/>
      <c r="O66" s="83">
        <f t="shared" si="35"/>
        <v>0</v>
      </c>
      <c r="P66" s="2">
        <f t="shared" si="39"/>
        <v>3000</v>
      </c>
      <c r="Q66" s="871"/>
      <c r="S66" s="83">
        <f t="shared" si="36"/>
        <v>2.7333333333333334E-2</v>
      </c>
      <c r="T66" s="2">
        <f t="shared" si="40"/>
        <v>3082</v>
      </c>
      <c r="U66" s="81" t="str">
        <f>TEXT('MYP Assumptions'!H75,"0.00%")&amp;", CPI"</f>
        <v>2.73%, CPI</v>
      </c>
      <c r="W66" s="83">
        <f t="shared" si="37"/>
        <v>2.7255029201817001E-2</v>
      </c>
      <c r="X66" s="2">
        <f t="shared" si="41"/>
        <v>3166</v>
      </c>
      <c r="Y66" s="81" t="str">
        <f>TEXT('MYP Assumptions'!I75,"0.00%")&amp;", CPI"</f>
        <v>2.73%, CPI</v>
      </c>
      <c r="AA66" s="83">
        <f t="shared" si="38"/>
        <v>2.7163613392293114E-2</v>
      </c>
      <c r="AB66" s="2">
        <f t="shared" si="42"/>
        <v>3252</v>
      </c>
      <c r="AC66" s="81" t="str">
        <f>TEXT('MYP Assumptions'!J75,"0.00%")&amp;", CPI"</f>
        <v>2.73%, CPI</v>
      </c>
    </row>
    <row r="67" spans="1:29" x14ac:dyDescent="0.25">
      <c r="A67" s="152"/>
      <c r="B67" s="939">
        <v>4385</v>
      </c>
      <c r="C67" s="857" t="s">
        <v>430</v>
      </c>
      <c r="D67" s="2">
        <v>4096.3</v>
      </c>
      <c r="E67" s="863"/>
      <c r="F67" s="2"/>
      <c r="G67" s="83">
        <f t="shared" si="33"/>
        <v>1.6853501940775821</v>
      </c>
      <c r="H67" s="2">
        <v>11000</v>
      </c>
      <c r="I67" s="871"/>
      <c r="J67" s="66"/>
      <c r="K67" s="83">
        <f t="shared" si="34"/>
        <v>0</v>
      </c>
      <c r="L67" s="2">
        <f t="shared" si="43"/>
        <v>11000</v>
      </c>
      <c r="M67" s="871"/>
      <c r="O67" s="83">
        <f t="shared" si="35"/>
        <v>0</v>
      </c>
      <c r="P67" s="2">
        <f t="shared" si="39"/>
        <v>11000</v>
      </c>
      <c r="Q67" s="871"/>
      <c r="S67" s="83">
        <f t="shared" si="36"/>
        <v>2.7272727272727271E-2</v>
      </c>
      <c r="T67" s="2">
        <f t="shared" si="40"/>
        <v>11300</v>
      </c>
      <c r="U67" s="81" t="str">
        <f>TEXT('MYP Assumptions'!H75,"0.00%")&amp;", CPI"</f>
        <v>2.73%, CPI</v>
      </c>
      <c r="W67" s="83">
        <f t="shared" si="37"/>
        <v>2.7256637168141595E-2</v>
      </c>
      <c r="X67" s="2">
        <f t="shared" si="41"/>
        <v>11608</v>
      </c>
      <c r="Y67" s="81" t="str">
        <f>TEXT('MYP Assumptions'!I75,"0.00%")&amp;", CPI"</f>
        <v>2.73%, CPI</v>
      </c>
      <c r="AA67" s="83">
        <f t="shared" si="38"/>
        <v>2.7308752584424535E-2</v>
      </c>
      <c r="AB67" s="2">
        <f t="shared" si="42"/>
        <v>11925</v>
      </c>
      <c r="AC67" s="81" t="str">
        <f>TEXT('MYP Assumptions'!J75,"0.00%")&amp;", CPI"</f>
        <v>2.73%, CPI</v>
      </c>
    </row>
    <row r="68" spans="1:29" x14ac:dyDescent="0.25">
      <c r="A68" s="152"/>
      <c r="B68" s="939">
        <v>4387</v>
      </c>
      <c r="C68" s="857" t="s">
        <v>431</v>
      </c>
      <c r="D68" s="2">
        <v>51515.65</v>
      </c>
      <c r="E68" s="863"/>
      <c r="F68" s="2"/>
      <c r="G68" s="83">
        <f t="shared" si="33"/>
        <v>0.71792455302417801</v>
      </c>
      <c r="H68" s="2">
        <v>88500</v>
      </c>
      <c r="I68" s="871"/>
      <c r="J68" s="66"/>
      <c r="K68" s="83">
        <f t="shared" si="34"/>
        <v>0</v>
      </c>
      <c r="L68" s="2">
        <f t="shared" si="43"/>
        <v>88500</v>
      </c>
      <c r="M68" s="871"/>
      <c r="O68" s="83">
        <f t="shared" si="35"/>
        <v>0</v>
      </c>
      <c r="P68" s="2">
        <f t="shared" si="39"/>
        <v>88500</v>
      </c>
      <c r="Q68" s="871"/>
      <c r="S68" s="83">
        <f t="shared" si="36"/>
        <v>2.7299435028248588E-2</v>
      </c>
      <c r="T68" s="2">
        <f t="shared" si="40"/>
        <v>90916</v>
      </c>
      <c r="U68" s="81" t="str">
        <f>TEXT('MYP Assumptions'!H75,"0.00%")&amp;", CPI"</f>
        <v>2.73%, CPI</v>
      </c>
      <c r="W68" s="83">
        <f t="shared" si="37"/>
        <v>2.7299925205684368E-2</v>
      </c>
      <c r="X68" s="2">
        <f t="shared" si="41"/>
        <v>93398</v>
      </c>
      <c r="Y68" s="81" t="str">
        <f>TEXT('MYP Assumptions'!I75,"0.00%")&amp;", CPI"</f>
        <v>2.73%, CPI</v>
      </c>
      <c r="AA68" s="83">
        <f t="shared" si="38"/>
        <v>2.730251183108846E-2</v>
      </c>
      <c r="AB68" s="2">
        <f t="shared" si="42"/>
        <v>95948</v>
      </c>
      <c r="AC68" s="81" t="str">
        <f>TEXT('MYP Assumptions'!J75,"0.00%")&amp;", CPI"</f>
        <v>2.73%, CPI</v>
      </c>
    </row>
    <row r="69" spans="1:29" x14ac:dyDescent="0.25">
      <c r="A69" s="152"/>
      <c r="B69" s="939">
        <v>4400</v>
      </c>
      <c r="C69" s="857" t="s">
        <v>432</v>
      </c>
      <c r="D69" s="2">
        <v>10625.82</v>
      </c>
      <c r="E69" s="863"/>
      <c r="F69" s="2"/>
      <c r="G69" s="83">
        <f t="shared" si="33"/>
        <v>-0.66120261777444</v>
      </c>
      <c r="H69" s="2">
        <v>3600</v>
      </c>
      <c r="I69" s="871"/>
      <c r="J69" s="66"/>
      <c r="K69" s="83">
        <f t="shared" si="34"/>
        <v>0</v>
      </c>
      <c r="L69" s="2">
        <f t="shared" si="43"/>
        <v>3600</v>
      </c>
      <c r="M69" s="871"/>
      <c r="O69" s="83">
        <f t="shared" si="35"/>
        <v>0</v>
      </c>
      <c r="P69" s="2">
        <f t="shared" si="39"/>
        <v>3600</v>
      </c>
      <c r="Q69" s="871"/>
      <c r="S69" s="83"/>
      <c r="T69" s="2"/>
      <c r="U69" s="81"/>
      <c r="W69" s="83"/>
      <c r="X69" s="2"/>
      <c r="Y69" s="81"/>
      <c r="AA69" s="83"/>
      <c r="AB69" s="2"/>
      <c r="AC69" s="81"/>
    </row>
    <row r="70" spans="1:29" x14ac:dyDescent="0.25">
      <c r="A70" s="152"/>
      <c r="B70" s="939"/>
      <c r="E70" s="863"/>
      <c r="F70" s="2"/>
      <c r="G70" s="83"/>
      <c r="H70" s="2"/>
      <c r="I70" s="854"/>
      <c r="J70" s="66"/>
      <c r="K70" s="83"/>
      <c r="L70" s="2"/>
      <c r="M70" s="854"/>
      <c r="O70" s="83"/>
      <c r="Q70" s="854"/>
      <c r="S70" s="83"/>
      <c r="T70" s="2"/>
      <c r="U70" s="81"/>
      <c r="W70" s="83"/>
      <c r="X70" s="2"/>
      <c r="Y70" s="81"/>
      <c r="AA70" s="83"/>
      <c r="AB70" s="2"/>
      <c r="AC70" s="81"/>
    </row>
    <row r="71" spans="1:29" hidden="1" x14ac:dyDescent="0.25">
      <c r="A71" s="152"/>
      <c r="B71" s="939"/>
      <c r="E71" s="863"/>
      <c r="F71" s="2"/>
      <c r="G71" s="83" t="str">
        <f t="shared" si="33"/>
        <v>0.00%</v>
      </c>
      <c r="H71" s="2">
        <f t="shared" ref="H71:H72" si="44">ROUND(D71*(LEFT(I71,5)+1),0)</f>
        <v>0</v>
      </c>
      <c r="I71" s="854" t="str">
        <f>TEXT('MYP Assumptions'!$E$75,"0.00%")&amp;", CPI"</f>
        <v>3.42%, CPI</v>
      </c>
      <c r="J71" s="66"/>
      <c r="K71" s="83" t="str">
        <f t="shared" si="34"/>
        <v>0.00%</v>
      </c>
      <c r="L71" s="2">
        <f t="shared" ref="L71:L72" si="45">ROUND(H71*(LEFT(M71,5)+1),0)</f>
        <v>0</v>
      </c>
      <c r="M71" s="854" t="str">
        <f>TEXT('MYP Assumptions'!$F$75,"0.00%")&amp;", CPI"</f>
        <v>3.35%, CPI</v>
      </c>
      <c r="O71" s="83" t="str">
        <f t="shared" si="35"/>
        <v>0.00%</v>
      </c>
      <c r="P71" s="2">
        <f t="shared" ref="P71:P72" si="46">ROUND(L71*(LEFT(Q71,5)+1),0)</f>
        <v>0</v>
      </c>
      <c r="Q71" s="854" t="str">
        <f>TEXT('MYP Assumptions'!$G$75,"0.00%")&amp;", CPI"</f>
        <v>3.02%, CPI</v>
      </c>
      <c r="S71" s="83"/>
      <c r="T71" s="2"/>
      <c r="U71" s="81"/>
      <c r="W71" s="83"/>
      <c r="X71" s="2"/>
      <c r="Y71" s="81"/>
      <c r="AA71" s="83"/>
      <c r="AB71" s="2"/>
      <c r="AC71" s="81"/>
    </row>
    <row r="72" spans="1:29" hidden="1" x14ac:dyDescent="0.25">
      <c r="A72" s="152"/>
      <c r="B72" s="939"/>
      <c r="E72" s="863"/>
      <c r="F72" s="2"/>
      <c r="G72" s="83" t="str">
        <f t="shared" si="33"/>
        <v>0.00%</v>
      </c>
      <c r="H72" s="2">
        <f t="shared" si="44"/>
        <v>0</v>
      </c>
      <c r="I72" s="854" t="str">
        <f>TEXT('MYP Assumptions'!$E$75,"0.00%")&amp;", CPI"</f>
        <v>3.42%, CPI</v>
      </c>
      <c r="J72" s="66"/>
      <c r="K72" s="83" t="str">
        <f t="shared" si="34"/>
        <v>0.00%</v>
      </c>
      <c r="L72" s="2">
        <f t="shared" si="45"/>
        <v>0</v>
      </c>
      <c r="M72" s="854" t="str">
        <f>TEXT('MYP Assumptions'!$F$75,"0.00%")&amp;", CPI"</f>
        <v>3.35%, CPI</v>
      </c>
      <c r="O72" s="83" t="str">
        <f t="shared" si="35"/>
        <v>0.00%</v>
      </c>
      <c r="P72" s="2">
        <f t="shared" si="46"/>
        <v>0</v>
      </c>
      <c r="Q72" s="854" t="str">
        <f>TEXT('MYP Assumptions'!$G$75,"0.00%")&amp;", CPI"</f>
        <v>3.02%, CPI</v>
      </c>
      <c r="S72" s="83" t="str">
        <f t="shared" si="36"/>
        <v>0.00%</v>
      </c>
      <c r="T72" s="2">
        <f t="shared" si="40"/>
        <v>0</v>
      </c>
      <c r="U72" s="81" t="str">
        <f>TEXT('MYP Assumptions'!H75,"0.00%")&amp;", CPI"</f>
        <v>2.73%, CPI</v>
      </c>
      <c r="W72" s="83" t="str">
        <f t="shared" si="37"/>
        <v>0.00%</v>
      </c>
      <c r="X72" s="2">
        <f t="shared" si="41"/>
        <v>0</v>
      </c>
      <c r="Y72" s="81" t="str">
        <f>TEXT('MYP Assumptions'!I75,"0.00%")&amp;", CPI"</f>
        <v>2.73%, CPI</v>
      </c>
      <c r="AA72" s="83" t="str">
        <f t="shared" si="38"/>
        <v>0.00%</v>
      </c>
      <c r="AB72" s="2">
        <f t="shared" si="42"/>
        <v>0</v>
      </c>
      <c r="AC72" s="81" t="str">
        <f>TEXT('MYP Assumptions'!J75,"0.00%")&amp;", CPI"</f>
        <v>2.73%, CPI</v>
      </c>
    </row>
    <row r="73" spans="1:29" x14ac:dyDescent="0.25">
      <c r="A73" s="153"/>
      <c r="B73" s="857"/>
      <c r="D73" s="8">
        <f>SUM(D63:D72)</f>
        <v>94266.080000000016</v>
      </c>
      <c r="E73" s="863"/>
      <c r="F73" s="2"/>
      <c r="G73" s="83">
        <f t="shared" si="33"/>
        <v>0.66868082347329993</v>
      </c>
      <c r="H73" s="8">
        <f>SUM(H63:H72)</f>
        <v>157300</v>
      </c>
      <c r="I73" s="1292">
        <f>+H73-D73</f>
        <v>63033.919999999984</v>
      </c>
      <c r="J73" s="29"/>
      <c r="K73" s="83">
        <f t="shared" si="34"/>
        <v>-9.5041322314049589E-2</v>
      </c>
      <c r="L73" s="8">
        <f>SUM(L63:L72)</f>
        <v>142350</v>
      </c>
      <c r="M73" s="1292">
        <f>+L73-H73</f>
        <v>-14950</v>
      </c>
      <c r="O73" s="83">
        <f t="shared" si="35"/>
        <v>3.5124692658939236E-2</v>
      </c>
      <c r="P73" s="8">
        <f>SUM(P63:P72)</f>
        <v>147350</v>
      </c>
      <c r="Q73" s="1292">
        <f>+P73-L73</f>
        <v>5000</v>
      </c>
      <c r="S73" s="83">
        <f t="shared" si="36"/>
        <v>2.1988462843569733E-3</v>
      </c>
      <c r="T73" s="8">
        <f>SUM(T63:T72)</f>
        <v>147674</v>
      </c>
      <c r="U73" s="73"/>
      <c r="W73" s="83">
        <f t="shared" si="37"/>
        <v>2.7296612809296152E-2</v>
      </c>
      <c r="X73" s="8">
        <f>SUM(X63:X72)</f>
        <v>151705</v>
      </c>
      <c r="Y73" s="73"/>
      <c r="AA73" s="83">
        <f t="shared" si="38"/>
        <v>2.7296397613789922E-2</v>
      </c>
      <c r="AB73" s="8">
        <f>SUM(AB63:AB72)</f>
        <v>155846</v>
      </c>
      <c r="AC73" s="73"/>
    </row>
    <row r="74" spans="1:29" x14ac:dyDescent="0.25">
      <c r="A74" s="152"/>
      <c r="E74" s="863"/>
      <c r="F74" s="2"/>
      <c r="H74" s="2"/>
      <c r="I74" s="871"/>
      <c r="J74" s="66"/>
      <c r="L74" s="2"/>
      <c r="M74" s="948"/>
      <c r="Q74" s="948"/>
      <c r="T74" s="2"/>
      <c r="U74" s="73"/>
      <c r="X74" s="2"/>
      <c r="Y74" s="73"/>
      <c r="AB74" s="2"/>
      <c r="AC74" s="73"/>
    </row>
    <row r="75" spans="1:29" s="4" customFormat="1" x14ac:dyDescent="0.25">
      <c r="A75" s="150"/>
      <c r="B75" s="936" t="s">
        <v>16</v>
      </c>
      <c r="C75" s="873"/>
      <c r="D75" s="6"/>
      <c r="E75" s="864"/>
      <c r="F75" s="6"/>
      <c r="G75" s="373"/>
      <c r="H75" s="448"/>
      <c r="I75" s="871"/>
      <c r="J75" s="58"/>
      <c r="K75" s="380"/>
      <c r="L75" s="448"/>
      <c r="M75" s="871"/>
      <c r="O75" s="380"/>
      <c r="P75" s="6"/>
      <c r="Q75" s="950"/>
      <c r="R75" s="111"/>
      <c r="U75" s="71"/>
      <c r="Y75" s="71"/>
      <c r="AC75" s="71"/>
    </row>
    <row r="76" spans="1:29" x14ac:dyDescent="0.25">
      <c r="A76" s="152"/>
      <c r="B76" s="939">
        <v>5213</v>
      </c>
      <c r="C76" s="857" t="s">
        <v>933</v>
      </c>
      <c r="D76" s="2">
        <v>4061.89</v>
      </c>
      <c r="E76" s="863"/>
      <c r="F76" s="2"/>
      <c r="G76" s="83">
        <f t="shared" ref="G76:G84" si="47">IF(D76=0,"0.00%",(H76-D76)/D76)</f>
        <v>0.84643109488440116</v>
      </c>
      <c r="H76" s="2">
        <v>7500</v>
      </c>
      <c r="I76" s="871"/>
      <c r="J76" s="66"/>
      <c r="K76" s="83">
        <f t="shared" ref="K76:K95" si="48">IF(H76=0,"0.00%",(L76-H76)/H76)</f>
        <v>-0.66666666666666663</v>
      </c>
      <c r="L76" s="2">
        <v>2500</v>
      </c>
      <c r="M76" s="871"/>
      <c r="O76" s="83">
        <f t="shared" ref="O76:O95" si="49">IF(L76=0,"0.00%",(P76-L76)/L76)</f>
        <v>0</v>
      </c>
      <c r="P76" s="2">
        <f>+L76</f>
        <v>2500</v>
      </c>
      <c r="Q76" s="854"/>
      <c r="S76" s="83">
        <f t="shared" ref="S76:S95" si="50">IF(P76=0,"0.00%",(T76-P76)/P76)</f>
        <v>2.7199999999999998E-2</v>
      </c>
      <c r="T76" s="2">
        <f>ROUND(P76*(LEFT(U76,5)+1),0)</f>
        <v>2568</v>
      </c>
      <c r="U76" s="81" t="str">
        <f>TEXT('MYP Assumptions'!H75,"0.00%")&amp;", CPI"</f>
        <v>2.73%, CPI</v>
      </c>
      <c r="W76" s="83">
        <f t="shared" ref="W76:W95" si="51">IF(T76=0,"0.00%",(X76-T76)/T76)</f>
        <v>2.7258566978193146E-2</v>
      </c>
      <c r="X76" s="2">
        <f>ROUND(T76*(LEFT(Y76,5)+1),0)</f>
        <v>2638</v>
      </c>
      <c r="Y76" s="81" t="str">
        <f>TEXT('MYP Assumptions'!I75,"0.00%")&amp;", CPI"</f>
        <v>2.73%, CPI</v>
      </c>
      <c r="AA76" s="83">
        <f t="shared" ref="AA76:AA95" si="52">IF(X76=0,"0.00%",(AB76-X76)/X76)</f>
        <v>2.7293404094010616E-2</v>
      </c>
      <c r="AB76" s="2">
        <f>ROUND(X76*(LEFT(AC76,5)+1),0)</f>
        <v>2710</v>
      </c>
      <c r="AC76" s="81" t="str">
        <f>TEXT('MYP Assumptions'!J75,"0.00%")&amp;", CPI"</f>
        <v>2.73%, CPI</v>
      </c>
    </row>
    <row r="77" spans="1:29" x14ac:dyDescent="0.25">
      <c r="A77" s="152"/>
      <c r="B77" s="939">
        <v>5310</v>
      </c>
      <c r="C77" s="857" t="s">
        <v>932</v>
      </c>
      <c r="D77" s="2">
        <v>183.33</v>
      </c>
      <c r="E77" s="863"/>
      <c r="F77" s="2"/>
      <c r="G77" s="83">
        <f t="shared" si="47"/>
        <v>9.0928925980472294E-2</v>
      </c>
      <c r="H77" s="2">
        <v>200</v>
      </c>
      <c r="I77" s="871"/>
      <c r="J77" s="66"/>
      <c r="K77" s="83">
        <f>IF(H77=0,"0.00%",(L77-H77)/H77)</f>
        <v>0</v>
      </c>
      <c r="L77" s="2">
        <v>200</v>
      </c>
      <c r="M77" s="871"/>
      <c r="O77" s="83">
        <f t="shared" si="49"/>
        <v>0</v>
      </c>
      <c r="P77" s="2">
        <v>200</v>
      </c>
      <c r="Q77" s="854"/>
      <c r="S77" s="83"/>
      <c r="T77" s="2"/>
      <c r="U77" s="81"/>
      <c r="W77" s="83"/>
      <c r="X77" s="2"/>
      <c r="Y77" s="81"/>
      <c r="AA77" s="83"/>
      <c r="AB77" s="2"/>
      <c r="AC77" s="81"/>
    </row>
    <row r="78" spans="1:29" x14ac:dyDescent="0.25">
      <c r="A78" s="152"/>
      <c r="B78" s="939">
        <v>5450</v>
      </c>
      <c r="C78" s="857" t="s">
        <v>433</v>
      </c>
      <c r="D78" s="2">
        <v>0</v>
      </c>
      <c r="E78" s="863"/>
      <c r="F78" s="2"/>
      <c r="G78" s="83" t="str">
        <f t="shared" si="47"/>
        <v>0.00%</v>
      </c>
      <c r="H78" s="2">
        <v>0</v>
      </c>
      <c r="I78" s="854"/>
      <c r="J78" s="66"/>
      <c r="K78" s="83" t="str">
        <f t="shared" si="48"/>
        <v>0.00%</v>
      </c>
      <c r="L78" s="2">
        <v>2000</v>
      </c>
      <c r="M78" s="854"/>
      <c r="O78" s="83">
        <f t="shared" si="49"/>
        <v>0</v>
      </c>
      <c r="P78" s="2">
        <f t="shared" ref="P78:P92" si="53">+L78</f>
        <v>2000</v>
      </c>
      <c r="Q78" s="854"/>
      <c r="S78" s="83">
        <f t="shared" si="50"/>
        <v>2.75E-2</v>
      </c>
      <c r="T78" s="2">
        <f t="shared" ref="T78:T94" si="54">ROUND(P78*(LEFT(U78,5)+1),0)</f>
        <v>2055</v>
      </c>
      <c r="U78" s="81" t="str">
        <f>TEXT('MYP Assumptions'!H75,"0.00%")&amp;", CPI"</f>
        <v>2.73%, CPI</v>
      </c>
      <c r="W78" s="83">
        <f t="shared" si="51"/>
        <v>2.7250608272506083E-2</v>
      </c>
      <c r="X78" s="2">
        <f t="shared" ref="X78:X94" si="55">ROUND(T78*(LEFT(Y78,5)+1),0)</f>
        <v>2111</v>
      </c>
      <c r="Y78" s="81" t="str">
        <f>TEXT('MYP Assumptions'!I75,"0.00%")&amp;", CPI"</f>
        <v>2.73%, CPI</v>
      </c>
      <c r="AA78" s="83">
        <f t="shared" si="52"/>
        <v>2.7475130270014213E-2</v>
      </c>
      <c r="AB78" s="2">
        <f t="shared" ref="AB78:AB94" si="56">ROUND(X78*(LEFT(AC78,5)+1),0)</f>
        <v>2169</v>
      </c>
      <c r="AC78" s="81" t="str">
        <f>TEXT('MYP Assumptions'!J75,"0.00%")&amp;", CPI"</f>
        <v>2.73%, CPI</v>
      </c>
    </row>
    <row r="79" spans="1:29" x14ac:dyDescent="0.25">
      <c r="A79" s="152"/>
      <c r="B79" s="939">
        <v>5607</v>
      </c>
      <c r="C79" s="857" t="s">
        <v>329</v>
      </c>
      <c r="D79" s="2">
        <v>4499.6499999999996</v>
      </c>
      <c r="E79" s="863"/>
      <c r="F79" s="2"/>
      <c r="G79" s="83">
        <f t="shared" si="47"/>
        <v>1.9704532574755818</v>
      </c>
      <c r="H79" s="2">
        <v>13366</v>
      </c>
      <c r="I79" s="854"/>
      <c r="J79" s="66"/>
      <c r="K79" s="83">
        <f t="shared" si="48"/>
        <v>-0.25183300912763729</v>
      </c>
      <c r="L79" s="2">
        <v>10000</v>
      </c>
      <c r="M79" s="854"/>
      <c r="O79" s="83">
        <f t="shared" si="49"/>
        <v>0</v>
      </c>
      <c r="P79" s="2">
        <f t="shared" si="53"/>
        <v>10000</v>
      </c>
      <c r="Q79" s="854"/>
      <c r="S79" s="83">
        <f t="shared" si="50"/>
        <v>2.7300000000000001E-2</v>
      </c>
      <c r="T79" s="2">
        <f t="shared" si="54"/>
        <v>10273</v>
      </c>
      <c r="U79" s="81" t="str">
        <f>TEXT('MYP Assumptions'!H75,"0.00%")&amp;", CPI"</f>
        <v>2.73%, CPI</v>
      </c>
      <c r="W79" s="83">
        <f t="shared" si="51"/>
        <v>2.7255913559816995E-2</v>
      </c>
      <c r="X79" s="2">
        <f t="shared" si="55"/>
        <v>10553</v>
      </c>
      <c r="Y79" s="81" t="str">
        <f>TEXT('MYP Assumptions'!I75,"0.00%")&amp;", CPI"</f>
        <v>2.73%, CPI</v>
      </c>
      <c r="AA79" s="83">
        <f t="shared" si="52"/>
        <v>2.7290817776935469E-2</v>
      </c>
      <c r="AB79" s="2">
        <f t="shared" si="56"/>
        <v>10841</v>
      </c>
      <c r="AC79" s="81" t="str">
        <f>TEXT('MYP Assumptions'!J75,"0.00%")&amp;", CPI"</f>
        <v>2.73%, CPI</v>
      </c>
    </row>
    <row r="80" spans="1:29" x14ac:dyDescent="0.25">
      <c r="A80" s="152"/>
      <c r="B80" s="939">
        <v>5608</v>
      </c>
      <c r="C80" s="857" t="s">
        <v>434</v>
      </c>
      <c r="D80" s="2">
        <v>132.79</v>
      </c>
      <c r="E80" s="863"/>
      <c r="F80" s="2"/>
      <c r="G80" s="83">
        <f t="shared" si="47"/>
        <v>1.8917840198810154</v>
      </c>
      <c r="H80" s="2">
        <v>384</v>
      </c>
      <c r="I80" s="854"/>
      <c r="J80" s="66"/>
      <c r="K80" s="83">
        <f t="shared" si="48"/>
        <v>0</v>
      </c>
      <c r="L80" s="2">
        <f>+H80</f>
        <v>384</v>
      </c>
      <c r="M80" s="854"/>
      <c r="O80" s="83">
        <f t="shared" si="49"/>
        <v>0</v>
      </c>
      <c r="P80" s="2">
        <f t="shared" si="53"/>
        <v>384</v>
      </c>
      <c r="Q80" s="854"/>
      <c r="S80" s="83">
        <f t="shared" si="50"/>
        <v>2.6041666666666668E-2</v>
      </c>
      <c r="T80" s="2">
        <f t="shared" si="54"/>
        <v>394</v>
      </c>
      <c r="U80" s="81" t="str">
        <f>TEXT('MYP Assumptions'!H75,"0.00%")&amp;", CPI"</f>
        <v>2.73%, CPI</v>
      </c>
      <c r="W80" s="83">
        <f t="shared" si="51"/>
        <v>2.7918781725888325E-2</v>
      </c>
      <c r="X80" s="2">
        <f t="shared" si="55"/>
        <v>405</v>
      </c>
      <c r="Y80" s="81" t="str">
        <f>TEXT('MYP Assumptions'!I75,"0.00%")&amp;", CPI"</f>
        <v>2.73%, CPI</v>
      </c>
      <c r="AA80" s="83">
        <f t="shared" si="52"/>
        <v>2.7160493827160494E-2</v>
      </c>
      <c r="AB80" s="2">
        <f t="shared" si="56"/>
        <v>416</v>
      </c>
      <c r="AC80" s="81" t="str">
        <f>TEXT('MYP Assumptions'!J75,"0.00%")&amp;", CPI"</f>
        <v>2.73%, CPI</v>
      </c>
    </row>
    <row r="81" spans="1:29" x14ac:dyDescent="0.25">
      <c r="A81" s="152"/>
      <c r="B81" s="939">
        <v>5725</v>
      </c>
      <c r="C81" s="857" t="s">
        <v>424</v>
      </c>
      <c r="D81" s="2">
        <v>-28899.55</v>
      </c>
      <c r="E81" s="863"/>
      <c r="F81" s="2"/>
      <c r="G81" s="83">
        <f t="shared" si="47"/>
        <v>0.41234033055878039</v>
      </c>
      <c r="H81" s="2">
        <v>-40816</v>
      </c>
      <c r="I81" s="854"/>
      <c r="J81" s="66"/>
      <c r="K81" s="83">
        <f t="shared" si="48"/>
        <v>0</v>
      </c>
      <c r="L81" s="2">
        <f>+H81</f>
        <v>-40816</v>
      </c>
      <c r="M81" s="854"/>
      <c r="O81" s="83">
        <f t="shared" si="49"/>
        <v>0</v>
      </c>
      <c r="P81" s="2">
        <f t="shared" si="53"/>
        <v>-40816</v>
      </c>
      <c r="Q81" s="854"/>
      <c r="S81" s="83">
        <f t="shared" si="50"/>
        <v>2.7293218345746766E-2</v>
      </c>
      <c r="T81" s="2">
        <f t="shared" si="54"/>
        <v>-41930</v>
      </c>
      <c r="U81" s="81" t="str">
        <f>TEXT('MYP Assumptions'!H75,"0.00%")&amp;", CPI"</f>
        <v>2.73%, CPI</v>
      </c>
      <c r="W81" s="83">
        <f t="shared" si="51"/>
        <v>2.7307417123777725E-2</v>
      </c>
      <c r="X81" s="2">
        <f t="shared" si="55"/>
        <v>-43075</v>
      </c>
      <c r="Y81" s="81" t="str">
        <f>TEXT('MYP Assumptions'!I75,"0.00%")&amp;", CPI"</f>
        <v>2.73%, CPI</v>
      </c>
      <c r="AA81" s="83">
        <f t="shared" si="52"/>
        <v>2.7301218804410912E-2</v>
      </c>
      <c r="AB81" s="2">
        <f t="shared" si="56"/>
        <v>-44251</v>
      </c>
      <c r="AC81" s="81" t="str">
        <f>TEXT('MYP Assumptions'!J75,"0.00%")&amp;", CPI"</f>
        <v>2.73%, CPI</v>
      </c>
    </row>
    <row r="82" spans="1:29" x14ac:dyDescent="0.25">
      <c r="A82" s="152"/>
      <c r="B82" s="939">
        <v>5758</v>
      </c>
      <c r="C82" s="857" t="s">
        <v>934</v>
      </c>
      <c r="D82" s="2">
        <v>-1801.26</v>
      </c>
      <c r="E82" s="863"/>
      <c r="F82" s="2"/>
      <c r="G82" s="83">
        <f t="shared" si="47"/>
        <v>-0.9211662947048177</v>
      </c>
      <c r="H82" s="2">
        <v>-142</v>
      </c>
      <c r="I82" s="854"/>
      <c r="J82" s="66"/>
      <c r="K82" s="83">
        <f t="shared" si="48"/>
        <v>0</v>
      </c>
      <c r="L82" s="2">
        <f>+H82</f>
        <v>-142</v>
      </c>
      <c r="M82" s="854"/>
      <c r="O82" s="83">
        <f t="shared" si="49"/>
        <v>0</v>
      </c>
      <c r="P82" s="2">
        <f t="shared" si="53"/>
        <v>-142</v>
      </c>
      <c r="Q82" s="854"/>
      <c r="S82" s="83"/>
      <c r="T82" s="2"/>
      <c r="U82" s="81"/>
      <c r="W82" s="83"/>
      <c r="X82" s="2"/>
      <c r="Y82" s="81"/>
      <c r="AA82" s="83"/>
      <c r="AB82" s="2"/>
      <c r="AC82" s="81"/>
    </row>
    <row r="83" spans="1:29" x14ac:dyDescent="0.25">
      <c r="A83" s="152"/>
      <c r="B83" s="939">
        <v>5779</v>
      </c>
      <c r="C83" s="857" t="s">
        <v>435</v>
      </c>
      <c r="D83" s="2">
        <v>-30000</v>
      </c>
      <c r="E83" s="863"/>
      <c r="F83" s="2"/>
      <c r="G83" s="83">
        <f t="shared" si="47"/>
        <v>0</v>
      </c>
      <c r="H83" s="2">
        <v>-30000</v>
      </c>
      <c r="I83" s="854"/>
      <c r="J83" s="66"/>
      <c r="K83" s="83">
        <f t="shared" si="48"/>
        <v>0</v>
      </c>
      <c r="L83" s="2">
        <f>+H83</f>
        <v>-30000</v>
      </c>
      <c r="M83" s="854"/>
      <c r="O83" s="83">
        <f t="shared" si="49"/>
        <v>0</v>
      </c>
      <c r="P83" s="2">
        <f t="shared" si="53"/>
        <v>-30000</v>
      </c>
      <c r="Q83" s="854"/>
      <c r="S83" s="83">
        <f t="shared" si="50"/>
        <v>2.7300000000000001E-2</v>
      </c>
      <c r="T83" s="2">
        <f t="shared" si="54"/>
        <v>-30819</v>
      </c>
      <c r="U83" s="81" t="str">
        <f>TEXT('MYP Assumptions'!H75,"0.00%")&amp;", CPI"</f>
        <v>2.73%, CPI</v>
      </c>
      <c r="W83" s="83">
        <f t="shared" si="51"/>
        <v>2.7288361075959635E-2</v>
      </c>
      <c r="X83" s="2">
        <f t="shared" si="55"/>
        <v>-31660</v>
      </c>
      <c r="Y83" s="81" t="str">
        <f>TEXT('MYP Assumptions'!I75,"0.00%")&amp;", CPI"</f>
        <v>2.73%, CPI</v>
      </c>
      <c r="AA83" s="83">
        <f t="shared" si="52"/>
        <v>2.7289955780164243E-2</v>
      </c>
      <c r="AB83" s="2">
        <f t="shared" si="56"/>
        <v>-32524</v>
      </c>
      <c r="AC83" s="81" t="str">
        <f>TEXT('MYP Assumptions'!J75,"0.00%")&amp;", CPI"</f>
        <v>2.73%, CPI</v>
      </c>
    </row>
    <row r="84" spans="1:29" x14ac:dyDescent="0.25">
      <c r="A84" s="152"/>
      <c r="B84" s="939">
        <v>5807</v>
      </c>
      <c r="C84" s="857" t="s">
        <v>8</v>
      </c>
      <c r="D84" s="2">
        <v>1347.5</v>
      </c>
      <c r="E84" s="863"/>
      <c r="F84" s="2"/>
      <c r="G84" s="83">
        <f t="shared" si="47"/>
        <v>-0.44341372912801486</v>
      </c>
      <c r="H84" s="2">
        <v>750</v>
      </c>
      <c r="I84" s="854"/>
      <c r="J84" s="66"/>
      <c r="K84" s="83">
        <f t="shared" si="48"/>
        <v>0</v>
      </c>
      <c r="L84" s="2">
        <f>+H84</f>
        <v>750</v>
      </c>
      <c r="M84" s="854"/>
      <c r="O84" s="83">
        <f t="shared" si="49"/>
        <v>0</v>
      </c>
      <c r="P84" s="2">
        <f t="shared" si="53"/>
        <v>750</v>
      </c>
      <c r="Q84" s="854"/>
      <c r="S84" s="83"/>
      <c r="T84" s="2"/>
      <c r="U84" s="81"/>
      <c r="W84" s="83"/>
      <c r="X84" s="2"/>
      <c r="Y84" s="81"/>
      <c r="AA84" s="83"/>
      <c r="AB84" s="2"/>
      <c r="AC84" s="81"/>
    </row>
    <row r="85" spans="1:29" x14ac:dyDescent="0.25">
      <c r="A85" s="152"/>
      <c r="B85" s="939">
        <v>5809</v>
      </c>
      <c r="C85" s="857" t="s">
        <v>123</v>
      </c>
      <c r="D85" s="2">
        <v>2207.14</v>
      </c>
      <c r="E85" s="863"/>
      <c r="F85" s="2"/>
      <c r="G85" s="83">
        <f>IF(D85=0,"0.00%",(H85-D85)/D85)</f>
        <v>-0.77346248991908084</v>
      </c>
      <c r="H85" s="2">
        <v>500</v>
      </c>
      <c r="I85" s="854"/>
      <c r="J85" s="66"/>
      <c r="K85" s="83">
        <f t="shared" si="48"/>
        <v>-0.5</v>
      </c>
      <c r="L85" s="2">
        <v>250</v>
      </c>
      <c r="M85" s="854"/>
      <c r="O85" s="83">
        <f t="shared" si="49"/>
        <v>0</v>
      </c>
      <c r="P85" s="2">
        <f t="shared" si="53"/>
        <v>250</v>
      </c>
      <c r="Q85" s="854"/>
      <c r="S85" s="83">
        <f t="shared" si="50"/>
        <v>2.8000000000000001E-2</v>
      </c>
      <c r="T85" s="2">
        <f t="shared" si="54"/>
        <v>257</v>
      </c>
      <c r="U85" s="81" t="str">
        <f>TEXT('MYP Assumptions'!H75,"0.00%")&amp;", CPI"</f>
        <v>2.73%, CPI</v>
      </c>
      <c r="W85" s="83">
        <f t="shared" si="51"/>
        <v>2.7237354085603113E-2</v>
      </c>
      <c r="X85" s="2">
        <f t="shared" si="55"/>
        <v>264</v>
      </c>
      <c r="Y85" s="81" t="str">
        <f>TEXT('MYP Assumptions'!I75,"0.00%")&amp;", CPI"</f>
        <v>2.73%, CPI</v>
      </c>
      <c r="AA85" s="83">
        <f t="shared" si="52"/>
        <v>2.6515151515151516E-2</v>
      </c>
      <c r="AB85" s="2">
        <f t="shared" si="56"/>
        <v>271</v>
      </c>
      <c r="AC85" s="81" t="str">
        <f>TEXT('MYP Assumptions'!J75,"0.00%")&amp;", CPI"</f>
        <v>2.73%, CPI</v>
      </c>
    </row>
    <row r="86" spans="1:29" x14ac:dyDescent="0.25">
      <c r="A86" s="152"/>
      <c r="B86" s="939">
        <v>5810</v>
      </c>
      <c r="C86" s="857" t="s">
        <v>426</v>
      </c>
      <c r="D86" s="2">
        <v>95</v>
      </c>
      <c r="E86" s="863"/>
      <c r="F86" s="2"/>
      <c r="G86" s="83">
        <f t="shared" ref="G86:G95" si="57">IF(D86=0,"0.00%",(H86-D86)/D86)</f>
        <v>20.05263157894737</v>
      </c>
      <c r="H86" s="2">
        <v>2000</v>
      </c>
      <c r="I86" s="854"/>
      <c r="J86" s="66"/>
      <c r="K86" s="83">
        <f t="shared" si="48"/>
        <v>-0.5</v>
      </c>
      <c r="L86" s="2">
        <v>1000</v>
      </c>
      <c r="M86" s="854"/>
      <c r="O86" s="83">
        <f t="shared" si="49"/>
        <v>0</v>
      </c>
      <c r="P86" s="2">
        <f t="shared" si="53"/>
        <v>1000</v>
      </c>
      <c r="Q86" s="854"/>
      <c r="S86" s="83">
        <f t="shared" si="50"/>
        <v>2.7E-2</v>
      </c>
      <c r="T86" s="2">
        <f t="shared" si="54"/>
        <v>1027</v>
      </c>
      <c r="U86" s="81" t="str">
        <f>TEXT('MYP Assumptions'!H75,"0.00%")&amp;", CPI"</f>
        <v>2.73%, CPI</v>
      </c>
      <c r="W86" s="83">
        <f t="shared" si="51"/>
        <v>2.7263875365141188E-2</v>
      </c>
      <c r="X86" s="2">
        <f t="shared" si="55"/>
        <v>1055</v>
      </c>
      <c r="Y86" s="81" t="str">
        <f>TEXT('MYP Assumptions'!I75,"0.00%")&amp;", CPI"</f>
        <v>2.73%, CPI</v>
      </c>
      <c r="AA86" s="83">
        <f t="shared" si="52"/>
        <v>2.7488151658767772E-2</v>
      </c>
      <c r="AB86" s="2">
        <f t="shared" si="56"/>
        <v>1084</v>
      </c>
      <c r="AC86" s="81" t="str">
        <f>TEXT('MYP Assumptions'!J75,"0.00%")&amp;", CPI"</f>
        <v>2.73%, CPI</v>
      </c>
    </row>
    <row r="87" spans="1:29" x14ac:dyDescent="0.25">
      <c r="A87" s="152"/>
      <c r="B87" s="939">
        <v>5813</v>
      </c>
      <c r="C87" s="857" t="s">
        <v>6</v>
      </c>
      <c r="D87" s="2">
        <v>4811.37</v>
      </c>
      <c r="E87" s="863"/>
      <c r="F87" s="2"/>
      <c r="G87" s="83">
        <f t="shared" si="57"/>
        <v>-0.37647697017689347</v>
      </c>
      <c r="H87" s="2">
        <v>3000</v>
      </c>
      <c r="I87" s="854"/>
      <c r="J87" s="66"/>
      <c r="K87" s="83">
        <f t="shared" si="48"/>
        <v>-0.33333333333333331</v>
      </c>
      <c r="L87" s="2">
        <v>2000</v>
      </c>
      <c r="M87" s="854"/>
      <c r="O87" s="83">
        <f t="shared" si="49"/>
        <v>0</v>
      </c>
      <c r="P87" s="2">
        <f t="shared" si="53"/>
        <v>2000</v>
      </c>
      <c r="Q87" s="854"/>
      <c r="S87" s="83">
        <f t="shared" si="50"/>
        <v>2.75E-2</v>
      </c>
      <c r="T87" s="2">
        <f t="shared" si="54"/>
        <v>2055</v>
      </c>
      <c r="U87" s="81" t="str">
        <f>TEXT('MYP Assumptions'!H75,"0.00%")&amp;", CPI"</f>
        <v>2.73%, CPI</v>
      </c>
      <c r="W87" s="83">
        <f t="shared" si="51"/>
        <v>2.7250608272506083E-2</v>
      </c>
      <c r="X87" s="2">
        <f t="shared" si="55"/>
        <v>2111</v>
      </c>
      <c r="Y87" s="81" t="str">
        <f>TEXT('MYP Assumptions'!I75,"0.00%")&amp;", CPI"</f>
        <v>2.73%, CPI</v>
      </c>
      <c r="AA87" s="83">
        <f t="shared" si="52"/>
        <v>2.7475130270014213E-2</v>
      </c>
      <c r="AB87" s="2">
        <f t="shared" si="56"/>
        <v>2169</v>
      </c>
      <c r="AC87" s="81" t="str">
        <f>TEXT('MYP Assumptions'!J75,"0.00%")&amp;", CPI"</f>
        <v>2.73%, CPI</v>
      </c>
    </row>
    <row r="88" spans="1:29" x14ac:dyDescent="0.25">
      <c r="A88" s="152"/>
      <c r="B88" s="939">
        <v>5814</v>
      </c>
      <c r="C88" s="857" t="s">
        <v>4</v>
      </c>
      <c r="D88" s="2">
        <v>6050.93</v>
      </c>
      <c r="E88" s="863"/>
      <c r="F88" s="2"/>
      <c r="G88" s="83">
        <f t="shared" si="57"/>
        <v>1.6442216320466438</v>
      </c>
      <c r="H88" s="2">
        <v>16000</v>
      </c>
      <c r="I88" s="854"/>
      <c r="J88" s="66"/>
      <c r="K88" s="83">
        <f t="shared" si="48"/>
        <v>-0.5</v>
      </c>
      <c r="L88" s="2">
        <v>8000</v>
      </c>
      <c r="M88" s="854"/>
      <c r="O88" s="83">
        <f t="shared" si="49"/>
        <v>0</v>
      </c>
      <c r="P88" s="2">
        <f t="shared" si="53"/>
        <v>8000</v>
      </c>
      <c r="Q88" s="854"/>
      <c r="S88" s="83">
        <f t="shared" si="50"/>
        <v>2.725E-2</v>
      </c>
      <c r="T88" s="2">
        <f t="shared" si="54"/>
        <v>8218</v>
      </c>
      <c r="U88" s="81" t="str">
        <f>TEXT('MYP Assumptions'!H75,"0.00%")&amp;", CPI"</f>
        <v>2.73%, CPI</v>
      </c>
      <c r="W88" s="83">
        <f t="shared" si="51"/>
        <v>2.7257240204429302E-2</v>
      </c>
      <c r="X88" s="2">
        <f t="shared" si="55"/>
        <v>8442</v>
      </c>
      <c r="Y88" s="81" t="str">
        <f>TEXT('MYP Assumptions'!I75,"0.00%")&amp;", CPI"</f>
        <v>2.73%, CPI</v>
      </c>
      <c r="AA88" s="83">
        <f t="shared" si="52"/>
        <v>2.724472873726605E-2</v>
      </c>
      <c r="AB88" s="2">
        <f t="shared" si="56"/>
        <v>8672</v>
      </c>
      <c r="AC88" s="81" t="str">
        <f>TEXT('MYP Assumptions'!J75,"0.00%")&amp;", CPI"</f>
        <v>2.73%, CPI</v>
      </c>
    </row>
    <row r="89" spans="1:29" x14ac:dyDescent="0.25">
      <c r="A89" s="152"/>
      <c r="B89" s="939">
        <v>5817</v>
      </c>
      <c r="C89" s="857" t="s">
        <v>265</v>
      </c>
      <c r="D89" s="2">
        <v>0</v>
      </c>
      <c r="E89" s="863"/>
      <c r="F89" s="2"/>
      <c r="G89" s="83" t="str">
        <f t="shared" si="57"/>
        <v>0.00%</v>
      </c>
      <c r="H89" s="2">
        <v>1500</v>
      </c>
      <c r="I89" s="854"/>
      <c r="J89" s="66"/>
      <c r="K89" s="83">
        <f t="shared" si="48"/>
        <v>-0.33333333333333331</v>
      </c>
      <c r="L89" s="2">
        <v>1000</v>
      </c>
      <c r="M89" s="854"/>
      <c r="O89" s="83">
        <f t="shared" si="49"/>
        <v>0</v>
      </c>
      <c r="P89" s="2">
        <f t="shared" si="53"/>
        <v>1000</v>
      </c>
      <c r="Q89" s="854"/>
      <c r="S89" s="83">
        <f t="shared" si="50"/>
        <v>2.7E-2</v>
      </c>
      <c r="T89" s="2">
        <f t="shared" si="54"/>
        <v>1027</v>
      </c>
      <c r="U89" s="81" t="str">
        <f>TEXT('MYP Assumptions'!H75,"0.00%")&amp;", CPI"</f>
        <v>2.73%, CPI</v>
      </c>
      <c r="W89" s="83">
        <f t="shared" si="51"/>
        <v>2.7263875365141188E-2</v>
      </c>
      <c r="X89" s="2">
        <f t="shared" si="55"/>
        <v>1055</v>
      </c>
      <c r="Y89" s="81" t="str">
        <f>TEXT('MYP Assumptions'!I75,"0.00%")&amp;", CPI"</f>
        <v>2.73%, CPI</v>
      </c>
      <c r="AA89" s="83">
        <f t="shared" si="52"/>
        <v>2.7488151658767772E-2</v>
      </c>
      <c r="AB89" s="2">
        <f t="shared" si="56"/>
        <v>1084</v>
      </c>
      <c r="AC89" s="81" t="str">
        <f>TEXT('MYP Assumptions'!J75,"0.00%")&amp;", CPI"</f>
        <v>2.73%, CPI</v>
      </c>
    </row>
    <row r="90" spans="1:29" x14ac:dyDescent="0.25">
      <c r="A90" s="152"/>
      <c r="B90" s="939">
        <v>5845</v>
      </c>
      <c r="C90" s="857" t="s">
        <v>436</v>
      </c>
      <c r="D90" s="2">
        <v>500</v>
      </c>
      <c r="E90" s="863"/>
      <c r="F90" s="2"/>
      <c r="G90" s="83">
        <f t="shared" si="57"/>
        <v>3</v>
      </c>
      <c r="H90" s="2">
        <v>2000</v>
      </c>
      <c r="I90" s="854"/>
      <c r="J90" s="66"/>
      <c r="K90" s="83">
        <f t="shared" si="48"/>
        <v>-0.5</v>
      </c>
      <c r="L90" s="2">
        <v>1000</v>
      </c>
      <c r="M90" s="854"/>
      <c r="O90" s="83">
        <f t="shared" si="49"/>
        <v>0</v>
      </c>
      <c r="P90" s="2">
        <f t="shared" si="53"/>
        <v>1000</v>
      </c>
      <c r="Q90" s="854"/>
      <c r="S90" s="83">
        <f t="shared" si="50"/>
        <v>2.7E-2</v>
      </c>
      <c r="T90" s="2">
        <f t="shared" si="54"/>
        <v>1027</v>
      </c>
      <c r="U90" s="81" t="str">
        <f>TEXT('MYP Assumptions'!H75,"0.00%")&amp;", CPI"</f>
        <v>2.73%, CPI</v>
      </c>
      <c r="W90" s="83">
        <f t="shared" si="51"/>
        <v>2.7263875365141188E-2</v>
      </c>
      <c r="X90" s="2">
        <f t="shared" si="55"/>
        <v>1055</v>
      </c>
      <c r="Y90" s="81" t="str">
        <f>TEXT('MYP Assumptions'!I75,"0.00%")&amp;", CPI"</f>
        <v>2.73%, CPI</v>
      </c>
      <c r="AA90" s="83">
        <f t="shared" si="52"/>
        <v>2.7488151658767772E-2</v>
      </c>
      <c r="AB90" s="2">
        <f t="shared" si="56"/>
        <v>1084</v>
      </c>
      <c r="AC90" s="81" t="str">
        <f>TEXT('MYP Assumptions'!J75,"0.00%")&amp;", CPI"</f>
        <v>2.73%, CPI</v>
      </c>
    </row>
    <row r="91" spans="1:29" x14ac:dyDescent="0.25">
      <c r="A91" s="152"/>
      <c r="B91" s="939">
        <v>5902</v>
      </c>
      <c r="C91" s="857" t="s">
        <v>336</v>
      </c>
      <c r="D91" s="2">
        <v>177.04</v>
      </c>
      <c r="E91" s="863"/>
      <c r="F91" s="2"/>
      <c r="G91" s="83">
        <f t="shared" si="57"/>
        <v>-1</v>
      </c>
      <c r="H91" s="2">
        <v>0</v>
      </c>
      <c r="I91" s="854"/>
      <c r="J91" s="66"/>
      <c r="K91" s="83" t="str">
        <f t="shared" si="48"/>
        <v>0.00%</v>
      </c>
      <c r="L91" s="2">
        <v>0</v>
      </c>
      <c r="M91" s="854"/>
      <c r="O91" s="83" t="str">
        <f t="shared" si="49"/>
        <v>0.00%</v>
      </c>
      <c r="P91" s="2">
        <f t="shared" si="53"/>
        <v>0</v>
      </c>
      <c r="Q91" s="854"/>
      <c r="S91" s="83"/>
      <c r="T91" s="2"/>
      <c r="U91" s="81"/>
      <c r="W91" s="83"/>
      <c r="X91" s="2"/>
      <c r="Y91" s="81"/>
      <c r="AA91" s="83"/>
      <c r="AB91" s="2"/>
      <c r="AC91" s="81"/>
    </row>
    <row r="92" spans="1:29" x14ac:dyDescent="0.25">
      <c r="A92" s="152"/>
      <c r="B92" s="939">
        <v>5908</v>
      </c>
      <c r="C92" s="857" t="s">
        <v>337</v>
      </c>
      <c r="D92" s="2">
        <v>97.71</v>
      </c>
      <c r="E92" s="863"/>
      <c r="F92" s="2"/>
      <c r="G92" s="83">
        <f t="shared" si="57"/>
        <v>0.53515505066011682</v>
      </c>
      <c r="H92" s="2">
        <v>150</v>
      </c>
      <c r="I92" s="854"/>
      <c r="J92" s="66"/>
      <c r="K92" s="83">
        <f t="shared" si="48"/>
        <v>0</v>
      </c>
      <c r="L92" s="2">
        <f>+H92</f>
        <v>150</v>
      </c>
      <c r="M92" s="854"/>
      <c r="O92" s="83">
        <f t="shared" si="49"/>
        <v>0</v>
      </c>
      <c r="P92" s="2">
        <f t="shared" si="53"/>
        <v>150</v>
      </c>
      <c r="Q92" s="854"/>
      <c r="S92" s="83"/>
      <c r="T92" s="2"/>
      <c r="U92" s="81"/>
      <c r="W92" s="83"/>
      <c r="X92" s="2"/>
      <c r="Y92" s="81"/>
      <c r="AA92" s="83"/>
      <c r="AB92" s="2"/>
      <c r="AC92" s="81"/>
    </row>
    <row r="93" spans="1:29" hidden="1" x14ac:dyDescent="0.25">
      <c r="A93" s="152"/>
      <c r="B93" s="939"/>
      <c r="E93" s="863"/>
      <c r="F93" s="2"/>
      <c r="G93" s="83" t="str">
        <f t="shared" si="57"/>
        <v>0.00%</v>
      </c>
      <c r="H93" s="2">
        <f t="shared" ref="H93:H94" si="58">ROUND(D93*(LEFT(I93,5)+1),0)</f>
        <v>0</v>
      </c>
      <c r="I93" s="854" t="str">
        <f>TEXT('MYP Assumptions'!$E$75,"0.00%")&amp;", CPI"</f>
        <v>3.42%, CPI</v>
      </c>
      <c r="J93" s="66"/>
      <c r="K93" s="83" t="str">
        <f t="shared" si="48"/>
        <v>0.00%</v>
      </c>
      <c r="L93" s="2">
        <f t="shared" ref="L93" si="59">ROUND(H93*(LEFT(M93,5)+1),0)</f>
        <v>0</v>
      </c>
      <c r="M93" s="854" t="str">
        <f>TEXT('MYP Assumptions'!$F$75,"0.00%")&amp;", CPI"</f>
        <v>3.35%, CPI</v>
      </c>
      <c r="O93" s="83" t="str">
        <f t="shared" si="49"/>
        <v>0.00%</v>
      </c>
      <c r="P93" s="2">
        <f t="shared" ref="P93" si="60">ROUND(L93*(LEFT(Q93,5)+1),0)</f>
        <v>0</v>
      </c>
      <c r="Q93" s="854" t="str">
        <f>TEXT('MYP Assumptions'!$G$75,"0.00%")&amp;", CPI"</f>
        <v>3.02%, CPI</v>
      </c>
      <c r="S93" s="83"/>
      <c r="T93" s="2"/>
      <c r="U93" s="81"/>
      <c r="W93" s="83"/>
      <c r="X93" s="2"/>
      <c r="Y93" s="81"/>
      <c r="AA93" s="83"/>
      <c r="AB93" s="2"/>
      <c r="AC93" s="81"/>
    </row>
    <row r="94" spans="1:29" hidden="1" x14ac:dyDescent="0.25">
      <c r="A94" s="152"/>
      <c r="B94" s="939"/>
      <c r="D94" s="2">
        <f>'RS 3010-ALL'!AF80</f>
        <v>0</v>
      </c>
      <c r="E94" s="863"/>
      <c r="F94" s="2"/>
      <c r="G94" s="83" t="str">
        <f t="shared" si="57"/>
        <v>0.00%</v>
      </c>
      <c r="H94" s="2">
        <f t="shared" si="58"/>
        <v>0</v>
      </c>
      <c r="I94" s="854" t="str">
        <f>TEXT('MYP Assumptions'!$E$75,"0.00%")&amp;", CPI"</f>
        <v>3.42%, CPI</v>
      </c>
      <c r="J94" s="66"/>
      <c r="K94" s="83" t="str">
        <f t="shared" si="48"/>
        <v>0.00%</v>
      </c>
      <c r="L94" s="2">
        <f>ROUND(H94*(LEFT(M94,5)+1),0)</f>
        <v>0</v>
      </c>
      <c r="M94" s="854" t="str">
        <f>TEXT('MYP Assumptions'!$F$75,"0.00%")&amp;", CPI"</f>
        <v>3.35%, CPI</v>
      </c>
      <c r="O94" s="83" t="str">
        <f t="shared" si="49"/>
        <v>0.00%</v>
      </c>
      <c r="P94" s="2">
        <f>ROUND(L94*(LEFT(Q94,5)+1),0)</f>
        <v>0</v>
      </c>
      <c r="Q94" s="854" t="str">
        <f>TEXT('MYP Assumptions'!$G$75,"0.00%")&amp;", CPI"</f>
        <v>3.02%, CPI</v>
      </c>
      <c r="S94" s="83" t="str">
        <f t="shared" si="50"/>
        <v>0.00%</v>
      </c>
      <c r="T94" s="2">
        <f t="shared" si="54"/>
        <v>0</v>
      </c>
      <c r="U94" s="81" t="str">
        <f>TEXT('MYP Assumptions'!H75,"0.00%")&amp;", CPI"</f>
        <v>2.73%, CPI</v>
      </c>
      <c r="W94" s="83" t="str">
        <f t="shared" si="51"/>
        <v>0.00%</v>
      </c>
      <c r="X94" s="2">
        <f t="shared" si="55"/>
        <v>0</v>
      </c>
      <c r="Y94" s="81" t="str">
        <f>TEXT('MYP Assumptions'!I75,"0.00%")&amp;", CPI"</f>
        <v>2.73%, CPI</v>
      </c>
      <c r="AA94" s="83" t="str">
        <f t="shared" si="52"/>
        <v>0.00%</v>
      </c>
      <c r="AB94" s="2">
        <f t="shared" si="56"/>
        <v>0</v>
      </c>
      <c r="AC94" s="81" t="str">
        <f>TEXT('MYP Assumptions'!J75,"0.00%")&amp;", CPI"</f>
        <v>2.73%, CPI</v>
      </c>
    </row>
    <row r="95" spans="1:29" x14ac:dyDescent="0.25">
      <c r="A95" s="153"/>
      <c r="D95" s="8">
        <f>SUM(D76:D94)</f>
        <v>-36536.459999999992</v>
      </c>
      <c r="E95" s="863"/>
      <c r="F95" s="2"/>
      <c r="G95" s="83">
        <f t="shared" si="57"/>
        <v>-0.35385092042305122</v>
      </c>
      <c r="H95" s="8">
        <f>SUM(H76:H94)</f>
        <v>-23608</v>
      </c>
      <c r="I95" s="1292">
        <f>+H95-D95</f>
        <v>12928.459999999992</v>
      </c>
      <c r="J95" s="29"/>
      <c r="K95" s="83">
        <f t="shared" si="48"/>
        <v>0.76736699423924093</v>
      </c>
      <c r="L95" s="8">
        <f>SUM(L76:L94)</f>
        <v>-41724</v>
      </c>
      <c r="M95" s="1292">
        <f>+L95-H95</f>
        <v>-18116</v>
      </c>
      <c r="O95" s="83">
        <f t="shared" si="49"/>
        <v>0</v>
      </c>
      <c r="P95" s="8">
        <f>SUM(P76:P94)</f>
        <v>-41724</v>
      </c>
      <c r="Q95" s="1292">
        <f>+P95-L95</f>
        <v>0</v>
      </c>
      <c r="S95" s="83">
        <f t="shared" si="50"/>
        <v>5.0905953408110438E-2</v>
      </c>
      <c r="T95" s="8">
        <f>SUM(T76:T94)</f>
        <v>-43848</v>
      </c>
      <c r="U95" s="73"/>
      <c r="W95" s="83">
        <f t="shared" si="51"/>
        <v>2.7321656632001461E-2</v>
      </c>
      <c r="X95" s="8">
        <f>SUM(X76:X94)</f>
        <v>-45046</v>
      </c>
      <c r="Y95" s="73"/>
      <c r="AA95" s="83">
        <f t="shared" si="52"/>
        <v>2.7283221595702171E-2</v>
      </c>
      <c r="AB95" s="8">
        <f>SUM(AB76:AB94)</f>
        <v>-46275</v>
      </c>
      <c r="AC95" s="73"/>
    </row>
    <row r="96" spans="1:29" x14ac:dyDescent="0.25">
      <c r="A96" s="152"/>
      <c r="B96" s="936"/>
      <c r="E96" s="863"/>
      <c r="F96" s="2"/>
      <c r="G96" s="83"/>
      <c r="H96" s="2"/>
      <c r="I96" s="871"/>
      <c r="J96" s="66"/>
      <c r="L96" s="2"/>
      <c r="M96" s="948"/>
      <c r="Q96" s="948"/>
      <c r="T96" s="2"/>
      <c r="U96" s="73"/>
      <c r="X96" s="2"/>
      <c r="Y96" s="73"/>
      <c r="AB96" s="2"/>
      <c r="AC96" s="73"/>
    </row>
    <row r="97" spans="1:29" x14ac:dyDescent="0.25">
      <c r="A97" s="152"/>
      <c r="E97" s="863"/>
      <c r="F97" s="2"/>
      <c r="H97" s="2"/>
      <c r="I97" s="871"/>
      <c r="J97" s="66"/>
      <c r="L97" s="2"/>
      <c r="M97" s="948"/>
      <c r="Q97" s="948"/>
      <c r="T97" s="2"/>
      <c r="U97" s="73"/>
      <c r="X97" s="2"/>
      <c r="Y97" s="73"/>
      <c r="AB97" s="2"/>
      <c r="AC97" s="73"/>
    </row>
    <row r="98" spans="1:29" x14ac:dyDescent="0.25">
      <c r="A98" s="153"/>
      <c r="B98" s="936" t="s">
        <v>0</v>
      </c>
      <c r="D98" s="8">
        <f>SUM(D95,D73,D59,D13)</f>
        <v>837575.64</v>
      </c>
      <c r="E98" s="863"/>
      <c r="F98" s="2"/>
      <c r="G98" s="83">
        <f>IF(D98=0,"0.00%",(H98-D98)/D98)</f>
        <v>0.16558666868582755</v>
      </c>
      <c r="H98" s="8">
        <f>SUM(H95,H73,H59,H13)</f>
        <v>976267</v>
      </c>
      <c r="I98" s="1292">
        <f>+H98-D98</f>
        <v>138691.35999999999</v>
      </c>
      <c r="J98" s="29"/>
      <c r="K98" s="83">
        <f>IF(H98=0,"0.00%",(L98-H98)/H98)</f>
        <v>-1.6849898644530645E-3</v>
      </c>
      <c r="L98" s="8">
        <f>SUM(L95,L73,L59,L13)</f>
        <v>974622</v>
      </c>
      <c r="M98" s="1292">
        <f>+L98-H98</f>
        <v>-1645</v>
      </c>
      <c r="O98" s="83">
        <f>IF(L98=0,"0.00%",(P98-L98)/L98)</f>
        <v>3.9844165225082134E-2</v>
      </c>
      <c r="P98" s="8">
        <f>SUM(P95,P73,P59,P13)</f>
        <v>1013455</v>
      </c>
      <c r="Q98" s="1292">
        <f>+P98-L98</f>
        <v>38833</v>
      </c>
      <c r="S98" s="83">
        <f>IF(P98=0,"0.00%",(T98-P98)/P98)</f>
        <v>-4.5922117903606965E-2</v>
      </c>
      <c r="T98" s="8">
        <f>SUM(T95,T73,T59,T13)</f>
        <v>966915</v>
      </c>
      <c r="U98" s="73"/>
      <c r="W98" s="83">
        <f>IF(T98=0,"0.00%",(X98-T98)/T98)</f>
        <v>3.3179752098167883E-2</v>
      </c>
      <c r="X98" s="8">
        <f>SUM(X95,X73,X59,X13)</f>
        <v>998997</v>
      </c>
      <c r="Y98" s="73"/>
      <c r="AA98" s="83">
        <f>IF(X98=0,"0.00%",(AB98-X98)/X98)</f>
        <v>3.0080170410922154E-2</v>
      </c>
      <c r="AB98" s="8">
        <f>SUM(AB95,AB73,AB59,AB13)</f>
        <v>1029047</v>
      </c>
      <c r="AC98" s="73"/>
    </row>
    <row r="99" spans="1:29" x14ac:dyDescent="0.25">
      <c r="A99" s="152"/>
      <c r="E99" s="863"/>
      <c r="F99" s="2"/>
      <c r="H99" s="2"/>
      <c r="I99" s="871"/>
      <c r="J99" s="66"/>
      <c r="L99" s="2"/>
      <c r="M99" s="948"/>
      <c r="Q99" s="948"/>
      <c r="T99" s="2"/>
      <c r="U99" s="73"/>
      <c r="X99" s="2"/>
      <c r="Y99" s="73"/>
      <c r="AB99" s="2"/>
      <c r="AC99" s="73"/>
    </row>
    <row r="100" spans="1:29" x14ac:dyDescent="0.25">
      <c r="A100" s="152"/>
      <c r="B100" s="936" t="s">
        <v>138</v>
      </c>
      <c r="D100" s="3">
        <f>D11-D98</f>
        <v>-2095.1999999999534</v>
      </c>
      <c r="G100" s="83">
        <f>IF(D100=0,"0.00%",(H100-D100)/D100)</f>
        <v>7.2373997709051086</v>
      </c>
      <c r="H100" s="3">
        <f>H11-H98</f>
        <v>-17259</v>
      </c>
      <c r="I100" s="871"/>
      <c r="J100" s="66"/>
      <c r="K100" s="83">
        <f>IF(H100=0,"0.00%",(L100-H100)/H100)</f>
        <v>-2</v>
      </c>
      <c r="L100" s="3">
        <f>L11-L98</f>
        <v>17259</v>
      </c>
      <c r="M100" s="948"/>
      <c r="O100" s="83">
        <f>IF(L100=0,"0.00%",(P100-L100)/L100)</f>
        <v>-1</v>
      </c>
      <c r="P100" s="3">
        <f>P11-P98</f>
        <v>0</v>
      </c>
      <c r="Q100" s="948"/>
      <c r="S100" s="83" t="str">
        <f>IF(P100=0,"0.00%",(T100-P100)/P100)</f>
        <v>0.00%</v>
      </c>
      <c r="T100" s="3">
        <f>T11-T98</f>
        <v>-966915</v>
      </c>
      <c r="U100" s="73"/>
      <c r="W100" s="83">
        <f>IF(T100=0,"0.00%",(X100-T100)/T100)</f>
        <v>3.3179752098167883E-2</v>
      </c>
      <c r="X100" s="3">
        <f>X11-X98</f>
        <v>-998997</v>
      </c>
      <c r="Y100" s="73"/>
      <c r="AA100" s="83">
        <f>IF(X100=0,"0.00%",(AB100-X100)/X100)</f>
        <v>3.0080170410922154E-2</v>
      </c>
      <c r="AB100" s="3">
        <f>AB11-AB98</f>
        <v>-1029047</v>
      </c>
      <c r="AC100" s="73"/>
    </row>
    <row r="101" spans="1:29" x14ac:dyDescent="0.25">
      <c r="B101" s="936"/>
      <c r="C101" s="930"/>
      <c r="D101" s="3"/>
      <c r="H101" s="3"/>
      <c r="I101" s="871"/>
      <c r="J101" s="66"/>
      <c r="L101" s="3"/>
      <c r="M101" s="948"/>
      <c r="P101" s="3"/>
      <c r="Q101" s="948"/>
      <c r="T101" s="44"/>
      <c r="U101" s="73"/>
      <c r="X101" s="44"/>
      <c r="Y101" s="73"/>
      <c r="AB101" s="44"/>
      <c r="AC101" s="73"/>
    </row>
    <row r="102" spans="1:29" x14ac:dyDescent="0.25">
      <c r="B102" s="936" t="s">
        <v>136</v>
      </c>
      <c r="C102" s="932"/>
      <c r="D102" s="3">
        <f>D7+D100</f>
        <v>4.638422979041934E-11</v>
      </c>
      <c r="G102" s="83">
        <f>IF(D102=0,"0.00%",(H102-D102)/D102)</f>
        <v>-372087670270313.44</v>
      </c>
      <c r="H102" s="3">
        <f>H7+H100</f>
        <v>-17258.999999999953</v>
      </c>
      <c r="I102" s="1292">
        <f>+H102-D102</f>
        <v>-17259</v>
      </c>
      <c r="J102" s="66"/>
      <c r="K102" s="83"/>
      <c r="L102" s="3">
        <f>L7+L100</f>
        <v>4.7293724492192268E-11</v>
      </c>
      <c r="M102" s="1292">
        <f>+L102-H102</f>
        <v>17259</v>
      </c>
      <c r="O102" s="83">
        <f>IF(L102=0,"0.00%",(P102-L102)/L102)</f>
        <v>0</v>
      </c>
      <c r="P102" s="3">
        <f>P7+P100</f>
        <v>4.7293724492192268E-11</v>
      </c>
      <c r="Q102" s="1292">
        <f>+P102-L102</f>
        <v>0</v>
      </c>
      <c r="S102" s="83">
        <f>IF(P102=0,"0.00%",(T102-P102)/P102)</f>
        <v>-2.0444890107135212E+16</v>
      </c>
      <c r="T102" s="49">
        <f>T7+T100</f>
        <v>-966915</v>
      </c>
      <c r="U102" s="73"/>
      <c r="W102" s="83">
        <f>IF(T102=0,"0.00%",(X102-T102)/T102)</f>
        <v>1.0331797520981678</v>
      </c>
      <c r="X102" s="49">
        <f>X7+X100</f>
        <v>-1965912</v>
      </c>
      <c r="Y102" s="73"/>
      <c r="AA102" s="83">
        <f>IF(X102=0,"0.00%",(AB102-X102)/X102)</f>
        <v>0.52344509825465224</v>
      </c>
      <c r="AB102" s="49">
        <f>AB7+AB100</f>
        <v>-2994959</v>
      </c>
      <c r="AC102" s="73"/>
    </row>
    <row r="103" spans="1:29" x14ac:dyDescent="0.25">
      <c r="C103" s="873"/>
      <c r="G103" s="374"/>
      <c r="H103" s="5"/>
      <c r="I103" s="872"/>
      <c r="J103" s="29"/>
      <c r="L103" s="5"/>
      <c r="M103" s="948"/>
      <c r="P103" s="5"/>
      <c r="Q103" s="948"/>
      <c r="T103" s="5"/>
      <c r="U103" s="73"/>
      <c r="X103" s="5"/>
      <c r="Y103" s="73"/>
      <c r="AB103" s="5"/>
      <c r="AC103" s="73"/>
    </row>
    <row r="104" spans="1:29" x14ac:dyDescent="0.25">
      <c r="C104" s="868"/>
      <c r="G104" s="374"/>
      <c r="H104" s="36"/>
      <c r="I104" s="871"/>
      <c r="J104" s="66"/>
      <c r="L104" s="2"/>
      <c r="M104" s="948"/>
      <c r="Q104" s="948"/>
      <c r="T104" s="2"/>
      <c r="U104" s="73"/>
      <c r="X104" s="2"/>
      <c r="Y104" s="73"/>
      <c r="AB104" s="2"/>
      <c r="AC104" s="73"/>
    </row>
    <row r="105" spans="1:29" x14ac:dyDescent="0.25">
      <c r="C105" s="868"/>
      <c r="G105" s="374"/>
      <c r="H105" s="36"/>
      <c r="I105" s="871"/>
      <c r="J105" s="66"/>
      <c r="L105" s="2"/>
      <c r="M105" s="948"/>
      <c r="Q105" s="948"/>
      <c r="T105" s="2"/>
      <c r="U105" s="73"/>
      <c r="X105" s="2"/>
      <c r="Y105" s="73"/>
      <c r="AB105" s="2"/>
      <c r="AC105" s="73"/>
    </row>
    <row r="106" spans="1:29" x14ac:dyDescent="0.25">
      <c r="C106" s="868"/>
      <c r="G106" s="374"/>
      <c r="H106" s="36"/>
      <c r="I106" s="871"/>
      <c r="J106" s="66"/>
      <c r="L106" s="2"/>
      <c r="M106" s="948"/>
      <c r="Q106" s="948"/>
      <c r="T106" s="2"/>
      <c r="U106" s="73"/>
      <c r="X106" s="2"/>
      <c r="Y106" s="73"/>
      <c r="AB106" s="2"/>
      <c r="AC106" s="73"/>
    </row>
    <row r="107" spans="1:29" x14ac:dyDescent="0.25">
      <c r="C107" s="868"/>
      <c r="G107" s="374"/>
      <c r="H107" s="36"/>
      <c r="I107" s="871"/>
      <c r="J107" s="66"/>
      <c r="L107" s="2"/>
      <c r="M107" s="948"/>
      <c r="Q107" s="948"/>
      <c r="T107" s="2"/>
      <c r="U107" s="73"/>
      <c r="X107" s="2"/>
      <c r="Y107" s="73"/>
      <c r="AB107" s="2"/>
      <c r="AC107" s="73"/>
    </row>
    <row r="108" spans="1:29" s="137" customFormat="1" ht="11.25" x14ac:dyDescent="0.2">
      <c r="A108" s="156"/>
      <c r="B108" s="942"/>
      <c r="C108" s="943" t="s">
        <v>223</v>
      </c>
      <c r="D108" s="134">
        <f>+D95+D73+D57+D45+D32</f>
        <v>837575.64000000013</v>
      </c>
      <c r="E108" s="865"/>
      <c r="G108" s="133" t="s">
        <v>223</v>
      </c>
      <c r="H108" s="134">
        <f>+H95+H73+H57+H45+H32</f>
        <v>976267</v>
      </c>
      <c r="I108" s="874"/>
      <c r="J108" s="135"/>
      <c r="K108" s="133" t="s">
        <v>223</v>
      </c>
      <c r="L108" s="134">
        <f>+L95+L73+L57+L45+L32</f>
        <v>974622</v>
      </c>
      <c r="M108" s="951"/>
      <c r="O108" s="133" t="s">
        <v>223</v>
      </c>
      <c r="P108" s="134">
        <f>+P95+P73+P57+P45+P32</f>
        <v>1013455</v>
      </c>
      <c r="Q108" s="951"/>
      <c r="R108" s="139"/>
      <c r="S108" s="133" t="s">
        <v>223</v>
      </c>
      <c r="T108" s="134">
        <f>+T95+T73+T57+T45+T32</f>
        <v>966915</v>
      </c>
      <c r="U108" s="138"/>
      <c r="W108" s="133" t="s">
        <v>223</v>
      </c>
      <c r="X108" s="134">
        <f>+X95+X73+X57+X45+X32</f>
        <v>998997</v>
      </c>
      <c r="Y108" s="138"/>
      <c r="AA108" s="133" t="s">
        <v>223</v>
      </c>
      <c r="AB108" s="134">
        <f>+AB95+AB73+AB57+AB45+AB32</f>
        <v>1029047</v>
      </c>
      <c r="AC108" s="138"/>
    </row>
    <row r="109" spans="1:29" s="137" customFormat="1" ht="11.25" x14ac:dyDescent="0.2">
      <c r="A109" s="158"/>
      <c r="B109" s="942"/>
      <c r="C109" s="944" t="s">
        <v>224</v>
      </c>
      <c r="D109" s="142">
        <f>+D13</f>
        <v>0</v>
      </c>
      <c r="E109" s="866"/>
      <c r="F109" s="144"/>
      <c r="G109" s="375" t="s">
        <v>224</v>
      </c>
      <c r="H109" s="142">
        <f>+H13</f>
        <v>0</v>
      </c>
      <c r="I109" s="875"/>
      <c r="J109" s="143"/>
      <c r="K109" s="375" t="s">
        <v>224</v>
      </c>
      <c r="L109" s="142">
        <f>+L13</f>
        <v>0</v>
      </c>
      <c r="M109" s="951"/>
      <c r="O109" s="375" t="s">
        <v>224</v>
      </c>
      <c r="P109" s="142">
        <f>+P13</f>
        <v>0</v>
      </c>
      <c r="Q109" s="865"/>
      <c r="R109" s="139"/>
      <c r="S109" s="141" t="s">
        <v>224</v>
      </c>
      <c r="T109" s="142">
        <f>+T13</f>
        <v>0</v>
      </c>
      <c r="W109" s="141" t="s">
        <v>224</v>
      </c>
      <c r="X109" s="142">
        <f>+X13</f>
        <v>0</v>
      </c>
      <c r="AA109" s="141" t="s">
        <v>224</v>
      </c>
      <c r="AB109" s="142">
        <f>+AB13</f>
        <v>0</v>
      </c>
    </row>
    <row r="110" spans="1:29" s="137" customFormat="1" ht="11.25" x14ac:dyDescent="0.2">
      <c r="A110" s="158"/>
      <c r="B110" s="942"/>
      <c r="C110" s="944"/>
      <c r="D110" s="145">
        <f>+D108+D109</f>
        <v>837575.64000000013</v>
      </c>
      <c r="E110" s="866"/>
      <c r="F110" s="144"/>
      <c r="G110" s="375"/>
      <c r="H110" s="145">
        <f>+H108+H109</f>
        <v>976267</v>
      </c>
      <c r="I110" s="875"/>
      <c r="J110" s="143"/>
      <c r="K110" s="375"/>
      <c r="L110" s="145">
        <f>+L108+L109</f>
        <v>974622</v>
      </c>
      <c r="M110" s="865"/>
      <c r="O110" s="375"/>
      <c r="P110" s="145">
        <f>+P108+P109</f>
        <v>1013455</v>
      </c>
      <c r="Q110" s="865"/>
      <c r="R110" s="139"/>
      <c r="S110" s="141"/>
      <c r="T110" s="145">
        <f>+T108+T109</f>
        <v>966915</v>
      </c>
      <c r="W110" s="141"/>
      <c r="X110" s="145">
        <f>+X108+X109</f>
        <v>998997</v>
      </c>
      <c r="AA110" s="141"/>
      <c r="AB110" s="145">
        <f>+AB108+AB109</f>
        <v>1029047</v>
      </c>
    </row>
    <row r="111" spans="1:29" ht="15" customHeight="1" x14ac:dyDescent="0.25">
      <c r="A111" s="152"/>
      <c r="B111" s="945"/>
      <c r="C111" s="945"/>
      <c r="D111" s="5">
        <f>+D98-D110</f>
        <v>0</v>
      </c>
      <c r="E111" s="863"/>
      <c r="F111" s="2"/>
      <c r="G111" s="376"/>
      <c r="H111" s="5">
        <f>+H98-H110</f>
        <v>0</v>
      </c>
      <c r="K111" s="376"/>
      <c r="L111" s="5">
        <f>+L98-L110</f>
        <v>0</v>
      </c>
      <c r="O111" s="376"/>
      <c r="P111" s="5">
        <f>+P98-P110</f>
        <v>0</v>
      </c>
      <c r="S111" s="103"/>
      <c r="T111" s="5">
        <f>+T98-T110</f>
        <v>0</v>
      </c>
      <c r="W111" s="103"/>
      <c r="X111" s="5">
        <f>+X98-X110</f>
        <v>0</v>
      </c>
      <c r="AA111" s="103"/>
      <c r="AB111" s="5">
        <f>+AB98-AB110</f>
        <v>0</v>
      </c>
    </row>
    <row r="112" spans="1:29" x14ac:dyDescent="0.25">
      <c r="A112" s="152"/>
      <c r="B112" s="945"/>
      <c r="C112" s="945"/>
      <c r="D112" s="36"/>
      <c r="E112" s="863"/>
      <c r="F112" s="2"/>
    </row>
    <row r="113" spans="1:6" x14ac:dyDescent="0.25">
      <c r="A113" s="152"/>
      <c r="B113" s="932"/>
      <c r="C113" s="868"/>
      <c r="D113" s="25"/>
      <c r="E113" s="863"/>
      <c r="F113" s="2"/>
    </row>
    <row r="114" spans="1:6" x14ac:dyDescent="0.25">
      <c r="B114" s="932"/>
      <c r="C114" s="868"/>
      <c r="D114" s="36"/>
    </row>
    <row r="115" spans="1:6" x14ac:dyDescent="0.25">
      <c r="B115" s="932"/>
      <c r="C115" s="868"/>
      <c r="D115" s="36"/>
    </row>
    <row r="116" spans="1:6" ht="15" customHeight="1" x14ac:dyDescent="0.25">
      <c r="B116" s="932"/>
      <c r="C116" s="868"/>
      <c r="D116" s="36"/>
    </row>
    <row r="117" spans="1:6" x14ac:dyDescent="0.25">
      <c r="B117" s="932"/>
      <c r="C117" s="868"/>
      <c r="D117" s="36"/>
    </row>
    <row r="118" spans="1:6" x14ac:dyDescent="0.25">
      <c r="B118" s="932"/>
      <c r="C118" s="868"/>
      <c r="D118" s="36"/>
    </row>
    <row r="119" spans="1:6" ht="15" customHeight="1" x14ac:dyDescent="0.25">
      <c r="B119" s="2209"/>
      <c r="C119" s="2209"/>
      <c r="D119" s="36"/>
    </row>
    <row r="120" spans="1:6" x14ac:dyDescent="0.25">
      <c r="B120" s="2209"/>
      <c r="C120" s="2209"/>
      <c r="D120" s="36"/>
    </row>
    <row r="121" spans="1:6" x14ac:dyDescent="0.25">
      <c r="B121" s="932"/>
      <c r="C121" s="868"/>
      <c r="D121" s="6"/>
    </row>
    <row r="122" spans="1:6" x14ac:dyDescent="0.25">
      <c r="B122" s="932"/>
      <c r="C122" s="868"/>
      <c r="D122" s="36"/>
    </row>
    <row r="123" spans="1:6" x14ac:dyDescent="0.25">
      <c r="B123" s="932"/>
      <c r="C123" s="868"/>
      <c r="D123" s="36"/>
    </row>
    <row r="124" spans="1:6" ht="28.5" customHeight="1" x14ac:dyDescent="0.25">
      <c r="B124" s="932"/>
      <c r="C124" s="868"/>
      <c r="D124" s="25"/>
    </row>
    <row r="125" spans="1:6" x14ac:dyDescent="0.25">
      <c r="B125" s="932"/>
      <c r="C125" s="868"/>
      <c r="D125" s="36"/>
    </row>
    <row r="126" spans="1:6" x14ac:dyDescent="0.25">
      <c r="B126" s="932"/>
      <c r="C126" s="868"/>
      <c r="D126" s="36"/>
    </row>
    <row r="127" spans="1:6" x14ac:dyDescent="0.25">
      <c r="B127" s="932"/>
      <c r="C127" s="868"/>
      <c r="D127" s="36"/>
    </row>
    <row r="128" spans="1:6" x14ac:dyDescent="0.25">
      <c r="B128" s="932"/>
      <c r="C128" s="868"/>
      <c r="D128" s="36"/>
    </row>
    <row r="129" spans="2:4" x14ac:dyDescent="0.25">
      <c r="B129" s="932"/>
      <c r="C129" s="868"/>
      <c r="D129" s="36"/>
    </row>
    <row r="130" spans="2:4" x14ac:dyDescent="0.25">
      <c r="B130" s="932"/>
      <c r="C130" s="868"/>
      <c r="D130" s="36"/>
    </row>
    <row r="131" spans="2:4" x14ac:dyDescent="0.25">
      <c r="B131" s="932"/>
      <c r="C131" s="868"/>
      <c r="D131" s="36"/>
    </row>
    <row r="132" spans="2:4" x14ac:dyDescent="0.25">
      <c r="B132" s="932"/>
      <c r="C132" s="868"/>
      <c r="D132" s="36"/>
    </row>
    <row r="133" spans="2:4" x14ac:dyDescent="0.25">
      <c r="B133" s="932"/>
      <c r="C133" s="868"/>
      <c r="D133" s="36"/>
    </row>
    <row r="134" spans="2:4" x14ac:dyDescent="0.25">
      <c r="B134" s="932"/>
      <c r="C134" s="868"/>
      <c r="D134" s="36"/>
    </row>
    <row r="135" spans="2:4" x14ac:dyDescent="0.25">
      <c r="B135" s="932"/>
      <c r="C135" s="868"/>
      <c r="D135" s="36"/>
    </row>
    <row r="136" spans="2:4" x14ac:dyDescent="0.25">
      <c r="B136" s="932"/>
      <c r="C136" s="868"/>
      <c r="D136" s="36"/>
    </row>
    <row r="137" spans="2:4" x14ac:dyDescent="0.25">
      <c r="B137" s="932"/>
      <c r="C137" s="868"/>
      <c r="D137" s="36"/>
    </row>
    <row r="138" spans="2:4" x14ac:dyDescent="0.25">
      <c r="B138" s="932"/>
      <c r="C138" s="868"/>
      <c r="D138" s="36"/>
    </row>
    <row r="139" spans="2:4" x14ac:dyDescent="0.25">
      <c r="B139" s="932"/>
      <c r="C139" s="868"/>
      <c r="D139" s="36"/>
    </row>
  </sheetData>
  <sheetProtection password="B79F" sheet="1" objects="1" scenarios="1"/>
  <mergeCells count="1">
    <mergeCell ref="B119:C120"/>
  </mergeCells>
  <pageMargins left="0.25" right="0.25" top="0.5" bottom="0.5" header="0.25" footer="0.25"/>
  <pageSetup paperSize="5" scale="64" orientation="portrait" r:id="rId1"/>
  <headerFooter>
    <oddHeader>&amp;L&amp;F</oddHead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C126"/>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1.7109375" style="146" customWidth="1"/>
    <col min="2" max="2" width="8.5703125" style="930" customWidth="1"/>
    <col min="3" max="3" width="24.85546875" style="857" customWidth="1"/>
    <col min="4" max="4" width="16" style="2" customWidth="1"/>
    <col min="5" max="5" width="17.7109375" style="857" hidden="1" customWidth="1"/>
    <col min="6" max="6" width="6" style="39" customWidth="1"/>
    <col min="7" max="7" width="10.7109375" style="52" customWidth="1"/>
    <col min="8" max="8" width="13.85546875" style="122" bestFit="1" customWidth="1"/>
    <col min="9" max="9" width="26" style="868" hidden="1" customWidth="1"/>
    <col min="10" max="10" width="5.7109375" style="59" customWidth="1"/>
    <col min="11" max="11" width="10.7109375" style="377" customWidth="1"/>
    <col min="12" max="12" width="14" style="123" bestFit="1" customWidth="1"/>
    <col min="13" max="13" width="26" style="857" hidden="1" customWidth="1"/>
    <col min="14" max="14" width="5.7109375" style="39" customWidth="1"/>
    <col min="15" max="15" width="9.42578125" style="377" bestFit="1" customWidth="1"/>
    <col min="16" max="16" width="14" style="2" bestFit="1" customWidth="1"/>
    <col min="17" max="17" width="26" style="857"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930" t="s">
        <v>61</v>
      </c>
      <c r="C1" s="931" t="s">
        <v>437</v>
      </c>
      <c r="D1" s="97">
        <v>0</v>
      </c>
      <c r="E1" s="855"/>
      <c r="F1" s="98"/>
      <c r="G1" s="369"/>
      <c r="H1" s="99">
        <v>0</v>
      </c>
      <c r="I1" s="855"/>
      <c r="L1" s="122">
        <v>0</v>
      </c>
      <c r="M1" s="855"/>
      <c r="P1" s="122">
        <v>0</v>
      </c>
      <c r="Q1" s="855"/>
      <c r="T1" s="86">
        <v>0</v>
      </c>
      <c r="U1" s="98"/>
      <c r="X1" s="86">
        <v>0</v>
      </c>
      <c r="Y1" s="98"/>
      <c r="AB1" s="86">
        <v>0</v>
      </c>
      <c r="AC1" s="98"/>
    </row>
    <row r="2" spans="1:29" ht="17.25" x14ac:dyDescent="0.4">
      <c r="B2" s="932" t="s">
        <v>59</v>
      </c>
      <c r="C2" s="933" t="s">
        <v>620</v>
      </c>
      <c r="D2" s="99">
        <v>0</v>
      </c>
      <c r="E2" s="855"/>
      <c r="F2" s="98"/>
      <c r="G2" s="370"/>
      <c r="H2" s="99">
        <v>0</v>
      </c>
      <c r="I2" s="855"/>
      <c r="L2" s="87">
        <v>0</v>
      </c>
      <c r="M2" s="855"/>
      <c r="P2" s="87">
        <v>0</v>
      </c>
      <c r="Q2" s="855"/>
      <c r="T2" s="87">
        <v>0</v>
      </c>
      <c r="U2" s="98"/>
      <c r="X2" s="87">
        <v>0</v>
      </c>
      <c r="Y2" s="98"/>
      <c r="AB2" s="87">
        <v>0</v>
      </c>
      <c r="AC2" s="98"/>
    </row>
    <row r="3" spans="1:29" x14ac:dyDescent="0.25">
      <c r="D3" s="323">
        <f>+SUM(D1:D2)</f>
        <v>0</v>
      </c>
      <c r="E3" s="856"/>
      <c r="F3" s="100"/>
      <c r="G3" s="83"/>
      <c r="H3" s="323">
        <f>+SUM(H1:H2)</f>
        <v>0</v>
      </c>
      <c r="I3" s="867"/>
      <c r="L3" s="122">
        <f>SUM(L1:L2)</f>
        <v>0</v>
      </c>
      <c r="M3" s="868"/>
      <c r="P3" s="122">
        <f>SUM(P1:P2)</f>
        <v>0</v>
      </c>
      <c r="Q3" s="868"/>
      <c r="T3" s="86">
        <f>SUM(T1:T2)</f>
        <v>0</v>
      </c>
      <c r="U3" s="51"/>
      <c r="X3" s="86">
        <f>SUM(X1:X2)</f>
        <v>0</v>
      </c>
      <c r="Y3" s="51"/>
      <c r="AB3" s="86">
        <f>SUM(AB1:AB2)</f>
        <v>0</v>
      </c>
      <c r="AC3" s="51"/>
    </row>
    <row r="4" spans="1:29" x14ac:dyDescent="0.25">
      <c r="L4" s="122"/>
      <c r="M4" s="868"/>
      <c r="P4" s="122"/>
      <c r="Q4" s="868"/>
      <c r="T4" s="86"/>
      <c r="U4" s="51"/>
      <c r="X4" s="86"/>
      <c r="Y4" s="51"/>
      <c r="AB4" s="86"/>
      <c r="AC4" s="51"/>
    </row>
    <row r="5" spans="1:29" ht="15.75" x14ac:dyDescent="0.25">
      <c r="B5" s="934" t="s">
        <v>56</v>
      </c>
      <c r="P5" s="123"/>
      <c r="T5" s="73"/>
      <c r="X5" s="73"/>
      <c r="AB5" s="73"/>
    </row>
    <row r="6" spans="1:29" s="89" customFormat="1" ht="15.75" x14ac:dyDescent="0.25">
      <c r="A6" s="147"/>
      <c r="B6" s="935"/>
      <c r="C6" s="935"/>
      <c r="D6" s="284" t="s">
        <v>55</v>
      </c>
      <c r="E6" s="858"/>
      <c r="G6" s="371"/>
      <c r="H6" s="324" t="str">
        <f>LEFT(D6,4)+1&amp;"-"&amp;RIGHT(D6,4)+1</f>
        <v>2017-2018</v>
      </c>
      <c r="I6" s="869"/>
      <c r="J6" s="93"/>
      <c r="K6" s="378"/>
      <c r="L6" s="124" t="str">
        <f>LEFT(H6,4)+1&amp;"-"&amp;RIGHT(H6,4)+1</f>
        <v>2018-2019</v>
      </c>
      <c r="M6" s="946"/>
      <c r="N6" s="96"/>
      <c r="O6" s="381"/>
      <c r="P6" s="124" t="str">
        <f>LEFT(L6,4)+1&amp;"-"&amp;RIGHT(L6,4)+1</f>
        <v>2019-2020</v>
      </c>
      <c r="Q6" s="94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936" t="s">
        <v>54</v>
      </c>
      <c r="D7" s="2">
        <v>4894844.17</v>
      </c>
      <c r="E7" s="928"/>
      <c r="H7" s="2">
        <f>D89</f>
        <v>5459673.8599999994</v>
      </c>
      <c r="I7" s="928"/>
      <c r="J7" s="60"/>
      <c r="L7" s="2">
        <f>H89</f>
        <v>5660596.8599999994</v>
      </c>
      <c r="M7" s="928"/>
      <c r="P7" s="2">
        <f>L89</f>
        <v>5942043.8599999994</v>
      </c>
      <c r="Q7" s="928"/>
      <c r="T7" s="2">
        <f>P89</f>
        <v>6246637.8599999994</v>
      </c>
      <c r="U7" s="105"/>
      <c r="X7" s="2">
        <f>T89</f>
        <v>5428199.8599999994</v>
      </c>
      <c r="Y7" s="105"/>
      <c r="AB7" s="2">
        <f>X89</f>
        <v>4587015.8599999994</v>
      </c>
      <c r="AC7" s="105"/>
    </row>
    <row r="8" spans="1:29" x14ac:dyDescent="0.25">
      <c r="E8" s="928"/>
      <c r="H8" s="2"/>
      <c r="I8" s="328"/>
      <c r="L8" s="2"/>
      <c r="M8" s="928"/>
      <c r="Q8" s="928"/>
      <c r="U8" s="105"/>
      <c r="Y8" s="105"/>
      <c r="AC8" s="105"/>
    </row>
    <row r="9" spans="1:29" x14ac:dyDescent="0.25">
      <c r="B9" s="930" t="s">
        <v>52</v>
      </c>
      <c r="C9" s="857" t="s">
        <v>438</v>
      </c>
      <c r="D9" s="2">
        <v>1183769.48</v>
      </c>
      <c r="E9" s="928"/>
      <c r="G9" s="83">
        <f>IF(D9=0,"0.00%",(H9-D9)/D9)</f>
        <v>-5.1555138927893214E-2</v>
      </c>
      <c r="H9" s="2">
        <v>1122740.08</v>
      </c>
      <c r="I9" s="928"/>
      <c r="J9" s="61"/>
      <c r="K9" s="83">
        <f>IF(H9=0,"0.00%",(L9-H9)/H9)</f>
        <v>2.1500007374814591E-2</v>
      </c>
      <c r="L9" s="2">
        <f>ROUND(H9*(+LEFT(M9,5)+1),0)</f>
        <v>1146879</v>
      </c>
      <c r="M9" s="854" t="str">
        <f>TEXT('MYP Assumptions'!$F$47,"0.00%")&amp;", COLA"</f>
        <v>2.15%, COLA</v>
      </c>
      <c r="O9" s="83">
        <f>IF(L9=0,"0.00%",(P9-L9)/L9)</f>
        <v>2.3500299508492178E-2</v>
      </c>
      <c r="P9" s="2">
        <f>ROUND(L9*(+LEFT(Q9,5)+1),0)</f>
        <v>1173831</v>
      </c>
      <c r="Q9" s="854" t="str">
        <f>TEXT('MYP Assumptions'!$G$47,"0.00%")&amp;", COLA"</f>
        <v>2.35%, COLA</v>
      </c>
      <c r="S9" s="83">
        <f>IF(P9=0,"0.00%",(T9-P9)/P9)</f>
        <v>-1</v>
      </c>
      <c r="T9" s="3">
        <f>T3</f>
        <v>0</v>
      </c>
      <c r="U9" s="105"/>
      <c r="W9" s="83" t="str">
        <f>IF(T9=0,"0.00%",(X9-T9)/T9)</f>
        <v>0.00%</v>
      </c>
      <c r="X9" s="3">
        <f>X3</f>
        <v>0</v>
      </c>
      <c r="Y9" s="105"/>
      <c r="AA9" s="83" t="str">
        <f>IF(X9=0,"0.00%",(AB9-X9)/X9)</f>
        <v>0.00%</v>
      </c>
      <c r="AB9" s="3">
        <f>AB3</f>
        <v>0</v>
      </c>
      <c r="AC9" s="105"/>
    </row>
    <row r="10" spans="1:29" x14ac:dyDescent="0.25">
      <c r="E10" s="928"/>
      <c r="G10" s="83" t="str">
        <f t="shared" ref="G10:G15" si="0">IF(D10=0,"0.00%",(H10-D10)/D10)</f>
        <v>0.00%</v>
      </c>
      <c r="H10" s="3">
        <v>26277.919999999998</v>
      </c>
      <c r="I10" s="928"/>
      <c r="J10" s="61"/>
      <c r="K10" s="83">
        <f>IF(H10=0,"0.00%",(L10-H10)/H10)</f>
        <v>-1</v>
      </c>
      <c r="L10" s="3">
        <f>-H2</f>
        <v>0</v>
      </c>
      <c r="M10" s="928"/>
      <c r="O10" s="83" t="str">
        <f>IF(L10=0,"0.00%",(P10-L10)/L10)</f>
        <v>0.00%</v>
      </c>
      <c r="P10" s="3">
        <f>-L2</f>
        <v>0</v>
      </c>
      <c r="Q10" s="928"/>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936" t="s">
        <v>137</v>
      </c>
      <c r="D11" s="8">
        <f>SUM(D9:D10)</f>
        <v>1183769.48</v>
      </c>
      <c r="E11" s="928"/>
      <c r="G11" s="83">
        <f t="shared" si="0"/>
        <v>-2.9356627778577279E-2</v>
      </c>
      <c r="H11" s="8">
        <f>SUM(H9:H10)</f>
        <v>1149018</v>
      </c>
      <c r="I11" s="1292">
        <f>+H11-D11</f>
        <v>-34751.479999999981</v>
      </c>
      <c r="J11" s="62"/>
      <c r="K11" s="83">
        <f>IF(H11=0,"0.00%",(L11-H11)/H11)</f>
        <v>-1.8615896356715038E-3</v>
      </c>
      <c r="L11" s="8">
        <f>SUM(L9:L10)</f>
        <v>1146879</v>
      </c>
      <c r="M11" s="1292">
        <f>+L11-H11</f>
        <v>-2139</v>
      </c>
      <c r="O11" s="83">
        <f>IF(L11=0,"0.00%",(P11-L11)/L11)</f>
        <v>2.3500299508492178E-2</v>
      </c>
      <c r="P11" s="8">
        <f>SUM(P9:P10)</f>
        <v>1173831</v>
      </c>
      <c r="Q11" s="1292">
        <f>+P11-L11</f>
        <v>26952</v>
      </c>
      <c r="S11" s="83">
        <f>IF(P11=0,"0.00%",(T11-P11)/P11)</f>
        <v>-1</v>
      </c>
      <c r="T11" s="78">
        <f>SUM(T9:T10)</f>
        <v>0</v>
      </c>
      <c r="U11" s="105"/>
      <c r="W11" s="83" t="str">
        <f>IF(T11=0,"0.00%",(X11-T11)/T11)</f>
        <v>0.00%</v>
      </c>
      <c r="X11" s="78">
        <f>SUM(X9:X10)</f>
        <v>0</v>
      </c>
      <c r="Y11" s="105"/>
      <c r="AA11" s="83" t="str">
        <f>IF(X11=0,"0.00%",(AB11-X11)/X11)</f>
        <v>0.00%</v>
      </c>
      <c r="AB11" s="78">
        <f>SUM(AB9:AB10)</f>
        <v>0</v>
      </c>
      <c r="AC11" s="105"/>
    </row>
    <row r="12" spans="1:29" x14ac:dyDescent="0.25">
      <c r="E12" s="928"/>
      <c r="H12" s="3"/>
      <c r="I12" s="928"/>
      <c r="J12" s="63"/>
      <c r="K12" s="52"/>
      <c r="L12" s="3"/>
      <c r="M12" s="928"/>
      <c r="O12" s="52"/>
      <c r="P12" s="3"/>
      <c r="Q12" s="928"/>
      <c r="S12" s="46"/>
      <c r="T12" s="44"/>
      <c r="U12" s="105"/>
      <c r="W12" s="46"/>
      <c r="X12" s="44"/>
      <c r="Y12" s="105"/>
      <c r="AA12" s="46"/>
      <c r="AB12" s="44"/>
      <c r="AC12" s="105"/>
    </row>
    <row r="13" spans="1:29" x14ac:dyDescent="0.25">
      <c r="B13" s="937"/>
      <c r="C13" s="938" t="s">
        <v>64</v>
      </c>
      <c r="D13" s="9">
        <f>ROUND(D11-(D11/(1+B13)),0)</f>
        <v>0</v>
      </c>
      <c r="E13" s="928"/>
      <c r="G13" s="83" t="str">
        <f t="shared" si="0"/>
        <v>0.00%</v>
      </c>
      <c r="H13" s="9">
        <f>ROUND(H11-(H11/(1+B13)),0)</f>
        <v>0</v>
      </c>
      <c r="I13" s="928"/>
      <c r="J13" s="64"/>
      <c r="K13" s="83" t="str">
        <f>IF(H13=0,"0.00%",(L13-H13)/H13)</f>
        <v>0.00%</v>
      </c>
      <c r="L13" s="9">
        <f>ROUND(L11-(L11/(1+B13)),0)</f>
        <v>0</v>
      </c>
      <c r="M13" s="928"/>
      <c r="O13" s="83" t="str">
        <f>IF(L13=0,"0.00%",(P13-L13)/L13)</f>
        <v>0.00%</v>
      </c>
      <c r="P13" s="9">
        <f>ROUND(P11-(P11/(1+B13)),0)</f>
        <v>0</v>
      </c>
      <c r="Q13" s="928"/>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928"/>
      <c r="H14" s="3"/>
      <c r="I14" s="928"/>
      <c r="J14" s="63"/>
      <c r="K14" s="52"/>
      <c r="L14" s="3"/>
      <c r="M14" s="928"/>
      <c r="O14" s="52"/>
      <c r="P14" s="3"/>
      <c r="Q14" s="928"/>
      <c r="S14" s="46"/>
      <c r="T14" s="44"/>
      <c r="U14" s="105"/>
      <c r="W14" s="46"/>
      <c r="X14" s="44"/>
      <c r="Y14" s="105"/>
      <c r="AA14" s="46"/>
      <c r="AB14" s="44"/>
      <c r="AC14" s="105"/>
    </row>
    <row r="15" spans="1:29" x14ac:dyDescent="0.25">
      <c r="B15" s="936" t="s">
        <v>50</v>
      </c>
      <c r="D15" s="10">
        <f>D11-D13+D7</f>
        <v>6078613.6500000004</v>
      </c>
      <c r="E15" s="928"/>
      <c r="G15" s="83">
        <f t="shared" si="0"/>
        <v>8.7203800162558284E-2</v>
      </c>
      <c r="H15" s="10">
        <f>H11-H13+H7</f>
        <v>6608691.8599999994</v>
      </c>
      <c r="I15" s="1292">
        <f>+H15-D15</f>
        <v>530078.20999999903</v>
      </c>
      <c r="J15" s="62"/>
      <c r="K15" s="83">
        <f>IF(H15=0,"0.00%",(L15-H15)/H15)</f>
        <v>3.0079175154642483E-2</v>
      </c>
      <c r="L15" s="10">
        <f>L11-L13+L7</f>
        <v>6807475.8599999994</v>
      </c>
      <c r="M15" s="1292">
        <f>+L15-H15</f>
        <v>198784</v>
      </c>
      <c r="O15" s="83">
        <f>IF(L15=0,"0.00%",(P15-L15)/L15)</f>
        <v>4.5302988411919251E-2</v>
      </c>
      <c r="P15" s="10">
        <f>P11-P13+P7</f>
        <v>7115874.8599999994</v>
      </c>
      <c r="Q15" s="1292">
        <f>+P15-L15</f>
        <v>308399</v>
      </c>
      <c r="S15" s="83">
        <f>IF(P15=0,"0.00%",(T15-P15)/P15)</f>
        <v>-1</v>
      </c>
      <c r="T15" s="19">
        <f>T11-T13</f>
        <v>0</v>
      </c>
      <c r="U15" s="105"/>
      <c r="W15" s="83" t="str">
        <f>IF(T15=0,"0.00%",(X15-T15)/T15)</f>
        <v>0.00%</v>
      </c>
      <c r="X15" s="19">
        <f>X11-X13</f>
        <v>0</v>
      </c>
      <c r="Y15" s="105"/>
      <c r="AA15" s="83" t="str">
        <f>IF(X15=0,"0.00%",(AB15-X15)/X15)</f>
        <v>0.00%</v>
      </c>
      <c r="AB15" s="19">
        <f>AB11-AB13</f>
        <v>0</v>
      </c>
      <c r="AC15" s="105"/>
    </row>
    <row r="16" spans="1:29" x14ac:dyDescent="0.25">
      <c r="E16" s="928"/>
      <c r="H16" s="3"/>
      <c r="I16" s="928"/>
      <c r="J16" s="62"/>
      <c r="L16" s="3"/>
      <c r="M16" s="928"/>
      <c r="P16" s="3"/>
      <c r="Q16" s="928"/>
      <c r="T16" s="49"/>
      <c r="U16" s="105"/>
      <c r="X16" s="49"/>
      <c r="Y16" s="105"/>
      <c r="AB16" s="49"/>
      <c r="AC16" s="105"/>
    </row>
    <row r="17" spans="1:29" x14ac:dyDescent="0.25">
      <c r="C17" s="930"/>
      <c r="E17" s="928"/>
      <c r="H17" s="3"/>
      <c r="I17" s="928"/>
      <c r="J17" s="63"/>
      <c r="L17" s="3"/>
      <c r="M17" s="928"/>
      <c r="P17" s="3"/>
      <c r="Q17" s="928"/>
      <c r="T17" s="44"/>
      <c r="U17" s="105"/>
      <c r="X17" s="44"/>
      <c r="Y17" s="105"/>
      <c r="AB17" s="44"/>
      <c r="AC17" s="105"/>
    </row>
    <row r="18" spans="1:29" x14ac:dyDescent="0.25">
      <c r="A18" s="148"/>
      <c r="D18" s="29" t="s">
        <v>826</v>
      </c>
      <c r="E18" s="929"/>
      <c r="F18" s="32"/>
      <c r="H18" s="29" t="s">
        <v>177</v>
      </c>
      <c r="I18" s="929"/>
      <c r="J18" s="65"/>
      <c r="M18" s="929"/>
      <c r="Q18" s="929"/>
      <c r="U18" s="106"/>
      <c r="Y18" s="106"/>
      <c r="AC18" s="106"/>
    </row>
    <row r="19" spans="1:29" ht="17.25" x14ac:dyDescent="0.4">
      <c r="A19" s="149"/>
      <c r="D19" s="35" t="s">
        <v>827</v>
      </c>
      <c r="E19" s="860"/>
      <c r="F19" s="34"/>
      <c r="H19" s="35" t="s">
        <v>48</v>
      </c>
      <c r="I19" s="870"/>
      <c r="J19" s="29"/>
      <c r="L19" s="14" t="s">
        <v>48</v>
      </c>
      <c r="M19" s="1089">
        <v>1.4999999999999999E-2</v>
      </c>
      <c r="P19" s="14" t="s">
        <v>48</v>
      </c>
      <c r="Q19" s="1089">
        <v>1.4999999999999999E-2</v>
      </c>
      <c r="T19" s="14" t="s">
        <v>48</v>
      </c>
      <c r="U19" s="104">
        <v>0.02</v>
      </c>
      <c r="X19" s="14" t="s">
        <v>48</v>
      </c>
      <c r="Y19" s="104">
        <v>0.02</v>
      </c>
      <c r="AB19" s="14" t="s">
        <v>48</v>
      </c>
      <c r="AC19" s="104">
        <v>0.02</v>
      </c>
    </row>
    <row r="20" spans="1:29" s="13" customFormat="1" x14ac:dyDescent="0.25">
      <c r="A20" s="150"/>
      <c r="B20" s="936" t="s">
        <v>46</v>
      </c>
      <c r="C20" s="938"/>
      <c r="D20" s="10"/>
      <c r="E20" s="861"/>
      <c r="F20" s="10"/>
      <c r="G20" s="372"/>
      <c r="H20" s="10"/>
      <c r="I20" s="864"/>
      <c r="J20" s="57"/>
      <c r="K20" s="379"/>
      <c r="L20" s="10"/>
      <c r="M20" s="947"/>
      <c r="O20" s="379"/>
      <c r="P20" s="10"/>
      <c r="Q20" s="947"/>
      <c r="R20" s="111"/>
      <c r="T20" s="10"/>
      <c r="U20" s="74"/>
      <c r="X20" s="10"/>
      <c r="Y20" s="74"/>
      <c r="AB20" s="10"/>
      <c r="AC20" s="74"/>
    </row>
    <row r="21" spans="1:29" x14ac:dyDescent="0.25">
      <c r="A21" s="151"/>
      <c r="B21" s="939">
        <v>1110</v>
      </c>
      <c r="C21" s="857" t="s">
        <v>861</v>
      </c>
      <c r="D21" s="2">
        <v>0</v>
      </c>
      <c r="E21" s="863"/>
      <c r="F21" s="2"/>
      <c r="G21" s="83" t="str">
        <f t="shared" ref="G21:G24" si="1">IF(D21=0,"0.00%",(H21-D21)/D21)</f>
        <v>0.00%</v>
      </c>
      <c r="H21" s="2">
        <v>0</v>
      </c>
      <c r="I21" s="871" t="s">
        <v>870</v>
      </c>
      <c r="J21" s="66"/>
      <c r="K21" s="83" t="str">
        <f t="shared" ref="K21:K23" si="2">IF(H21=0,"0.00%",(L21-H21)/H21)</f>
        <v>0.00%</v>
      </c>
      <c r="L21" s="2">
        <f>ROUND(H21*(1+M19),0)</f>
        <v>0</v>
      </c>
      <c r="M21" s="871"/>
      <c r="O21" s="83" t="str">
        <f t="shared" ref="O21:O23" si="3">IF(L21=0,"0.00%",(P21-L21)/L21)</f>
        <v>0.00%</v>
      </c>
      <c r="P21" s="2">
        <f>ROUND(L21*(1+Q19),0)</f>
        <v>0</v>
      </c>
      <c r="Q21" s="871"/>
      <c r="S21" s="83" t="str">
        <f t="shared" ref="S21:S23" si="4">IF(P21=0,"0.00%",(T21-P21)/P21)</f>
        <v>0.00%</v>
      </c>
      <c r="T21" s="2">
        <f>ROUND(P21*(1+U19),0)</f>
        <v>0</v>
      </c>
      <c r="U21" s="36" t="str">
        <f>TEXT(U19,"0.0%")&amp;" = Est. S &amp; C"</f>
        <v>2.0% = Est. S &amp; C</v>
      </c>
      <c r="W21" s="83" t="str">
        <f t="shared" ref="W21:W23" si="5">IF(T21=0,"0.00%",(X21-T21)/T21)</f>
        <v>0.00%</v>
      </c>
      <c r="X21" s="2">
        <f>ROUND(T21*(1+Y19),0)</f>
        <v>0</v>
      </c>
      <c r="Y21" s="36" t="str">
        <f>TEXT(Y19,"0.0%")&amp;" = Est. S &amp; C"</f>
        <v>2.0% = Est. S &amp; C</v>
      </c>
      <c r="AA21" s="83" t="str">
        <f t="shared" ref="AA21:AA23" si="6">IF(X21=0,"0.00%",(AB21-X21)/X21)</f>
        <v>0.00%</v>
      </c>
      <c r="AB21" s="2">
        <f>ROUND(X21*(1+AC19),0)</f>
        <v>0</v>
      </c>
      <c r="AC21" s="36" t="str">
        <f>TEXT(AC19,"0.0%")&amp;" = Est. S &amp; C"</f>
        <v>2.0% = Est. S &amp; C</v>
      </c>
    </row>
    <row r="22" spans="1:29" x14ac:dyDescent="0.25">
      <c r="A22" s="152"/>
      <c r="B22" s="939">
        <v>1122</v>
      </c>
      <c r="C22" s="857" t="s">
        <v>862</v>
      </c>
      <c r="D22" s="2">
        <v>0</v>
      </c>
      <c r="E22" s="863"/>
      <c r="F22" s="2"/>
      <c r="G22" s="83" t="s">
        <v>991</v>
      </c>
      <c r="H22" s="2">
        <v>16578</v>
      </c>
      <c r="I22" s="871" t="s">
        <v>870</v>
      </c>
      <c r="J22" s="66"/>
      <c r="K22" s="83">
        <f t="shared" si="2"/>
        <v>1.5019905899384726E-2</v>
      </c>
      <c r="L22" s="2">
        <f>ROUND(H22*(1+M19),0)</f>
        <v>16827</v>
      </c>
      <c r="M22" s="871"/>
      <c r="O22" s="83">
        <f t="shared" si="3"/>
        <v>1.4975931538598681E-2</v>
      </c>
      <c r="P22" s="2">
        <f>ROUND(L22*(1+Q19),0)</f>
        <v>17079</v>
      </c>
      <c r="Q22" s="871"/>
      <c r="S22" s="83">
        <f t="shared" si="4"/>
        <v>2.0024591603723871E-2</v>
      </c>
      <c r="T22" s="2">
        <f>ROUND(P22*(1+U19),0)</f>
        <v>17421</v>
      </c>
      <c r="U22" s="36" t="str">
        <f>TEXT(U19,"0.0%")&amp;" = Est. S &amp; C"</f>
        <v>2.0% = Est. S &amp; C</v>
      </c>
      <c r="W22" s="83">
        <f t="shared" si="5"/>
        <v>1.9975891165834338E-2</v>
      </c>
      <c r="X22" s="2">
        <f>ROUND(T22*(1+Y19),0)</f>
        <v>17769</v>
      </c>
      <c r="Y22" s="36" t="str">
        <f>TEXT(Y19,"0.0%")&amp;" = Est. S &amp; C"</f>
        <v>2.0% = Est. S &amp; C</v>
      </c>
      <c r="AA22" s="83">
        <f t="shared" si="6"/>
        <v>1.9978614440880185E-2</v>
      </c>
      <c r="AB22" s="2">
        <f>ROUND(X22*(1+AC19),0)</f>
        <v>18124</v>
      </c>
      <c r="AC22" s="36" t="str">
        <f>TEXT(AC19,"0.0%")&amp;" = Est. S &amp; C"</f>
        <v>2.0% = Est. S &amp; C</v>
      </c>
    </row>
    <row r="23" spans="1:29" x14ac:dyDescent="0.25">
      <c r="A23" s="152"/>
      <c r="B23" s="939"/>
      <c r="E23" s="863"/>
      <c r="F23" s="2"/>
      <c r="G23" s="83" t="str">
        <f t="shared" si="1"/>
        <v>0.00%</v>
      </c>
      <c r="H23" s="2"/>
      <c r="I23" s="871"/>
      <c r="J23" s="66"/>
      <c r="K23" s="83" t="str">
        <f t="shared" si="2"/>
        <v>0.00%</v>
      </c>
      <c r="L23" s="2"/>
      <c r="M23" s="871"/>
      <c r="O23" s="83" t="str">
        <f t="shared" si="3"/>
        <v>0.00%</v>
      </c>
      <c r="P23" s="2">
        <f>ROUND(L23*(1+Q19),0)</f>
        <v>0</v>
      </c>
      <c r="Q23" s="871"/>
      <c r="S23" s="83" t="str">
        <f t="shared" si="4"/>
        <v>0.00%</v>
      </c>
      <c r="T23" s="2">
        <f>ROUND(P23*(1+U19),0)</f>
        <v>0</v>
      </c>
      <c r="U23" s="36" t="str">
        <f>TEXT(U19,"0.0%")&amp;" = Est. S &amp; C"</f>
        <v>2.0% = Est. S &amp; C</v>
      </c>
      <c r="W23" s="83" t="str">
        <f t="shared" si="5"/>
        <v>0.00%</v>
      </c>
      <c r="X23" s="2">
        <f>ROUND(T23*(1+Y19),0)</f>
        <v>0</v>
      </c>
      <c r="Y23" s="36" t="str">
        <f>TEXT(Y19,"0.0%")&amp;" = Est. S &amp; C"</f>
        <v>2.0% = Est. S &amp; C</v>
      </c>
      <c r="AA23" s="83" t="str">
        <f t="shared" si="6"/>
        <v>0.00%</v>
      </c>
      <c r="AB23" s="2">
        <f>ROUND(X23*(1+AC19),0)</f>
        <v>0</v>
      </c>
      <c r="AC23" s="36" t="str">
        <f>TEXT(AC19,"0.0%")&amp;" = Est. S &amp; C"</f>
        <v>2.0% = Est. S &amp; C</v>
      </c>
    </row>
    <row r="24" spans="1:29" x14ac:dyDescent="0.25">
      <c r="A24" s="153"/>
      <c r="B24" s="939"/>
      <c r="D24" s="8">
        <f>SUM(D21:D23)</f>
        <v>0</v>
      </c>
      <c r="E24" s="863"/>
      <c r="F24" s="2"/>
      <c r="G24" s="83" t="str">
        <f t="shared" si="1"/>
        <v>0.00%</v>
      </c>
      <c r="H24" s="8">
        <f>SUM(H21:H23)</f>
        <v>16578</v>
      </c>
      <c r="I24" s="1292">
        <f>+H24-D24</f>
        <v>16578</v>
      </c>
      <c r="J24" s="29"/>
      <c r="K24" s="83">
        <f>IF(H24=0,"0.00%",(L24-H24)/H24)</f>
        <v>1.5019905899384726E-2</v>
      </c>
      <c r="L24" s="8">
        <f>SUM(L21:L23)</f>
        <v>16827</v>
      </c>
      <c r="M24" s="1292">
        <f>+L24-H24</f>
        <v>249</v>
      </c>
      <c r="O24" s="83">
        <f t="shared" ref="O24" si="7">IF(L24=0,"0.00%",(P24-L24)/L24)</f>
        <v>1.4975931538598681E-2</v>
      </c>
      <c r="P24" s="8">
        <f>SUM(P21:P23)</f>
        <v>17079</v>
      </c>
      <c r="Q24" s="1292">
        <f>+P24-L24</f>
        <v>252</v>
      </c>
      <c r="S24" s="83">
        <f>IF(P24=0,"0.00%",(T24-P24)/P24)</f>
        <v>2.0024591603723871E-2</v>
      </c>
      <c r="T24" s="8">
        <f>SUM(T21:T23)</f>
        <v>17421</v>
      </c>
      <c r="U24" s="73"/>
      <c r="W24" s="83">
        <f>IF(T24=0,"0.00%",(X24-T24)/T24)</f>
        <v>1.9975891165834338E-2</v>
      </c>
      <c r="X24" s="8">
        <f>SUM(X21:X23)</f>
        <v>17769</v>
      </c>
      <c r="Y24" s="73"/>
      <c r="AA24" s="83">
        <f>IF(X24=0,"0.00%",(AB24-X24)/X24)</f>
        <v>1.9978614440880185E-2</v>
      </c>
      <c r="AB24" s="8">
        <f>SUM(AB21:AB23)</f>
        <v>18124</v>
      </c>
      <c r="AC24" s="73"/>
    </row>
    <row r="25" spans="1:29" x14ac:dyDescent="0.25">
      <c r="A25" s="152"/>
      <c r="E25" s="863"/>
      <c r="F25" s="2"/>
      <c r="H25" s="2"/>
      <c r="I25" s="871"/>
      <c r="J25" s="66"/>
      <c r="L25" s="2"/>
      <c r="M25" s="948"/>
      <c r="Q25" s="948"/>
      <c r="T25" s="2"/>
      <c r="U25" s="73"/>
      <c r="X25" s="2"/>
      <c r="Y25" s="73"/>
      <c r="AB25" s="2"/>
      <c r="AC25" s="73"/>
    </row>
    <row r="26" spans="1:29" s="4" customFormat="1" x14ac:dyDescent="0.25">
      <c r="A26" s="150"/>
      <c r="B26" s="940" t="s">
        <v>35</v>
      </c>
      <c r="C26" s="873"/>
      <c r="D26" s="6"/>
      <c r="E26" s="864"/>
      <c r="F26" s="6"/>
      <c r="G26" s="373"/>
      <c r="H26" s="6"/>
      <c r="I26" s="864"/>
      <c r="J26" s="57"/>
      <c r="K26" s="380"/>
      <c r="L26" s="6"/>
      <c r="M26" s="1893"/>
      <c r="O26" s="380"/>
      <c r="P26" s="6"/>
      <c r="Q26" s="950"/>
      <c r="R26" s="111"/>
      <c r="T26" s="6"/>
      <c r="U26" s="71"/>
      <c r="X26" s="6"/>
      <c r="Y26" s="71"/>
      <c r="AB26" s="6"/>
      <c r="AC26" s="71"/>
    </row>
    <row r="27" spans="1:29" x14ac:dyDescent="0.25">
      <c r="A27" s="152"/>
      <c r="B27" s="939">
        <v>2103</v>
      </c>
      <c r="C27" s="857" t="s">
        <v>863</v>
      </c>
      <c r="D27" s="2">
        <v>0</v>
      </c>
      <c r="E27" s="863"/>
      <c r="F27" s="2"/>
      <c r="G27" s="83" t="s">
        <v>991</v>
      </c>
      <c r="H27" s="2">
        <v>16576</v>
      </c>
      <c r="I27" s="871" t="s">
        <v>870</v>
      </c>
      <c r="J27" s="66"/>
      <c r="K27" s="83">
        <f t="shared" ref="K27:K30" si="8">IF(H27=0,"0.00%",(L27-H27)/H27)</f>
        <v>0</v>
      </c>
      <c r="L27" s="2">
        <f>+H27</f>
        <v>16576</v>
      </c>
      <c r="M27" s="871" t="s">
        <v>174</v>
      </c>
      <c r="O27" s="83">
        <f t="shared" ref="O27:O30" si="9">IF(L27=0,"0.00%",(P27-L27)/L27)</f>
        <v>0</v>
      </c>
      <c r="P27" s="2">
        <f>+L27</f>
        <v>16576</v>
      </c>
      <c r="Q27" s="871" t="s">
        <v>174</v>
      </c>
      <c r="S27" s="83">
        <f t="shared" ref="S27:S30" si="10">IF(P27=0,"0.00%",(T27-P27)/P27)</f>
        <v>2.0028957528957531E-2</v>
      </c>
      <c r="T27" s="2">
        <f>ROUND(P27*(1+U19),0)</f>
        <v>16908</v>
      </c>
      <c r="U27" s="36" t="str">
        <f>TEXT(U19,"0.0%")&amp;" = Est. S &amp; C"</f>
        <v>2.0% = Est. S &amp; C</v>
      </c>
      <c r="W27" s="83">
        <f t="shared" ref="W27:W30" si="11">IF(T27=0,"0.00%",(X27-T27)/T27)</f>
        <v>1.9990537023894014E-2</v>
      </c>
      <c r="X27" s="2">
        <f>ROUND(T27*(1+Y19),0)</f>
        <v>17246</v>
      </c>
      <c r="Y27" s="36" t="str">
        <f>TEXT(Y19,"0.0%")&amp;" = Est. S &amp; C"</f>
        <v>2.0% = Est. S &amp; C</v>
      </c>
      <c r="AA27" s="83">
        <f t="shared" ref="AA27:AA30" si="12">IF(X27=0,"0.00%",(AB27-X27)/X27)</f>
        <v>2.0004638756813173E-2</v>
      </c>
      <c r="AB27" s="2">
        <f>ROUND(X27*(1+AC19),0)</f>
        <v>17591</v>
      </c>
      <c r="AC27" s="36" t="str">
        <f>TEXT(AC19,"0.0%")&amp;" = Est. S &amp; C"</f>
        <v>2.0% = Est. S &amp; C</v>
      </c>
    </row>
    <row r="28" spans="1:29" x14ac:dyDescent="0.25">
      <c r="A28" s="152"/>
      <c r="B28" s="990" t="s">
        <v>247</v>
      </c>
      <c r="C28" s="863" t="s">
        <v>821</v>
      </c>
      <c r="D28" s="2">
        <v>0</v>
      </c>
      <c r="E28" s="863"/>
      <c r="F28" s="2"/>
      <c r="G28" s="83" t="str">
        <f t="shared" ref="G28:G30" si="13">IF(D28=0,"0.00%",(H28-D28)/D28)</f>
        <v>0.00%</v>
      </c>
      <c r="H28" s="2">
        <v>0</v>
      </c>
      <c r="I28" s="871"/>
      <c r="J28" s="66"/>
      <c r="K28" s="83" t="str">
        <f t="shared" si="8"/>
        <v>0.00%</v>
      </c>
      <c r="L28" s="2">
        <v>0</v>
      </c>
      <c r="M28" s="871"/>
      <c r="O28" s="83" t="str">
        <f t="shared" si="9"/>
        <v>0.00%</v>
      </c>
      <c r="P28" s="2">
        <f>ROUND(+L28*(1+Q19),0)</f>
        <v>0</v>
      </c>
      <c r="Q28" s="871"/>
      <c r="S28" s="83"/>
      <c r="T28" s="2"/>
      <c r="U28" s="36"/>
      <c r="W28" s="83"/>
      <c r="X28" s="2"/>
      <c r="Y28" s="36"/>
      <c r="AA28" s="83"/>
      <c r="AB28" s="2"/>
      <c r="AC28" s="36"/>
    </row>
    <row r="29" spans="1:29" x14ac:dyDescent="0.25">
      <c r="A29" s="152"/>
      <c r="B29" s="939">
        <v>2908</v>
      </c>
      <c r="C29" s="857" t="s">
        <v>864</v>
      </c>
      <c r="D29" s="2">
        <v>0</v>
      </c>
      <c r="E29" s="863"/>
      <c r="F29" s="2"/>
      <c r="G29" s="83" t="s">
        <v>991</v>
      </c>
      <c r="H29" s="2">
        <v>101547</v>
      </c>
      <c r="I29" s="871" t="s">
        <v>870</v>
      </c>
      <c r="J29" s="66"/>
      <c r="K29" s="83">
        <f t="shared" si="8"/>
        <v>0</v>
      </c>
      <c r="L29" s="2">
        <f>+H29</f>
        <v>101547</v>
      </c>
      <c r="M29" s="871" t="s">
        <v>174</v>
      </c>
      <c r="O29" s="83">
        <f t="shared" si="9"/>
        <v>0</v>
      </c>
      <c r="P29" s="2">
        <f>+L29</f>
        <v>101547</v>
      </c>
      <c r="Q29" s="871" t="s">
        <v>174</v>
      </c>
      <c r="S29" s="83">
        <f t="shared" si="10"/>
        <v>2.0000590859405004E-2</v>
      </c>
      <c r="T29" s="2">
        <f>ROUND(P29*(1+U19),0)</f>
        <v>103578</v>
      </c>
      <c r="U29" s="36" t="str">
        <f>TEXT(U19,"0.0%")&amp;" = Est. S &amp; C"</f>
        <v>2.0% = Est. S &amp; C</v>
      </c>
      <c r="W29" s="83">
        <f t="shared" si="11"/>
        <v>2.0004248006333391E-2</v>
      </c>
      <c r="X29" s="2">
        <f>ROUND(T29*(1+Y19),0)</f>
        <v>105650</v>
      </c>
      <c r="Y29" s="36" t="str">
        <f>TEXT(Y19,"0.0%")&amp;" = Est. S &amp; C"</f>
        <v>2.0% = Est. S &amp; C</v>
      </c>
      <c r="AA29" s="83">
        <f t="shared" si="12"/>
        <v>0.02</v>
      </c>
      <c r="AB29" s="2">
        <f>ROUND(X29*(1+AC19),0)</f>
        <v>107763</v>
      </c>
      <c r="AC29" s="36" t="str">
        <f>TEXT(AC19,"0.0%")&amp;" = Est. S &amp; C"</f>
        <v>2.0% = Est. S &amp; C</v>
      </c>
    </row>
    <row r="30" spans="1:29" x14ac:dyDescent="0.25">
      <c r="A30" s="152"/>
      <c r="B30" s="990" t="s">
        <v>251</v>
      </c>
      <c r="C30" s="863" t="s">
        <v>819</v>
      </c>
      <c r="D30" s="2">
        <v>0</v>
      </c>
      <c r="E30" s="863"/>
      <c r="F30" s="2"/>
      <c r="G30" s="83" t="str">
        <f t="shared" si="13"/>
        <v>0.00%</v>
      </c>
      <c r="H30" s="2"/>
      <c r="I30" s="871"/>
      <c r="J30" s="66"/>
      <c r="K30" s="83" t="str">
        <f t="shared" si="8"/>
        <v>0.00%</v>
      </c>
      <c r="L30" s="2">
        <v>0</v>
      </c>
      <c r="M30" s="871"/>
      <c r="O30" s="83" t="str">
        <f t="shared" si="9"/>
        <v>0.00%</v>
      </c>
      <c r="P30" s="2">
        <f>ROUND(+L30*(1+Q19),0)</f>
        <v>0</v>
      </c>
      <c r="Q30" s="871"/>
      <c r="S30" s="83" t="str">
        <f t="shared" si="10"/>
        <v>0.00%</v>
      </c>
      <c r="T30" s="2">
        <f>ROUND(P30*(1+U19),0)</f>
        <v>0</v>
      </c>
      <c r="U30" s="36" t="str">
        <f>TEXT(U19,"0.0%")&amp;" = Est. S &amp; C"</f>
        <v>2.0% = Est. S &amp; C</v>
      </c>
      <c r="W30" s="83" t="str">
        <f t="shared" si="11"/>
        <v>0.00%</v>
      </c>
      <c r="X30" s="2">
        <f>ROUND(T30*(1+Y19),0)</f>
        <v>0</v>
      </c>
      <c r="Y30" s="36" t="str">
        <f>TEXT(Y19,"0.0%")&amp;" = Est. S &amp; C"</f>
        <v>2.0% = Est. S &amp; C</v>
      </c>
      <c r="AA30" s="83" t="str">
        <f t="shared" si="12"/>
        <v>0.00%</v>
      </c>
      <c r="AB30" s="2">
        <f>ROUND(X30*(1+AC19),0)</f>
        <v>0</v>
      </c>
      <c r="AC30" s="36" t="str">
        <f>TEXT(AC19,"0.0%")&amp;" = Est. S &amp; C"</f>
        <v>2.0% = Est. S &amp; C</v>
      </c>
    </row>
    <row r="31" spans="1:29" x14ac:dyDescent="0.25">
      <c r="A31" s="153"/>
      <c r="B31" s="939"/>
      <c r="D31" s="8">
        <f>SUM(D27:D30)</f>
        <v>0</v>
      </c>
      <c r="E31" s="863"/>
      <c r="F31" s="2"/>
      <c r="G31" s="83" t="s">
        <v>875</v>
      </c>
      <c r="H31" s="8">
        <f>SUM(H27:H30)</f>
        <v>118123</v>
      </c>
      <c r="I31" s="1292">
        <f>+H31-D31</f>
        <v>118123</v>
      </c>
      <c r="J31" s="29"/>
      <c r="K31" s="83">
        <f>IF(H31=0,"0.00%",(L31-H31)/H31)</f>
        <v>0</v>
      </c>
      <c r="L31" s="8">
        <f>SUM(L27:L30)</f>
        <v>118123</v>
      </c>
      <c r="M31" s="1292">
        <f>+L31-H31</f>
        <v>0</v>
      </c>
      <c r="O31" s="83">
        <f>IF(L31=0,"0.00%",(P31-L31)/L31)</f>
        <v>0</v>
      </c>
      <c r="P31" s="8">
        <f>SUM(P27:P30)</f>
        <v>118123</v>
      </c>
      <c r="Q31" s="1292">
        <f>+P31-L31</f>
        <v>0</v>
      </c>
      <c r="S31" s="83">
        <f>IF(P31=0,"0.00%",(T31-P31)/P31)</f>
        <v>2.0004571505972589E-2</v>
      </c>
      <c r="T31" s="8">
        <f>SUM(T27:T30)</f>
        <v>120486</v>
      </c>
      <c r="U31" s="73"/>
      <c r="W31" s="83">
        <f>IF(T31=0,"0.00%",(X31-T31)/T31)</f>
        <v>2.0002323921451456E-2</v>
      </c>
      <c r="X31" s="8">
        <f>SUM(X27:X30)</f>
        <v>122896</v>
      </c>
      <c r="Y31" s="73"/>
      <c r="AA31" s="83">
        <f>IF(X31=0,"0.00%",(AB31-X31)/X31)</f>
        <v>2.0000650956906653E-2</v>
      </c>
      <c r="AB31" s="8">
        <f>SUM(AB27:AB30)</f>
        <v>125354</v>
      </c>
      <c r="AC31" s="73"/>
    </row>
    <row r="32" spans="1:29" x14ac:dyDescent="0.25">
      <c r="A32" s="152"/>
      <c r="B32" s="930" t="s">
        <v>28</v>
      </c>
      <c r="E32" s="863"/>
      <c r="F32" s="2"/>
      <c r="H32" s="2"/>
      <c r="I32" s="871"/>
      <c r="J32" s="66"/>
      <c r="L32" s="2"/>
      <c r="M32" s="948"/>
      <c r="Q32" s="948"/>
      <c r="T32" s="2"/>
      <c r="U32" s="73"/>
      <c r="X32" s="2"/>
      <c r="Y32" s="73"/>
      <c r="AB32" s="2"/>
      <c r="AC32" s="73"/>
    </row>
    <row r="33" spans="1:29" x14ac:dyDescent="0.25">
      <c r="A33" s="154"/>
      <c r="B33" s="936" t="s">
        <v>27</v>
      </c>
      <c r="E33" s="863"/>
      <c r="F33" s="2"/>
      <c r="H33" s="2"/>
      <c r="I33" s="871"/>
      <c r="J33" s="66"/>
      <c r="L33" s="2"/>
      <c r="M33" s="948"/>
      <c r="Q33" s="948"/>
      <c r="T33" s="2"/>
      <c r="U33" s="73"/>
      <c r="X33" s="2"/>
      <c r="Y33" s="73"/>
      <c r="AB33" s="2"/>
      <c r="AC33" s="73"/>
    </row>
    <row r="34" spans="1:29" x14ac:dyDescent="0.25">
      <c r="A34" s="152"/>
      <c r="B34" s="939" t="s">
        <v>83</v>
      </c>
      <c r="C34" s="857" t="s">
        <v>76</v>
      </c>
      <c r="D34" s="2">
        <v>0</v>
      </c>
      <c r="E34" s="854" t="str">
        <f>TEXT('MYP Assumptions'!$D$55,"0.00%")&amp;", STRS rate"</f>
        <v>12.58%, STRS rate</v>
      </c>
      <c r="F34" s="2"/>
      <c r="G34" s="83" t="s">
        <v>875</v>
      </c>
      <c r="H34" s="2">
        <v>5158</v>
      </c>
      <c r="I34" s="854" t="str">
        <f>TEXT('MYP Assumptions'!E55,"0.00%")&amp;", projected STRS rate"</f>
        <v>14.43%, projected STRS rate</v>
      </c>
      <c r="J34" s="66"/>
      <c r="K34" s="83">
        <f t="shared" ref="K34:K43" si="14">IF(H34=0,"0.00%",(L34-H34)/H34)</f>
        <v>-0.46898022489336955</v>
      </c>
      <c r="L34" s="2">
        <f>ROUND(L24*LEFT(M34,6),0)</f>
        <v>2739</v>
      </c>
      <c r="M34" s="854" t="str">
        <f>TEXT('MYP Assumptions'!F55,"0.00%")&amp;", projected STRS rate"</f>
        <v>16.28%, projected STRS rate</v>
      </c>
      <c r="O34" s="83">
        <f t="shared" ref="O34:O43" si="15">IF(L34=0,"0.00%",(P34-L34)/L34)</f>
        <v>0.13033953997809419</v>
      </c>
      <c r="P34" s="2">
        <f>ROUND(P24*LEFT(Q34,6),0)</f>
        <v>3096</v>
      </c>
      <c r="Q34" s="854" t="str">
        <f>TEXT('MYP Assumptions'!G55,"0.00%")&amp;", projected STRS rate"</f>
        <v>18.13%, projected STRS rate</v>
      </c>
      <c r="S34" s="83">
        <f t="shared" ref="S34:S43" si="16">IF(P34=0,"0.00%",(T34-P34)/P34)</f>
        <v>7.4612403100775188E-2</v>
      </c>
      <c r="T34" s="2">
        <f>ROUND(T24*LEFT(U34,6),0)</f>
        <v>3327</v>
      </c>
      <c r="U34" s="81" t="str">
        <f>TEXT('MYP Assumptions'!H55,"0.00%")&amp;", projected STRS rate"</f>
        <v>19.10%, projected STRS rate</v>
      </c>
      <c r="W34" s="83">
        <f t="shared" ref="W34:W43" si="17">IF(T34=0,"0.00%",(X34-T34)/T34)</f>
        <v>2.0138262699128343E-2</v>
      </c>
      <c r="X34" s="2">
        <f>ROUND(X24*LEFT(Y34,6),0)</f>
        <v>3394</v>
      </c>
      <c r="Y34" s="81" t="str">
        <f>TEXT('MYP Assumptions'!I55,"0.00%")&amp;", projected STRS rate"</f>
        <v>19.10%, projected STRS rate</v>
      </c>
      <c r="AA34" s="83">
        <f t="shared" ref="AA34:AA43" si="18">IF(X34=0,"0.00%",(AB34-X34)/X34)</f>
        <v>2.0035356511490868E-2</v>
      </c>
      <c r="AB34" s="2">
        <f>ROUND(AB24*LEFT(AC34,6),0)</f>
        <v>3462</v>
      </c>
      <c r="AC34" s="81" t="str">
        <f>TEXT('MYP Assumptions'!J55,"0.00%")&amp;", projected STRS rate"</f>
        <v>19.10%, projected STRS rate</v>
      </c>
    </row>
    <row r="35" spans="1:29" x14ac:dyDescent="0.25">
      <c r="A35" s="152"/>
      <c r="B35" s="939" t="s">
        <v>84</v>
      </c>
      <c r="C35" s="857" t="s">
        <v>77</v>
      </c>
      <c r="D35" s="2">
        <v>0</v>
      </c>
      <c r="E35" s="854" t="str">
        <f>TEXT('MYP Assumptions'!$D$56,"0.00%")&amp;", PERS rate"</f>
        <v>13.89%, PERS rate</v>
      </c>
      <c r="F35" s="2"/>
      <c r="G35" s="83" t="s">
        <v>875</v>
      </c>
      <c r="H35" s="2">
        <v>17864</v>
      </c>
      <c r="I35" s="854" t="str">
        <f>TEXT('MYP Assumptions'!E56,"0.00%")&amp;", projected PERS rate"</f>
        <v>15.53%, projected PERS rate</v>
      </c>
      <c r="J35" s="66"/>
      <c r="K35" s="83">
        <f t="shared" si="14"/>
        <v>0.196820420958352</v>
      </c>
      <c r="L35" s="2">
        <f>ROUND(L31*LEFT(M35,6),0)</f>
        <v>21380</v>
      </c>
      <c r="M35" s="854" t="str">
        <f>TEXT('MYP Assumptions'!F56,"0.00%")&amp;", projected PERS rate"</f>
        <v>18.10%, projected PERS rate</v>
      </c>
      <c r="O35" s="83">
        <f t="shared" si="15"/>
        <v>0.14920486435921421</v>
      </c>
      <c r="P35" s="2">
        <f>ROUND(P31*LEFT(Q35,6),0)</f>
        <v>24570</v>
      </c>
      <c r="Q35" s="854" t="str">
        <f>TEXT('MYP Assumptions'!G56,"0.00%")&amp;", projected PERS rate"</f>
        <v>20.80%, projected PERS rate</v>
      </c>
      <c r="S35" s="83">
        <f t="shared" si="16"/>
        <v>0.16711436711436711</v>
      </c>
      <c r="T35" s="2">
        <f>ROUND(T31*LEFT(U35,6),0)</f>
        <v>28676</v>
      </c>
      <c r="U35" s="81" t="str">
        <f>TEXT('MYP Assumptions'!H56,"0.00%")&amp;", projected PERS rate"</f>
        <v>23.80%, projected PERS rate</v>
      </c>
      <c r="W35" s="83">
        <f t="shared" si="17"/>
        <v>7.9997210210629097E-2</v>
      </c>
      <c r="X35" s="2">
        <f>ROUND(X31*LEFT(Y35,6),0)</f>
        <v>30970</v>
      </c>
      <c r="Y35" s="81" t="str">
        <f>TEXT('MYP Assumptions'!I56,"0.00%")&amp;", projected PERS rate"</f>
        <v>25.20%, projected PERS rate</v>
      </c>
      <c r="AA35" s="83">
        <f t="shared" si="18"/>
        <v>5.6409428479173393E-2</v>
      </c>
      <c r="AB35" s="2">
        <f>ROUND(AB31*LEFT(AC35,6),0)</f>
        <v>32717</v>
      </c>
      <c r="AC35" s="81" t="str">
        <f>TEXT('MYP Assumptions'!J56,"0.00%")&amp;", projected PERS rate"</f>
        <v>26.10%, projected PERS rate</v>
      </c>
    </row>
    <row r="36" spans="1:29" x14ac:dyDescent="0.25">
      <c r="A36" s="152"/>
      <c r="B36" s="939" t="s">
        <v>85</v>
      </c>
      <c r="C36" s="857" t="s">
        <v>78</v>
      </c>
      <c r="D36" s="2">
        <v>0</v>
      </c>
      <c r="E36" s="854" t="str">
        <f>TEXT('MYP Assumptions'!$D$57,"0.00%")&amp;", SS rate"</f>
        <v>6.20%, SS rate</v>
      </c>
      <c r="F36" s="2"/>
      <c r="G36" s="83" t="s">
        <v>875</v>
      </c>
      <c r="H36" s="2">
        <v>7129</v>
      </c>
      <c r="I36" s="854" t="str">
        <f>TEXT('MYP Assumptions'!E57,"0.00%")&amp;", no rate change"</f>
        <v>6.20%, no rate change</v>
      </c>
      <c r="J36" s="66"/>
      <c r="K36" s="83">
        <f t="shared" si="14"/>
        <v>2.735306494599523E-2</v>
      </c>
      <c r="L36" s="2">
        <f>ROUND(L31*LEFT(M36,5),0)</f>
        <v>7324</v>
      </c>
      <c r="M36" s="854" t="str">
        <f>TEXT('MYP Assumptions'!F57,"0.00%")&amp;", no rate change"</f>
        <v>6.20%, no rate change</v>
      </c>
      <c r="O36" s="83">
        <f t="shared" si="15"/>
        <v>0</v>
      </c>
      <c r="P36" s="2">
        <f>ROUND(P31*LEFT(Q36,5),0)</f>
        <v>7324</v>
      </c>
      <c r="Q36" s="854" t="str">
        <f>TEXT('MYP Assumptions'!G57,"0.00%")&amp;", no rate change"</f>
        <v>6.20%, no rate change</v>
      </c>
      <c r="S36" s="83">
        <f t="shared" si="16"/>
        <v>1.9934462042599674E-2</v>
      </c>
      <c r="T36" s="2">
        <f>ROUND(T31*LEFT(U36,5),0)</f>
        <v>7470</v>
      </c>
      <c r="U36" s="81" t="str">
        <f>TEXT('MYP Assumptions'!H57,"0.00%")&amp;", no rate change"</f>
        <v>6.20%, no rate change</v>
      </c>
      <c r="W36" s="83">
        <f t="shared" si="17"/>
        <v>2.0080321285140562E-2</v>
      </c>
      <c r="X36" s="2">
        <f>ROUND(X31*LEFT(Y36,5),0)</f>
        <v>7620</v>
      </c>
      <c r="Y36" s="81" t="str">
        <f>TEXT('MYP Assumptions'!I57,"0.00%")&amp;", no rate change"</f>
        <v>6.20%, no rate change</v>
      </c>
      <c r="AA36" s="83">
        <f t="shared" si="18"/>
        <v>1.994750656167979E-2</v>
      </c>
      <c r="AB36" s="2">
        <f>ROUND(AB31*LEFT(AC36,5),0)</f>
        <v>7772</v>
      </c>
      <c r="AC36" s="81" t="str">
        <f>TEXT('MYP Assumptions'!J57,"0.00%")&amp;", no rate change"</f>
        <v>6.20%, no rate change</v>
      </c>
    </row>
    <row r="37" spans="1:29" x14ac:dyDescent="0.25">
      <c r="A37" s="152"/>
      <c r="B37" s="939" t="s">
        <v>86</v>
      </c>
      <c r="C37" s="857" t="s">
        <v>79</v>
      </c>
      <c r="D37" s="2">
        <v>0</v>
      </c>
      <c r="E37" s="854" t="str">
        <f>TEXT('MYP Assumptions'!$D$58,"0.00%")&amp;", Medicare rate"</f>
        <v>1.45%, Medicare rate</v>
      </c>
      <c r="F37" s="2"/>
      <c r="G37" s="83" t="s">
        <v>875</v>
      </c>
      <c r="H37" s="2">
        <f>518+1668</f>
        <v>2186</v>
      </c>
      <c r="I37" s="854" t="str">
        <f>TEXT('MYP Assumptions'!E58,"0.00%")&amp;", no rate change"</f>
        <v>1.45%, no rate change</v>
      </c>
      <c r="J37" s="66"/>
      <c r="K37" s="83">
        <f t="shared" si="14"/>
        <v>-0.10475754803293687</v>
      </c>
      <c r="L37" s="2">
        <f>ROUND((L31+L24)*LEFT(M37,5),0)</f>
        <v>1957</v>
      </c>
      <c r="M37" s="854" t="str">
        <f>TEXT('MYP Assumptions'!F58,"0.00%")&amp;", no rate change"</f>
        <v>1.45%, no rate change</v>
      </c>
      <c r="O37" s="83">
        <f t="shared" si="15"/>
        <v>1.5329586101175269E-3</v>
      </c>
      <c r="P37" s="2">
        <f>ROUND((P31+P24)*LEFT(Q37,5),0)</f>
        <v>1960</v>
      </c>
      <c r="Q37" s="854" t="str">
        <f>TEXT('MYP Assumptions'!G58,"0.00%")&amp;", no rate change"</f>
        <v>1.45%, no rate change</v>
      </c>
      <c r="S37" s="83">
        <f t="shared" si="16"/>
        <v>2.0408163265306121E-2</v>
      </c>
      <c r="T37" s="2">
        <f>ROUND((T31+T24)*LEFT(U37,5),0)</f>
        <v>2000</v>
      </c>
      <c r="U37" s="81" t="str">
        <f>TEXT('MYP Assumptions'!H58,"0.00%")&amp;", no rate change"</f>
        <v>1.45%, no rate change</v>
      </c>
      <c r="W37" s="83">
        <f t="shared" si="17"/>
        <v>0.02</v>
      </c>
      <c r="X37" s="2">
        <f>ROUND((X31+X24)*LEFT(Y37,5),0)</f>
        <v>2040</v>
      </c>
      <c r="Y37" s="81" t="str">
        <f>TEXT('MYP Assumptions'!I58,"0.00%")&amp;", no rate change"</f>
        <v>1.45%, no rate change</v>
      </c>
      <c r="AA37" s="83">
        <f t="shared" si="18"/>
        <v>1.9607843137254902E-2</v>
      </c>
      <c r="AB37" s="2">
        <f>ROUND((AB31+AB24)*LEFT(AC37,5),0)</f>
        <v>2080</v>
      </c>
      <c r="AC37" s="81" t="str">
        <f>TEXT('MYP Assumptions'!J58,"0.00%")&amp;", no rate change"</f>
        <v>1.45%, no rate change</v>
      </c>
    </row>
    <row r="38" spans="1:29" x14ac:dyDescent="0.25">
      <c r="A38" s="152"/>
      <c r="B38" s="939" t="s">
        <v>87</v>
      </c>
      <c r="C38" s="857" t="s">
        <v>80</v>
      </c>
      <c r="D38" s="2">
        <v>0</v>
      </c>
      <c r="E38" s="854"/>
      <c r="F38" s="2"/>
      <c r="G38" s="83"/>
      <c r="H38" s="2">
        <v>0</v>
      </c>
      <c r="I38" s="854"/>
      <c r="J38" s="66"/>
      <c r="K38" s="83" t="str">
        <f t="shared" si="14"/>
        <v>0.00%</v>
      </c>
      <c r="L38" s="2">
        <v>0</v>
      </c>
      <c r="M38" s="854"/>
      <c r="O38" s="83" t="str">
        <f t="shared" si="15"/>
        <v>0.00%</v>
      </c>
      <c r="P38" s="2">
        <v>0</v>
      </c>
      <c r="Q38" s="854"/>
      <c r="S38" s="83" t="str">
        <f t="shared" si="16"/>
        <v>0.00%</v>
      </c>
      <c r="T38" s="2">
        <f>ROUND((P38)*(LEFT(U38,5)+1),0)</f>
        <v>0</v>
      </c>
      <c r="U38" s="81" t="str">
        <f>TEXT('MYP Assumptions'!$M$65,"0.00%")&amp;", projected increase"</f>
        <v>7.00%, projected increase</v>
      </c>
      <c r="W38" s="83" t="str">
        <f t="shared" si="17"/>
        <v>0.00%</v>
      </c>
      <c r="X38" s="2">
        <f>ROUND((T38)*(LEFT(Y38,5)+1),0)</f>
        <v>0</v>
      </c>
      <c r="Y38" s="81" t="str">
        <f>TEXT('MYP Assumptions'!$M$65,"0.00%")&amp;", projected increase"</f>
        <v>7.00%, projected increase</v>
      </c>
      <c r="AA38" s="83" t="str">
        <f t="shared" si="18"/>
        <v>0.00%</v>
      </c>
      <c r="AB38" s="2">
        <f>ROUND((X38)*(LEFT(AC38,5)+1),0)</f>
        <v>0</v>
      </c>
      <c r="AC38" s="81" t="str">
        <f>TEXT('MYP Assumptions'!$M$65,"0.00%")&amp;", projected increase"</f>
        <v>7.00%, projected increase</v>
      </c>
    </row>
    <row r="39" spans="1:29" x14ac:dyDescent="0.25">
      <c r="A39" s="152"/>
      <c r="B39" s="939" t="s">
        <v>88</v>
      </c>
      <c r="C39" s="857" t="s">
        <v>81</v>
      </c>
      <c r="D39" s="2">
        <v>0</v>
      </c>
      <c r="E39" s="854" t="str">
        <f>TEXT('MYP Assumptions'!$D$59,"0.00%")&amp;", SUI rate"</f>
        <v>0.05%, SUI rate</v>
      </c>
      <c r="F39" s="2"/>
      <c r="G39" s="83" t="s">
        <v>875</v>
      </c>
      <c r="H39" s="2">
        <f>17+64</f>
        <v>81</v>
      </c>
      <c r="I39" s="854" t="str">
        <f>TEXT('MYP Assumptions'!E59,"0.00%")&amp;", no rate change"</f>
        <v>0.05%, no rate change</v>
      </c>
      <c r="J39" s="66"/>
      <c r="K39" s="83">
        <f t="shared" si="14"/>
        <v>-0.1728395061728395</v>
      </c>
      <c r="L39" s="2">
        <f>ROUND((L31+L24)*LEFT(M39,5),0)</f>
        <v>67</v>
      </c>
      <c r="M39" s="854" t="str">
        <f>TEXT('MYP Assumptions'!F59,"0.00%")&amp;", no rate change"</f>
        <v>0.05%, no rate change</v>
      </c>
      <c r="O39" s="83">
        <f t="shared" si="15"/>
        <v>1.4925373134328358E-2</v>
      </c>
      <c r="P39" s="2">
        <f>ROUND((P31+P24)*LEFT(Q39,5),0)</f>
        <v>68</v>
      </c>
      <c r="Q39" s="854" t="str">
        <f>TEXT('MYP Assumptions'!G59,"0.00%")&amp;", no rate change"</f>
        <v>0.05%, no rate change</v>
      </c>
      <c r="S39" s="83">
        <f t="shared" si="16"/>
        <v>1.4705882352941176E-2</v>
      </c>
      <c r="T39" s="2">
        <f>ROUND((T31+T24)*LEFT(U39,5),0)</f>
        <v>69</v>
      </c>
      <c r="U39" s="81" t="str">
        <f>TEXT('MYP Assumptions'!H59,"0.00%")&amp;", no rate change"</f>
        <v>0.05%, no rate change</v>
      </c>
      <c r="W39" s="83">
        <f t="shared" si="17"/>
        <v>1.4492753623188406E-2</v>
      </c>
      <c r="X39" s="2">
        <f>ROUND((X31+X24)*LEFT(Y39,5),0)</f>
        <v>70</v>
      </c>
      <c r="Y39" s="81" t="str">
        <f>TEXT('MYP Assumptions'!I59,"0.00%")&amp;", no rate change"</f>
        <v>0.05%, no rate change</v>
      </c>
      <c r="AA39" s="83">
        <f t="shared" si="18"/>
        <v>2.8571428571428571E-2</v>
      </c>
      <c r="AB39" s="2">
        <f>ROUND((AB31+AB24)*LEFT(AC39,5),0)</f>
        <v>72</v>
      </c>
      <c r="AC39" s="81" t="str">
        <f>TEXT('MYP Assumptions'!J59,"0.00%")&amp;", no rate change"</f>
        <v>0.05%, no rate change</v>
      </c>
    </row>
    <row r="40" spans="1:29" x14ac:dyDescent="0.25">
      <c r="A40" s="152"/>
      <c r="B40" s="939" t="s">
        <v>89</v>
      </c>
      <c r="C40" s="857" t="s">
        <v>82</v>
      </c>
      <c r="D40" s="2">
        <v>0</v>
      </c>
      <c r="E40" s="854" t="str">
        <f>TEXT('MYP Assumptions'!$D$60,"0.00%")&amp;", W/C rate"</f>
        <v>1.10%, W/C rate</v>
      </c>
      <c r="F40" s="2"/>
      <c r="G40" s="83" t="s">
        <v>875</v>
      </c>
      <c r="H40" s="2">
        <f>393+1259</f>
        <v>1652</v>
      </c>
      <c r="I40" s="854" t="str">
        <f>TEXT('MYP Assumptions'!E60,"0.00%")&amp;", no rate change"</f>
        <v>0.80%, no rate change</v>
      </c>
      <c r="J40" s="66"/>
      <c r="K40" s="83">
        <f t="shared" si="14"/>
        <v>-0.34624697336561744</v>
      </c>
      <c r="L40" s="2">
        <f>ROUND((L31+L24)*LEFT(M40,5),0)</f>
        <v>1080</v>
      </c>
      <c r="M40" s="854" t="str">
        <f>TEXT('MYP Assumptions'!F60,"0.00%")&amp;", no rate change"</f>
        <v>0.80%, no rate change</v>
      </c>
      <c r="O40" s="83">
        <f t="shared" si="15"/>
        <v>1.8518518518518519E-3</v>
      </c>
      <c r="P40" s="2">
        <f>ROUND((P31+P24)*LEFT(Q40,5),0)</f>
        <v>1082</v>
      </c>
      <c r="Q40" s="854" t="str">
        <f>TEXT('MYP Assumptions'!G60,"0.00%")&amp;", no rate change"</f>
        <v>0.80%, no rate change</v>
      </c>
      <c r="S40" s="83">
        <f t="shared" si="16"/>
        <v>1.9408502772643253E-2</v>
      </c>
      <c r="T40" s="2">
        <f>ROUND((T31+T24)*LEFT(U40,5),0)</f>
        <v>1103</v>
      </c>
      <c r="U40" s="81" t="str">
        <f>TEXT('MYP Assumptions'!H60,"0.00%")&amp;", no rate change"</f>
        <v>0.80%, no rate change</v>
      </c>
      <c r="W40" s="83">
        <f t="shared" si="17"/>
        <v>1.9945602901178604E-2</v>
      </c>
      <c r="X40" s="2">
        <f>ROUND((X31+X24)*LEFT(Y40,5),0)</f>
        <v>1125</v>
      </c>
      <c r="Y40" s="81" t="str">
        <f>TEXT('MYP Assumptions'!I60,"0.00%")&amp;", no rate change"</f>
        <v>0.80%, no rate change</v>
      </c>
      <c r="AA40" s="83">
        <f t="shared" si="18"/>
        <v>2.0444444444444446E-2</v>
      </c>
      <c r="AB40" s="2">
        <f>ROUND((AB31+AB24)*LEFT(AC40,5),0)</f>
        <v>1148</v>
      </c>
      <c r="AC40" s="81" t="str">
        <f>TEXT('MYP Assumptions'!J60,"0.00%")&amp;", no rate change"</f>
        <v>0.80%, no rate change</v>
      </c>
    </row>
    <row r="41" spans="1:29" x14ac:dyDescent="0.25">
      <c r="A41" s="152"/>
      <c r="B41" s="939" t="s">
        <v>91</v>
      </c>
      <c r="C41" s="857" t="s">
        <v>93</v>
      </c>
      <c r="D41" s="2">
        <v>0</v>
      </c>
      <c r="E41" s="863"/>
      <c r="F41" s="2"/>
      <c r="G41" s="83" t="s">
        <v>875</v>
      </c>
      <c r="H41" s="2">
        <f>D41</f>
        <v>0</v>
      </c>
      <c r="I41" s="854"/>
      <c r="J41" s="66"/>
      <c r="K41" s="83" t="str">
        <f t="shared" si="14"/>
        <v>0.00%</v>
      </c>
      <c r="L41" s="2">
        <f>H41</f>
        <v>0</v>
      </c>
      <c r="M41" s="854"/>
      <c r="O41" s="83" t="str">
        <f t="shared" si="15"/>
        <v>0.00%</v>
      </c>
      <c r="P41" s="2">
        <f>L41</f>
        <v>0</v>
      </c>
      <c r="Q41" s="854"/>
      <c r="S41" s="83" t="str">
        <f t="shared" si="16"/>
        <v>0.00%</v>
      </c>
      <c r="T41" s="2">
        <f>P41</f>
        <v>0</v>
      </c>
      <c r="U41" s="81" t="s">
        <v>166</v>
      </c>
      <c r="W41" s="83" t="str">
        <f t="shared" si="17"/>
        <v>0.00%</v>
      </c>
      <c r="X41" s="2">
        <f>T41</f>
        <v>0</v>
      </c>
      <c r="Y41" s="81" t="s">
        <v>166</v>
      </c>
      <c r="AA41" s="83" t="str">
        <f t="shared" si="18"/>
        <v>0.00%</v>
      </c>
      <c r="AB41" s="2">
        <f>X41</f>
        <v>0</v>
      </c>
      <c r="AC41" s="81" t="s">
        <v>166</v>
      </c>
    </row>
    <row r="42" spans="1:29" x14ac:dyDescent="0.25">
      <c r="A42" s="152"/>
      <c r="B42" s="939"/>
      <c r="E42" s="863"/>
      <c r="F42" s="2"/>
      <c r="G42" s="83"/>
      <c r="H42" s="2"/>
      <c r="I42" s="854"/>
      <c r="J42" s="66"/>
      <c r="K42" s="83"/>
      <c r="L42" s="2"/>
      <c r="M42" s="854"/>
      <c r="O42" s="83"/>
      <c r="Q42" s="854"/>
      <c r="S42" s="83"/>
      <c r="T42" s="2"/>
      <c r="U42" s="81"/>
      <c r="W42" s="83"/>
      <c r="X42" s="2"/>
      <c r="Y42" s="81"/>
      <c r="AA42" s="83"/>
      <c r="AB42" s="2"/>
      <c r="AC42" s="81"/>
    </row>
    <row r="43" spans="1:29" x14ac:dyDescent="0.25">
      <c r="A43" s="153"/>
      <c r="B43" s="939"/>
      <c r="D43" s="8">
        <f>SUM(D34:D42)</f>
        <v>0</v>
      </c>
      <c r="E43" s="863"/>
      <c r="F43" s="2"/>
      <c r="G43" s="83" t="str">
        <f t="shared" ref="G43" si="19">IF(D43=0,"0.00%",(H43-D43)/D43)</f>
        <v>0.00%</v>
      </c>
      <c r="H43" s="8">
        <f>SUM(H34:H42)</f>
        <v>34070</v>
      </c>
      <c r="I43" s="1292">
        <f>+H43-D43</f>
        <v>34070</v>
      </c>
      <c r="J43" s="29"/>
      <c r="K43" s="83">
        <f t="shared" si="14"/>
        <v>1.4000587026709716E-2</v>
      </c>
      <c r="L43" s="8">
        <f>SUM(L34:L42)</f>
        <v>34547</v>
      </c>
      <c r="M43" s="1292">
        <f>+L43-H43</f>
        <v>477</v>
      </c>
      <c r="O43" s="83">
        <f t="shared" si="15"/>
        <v>0.10284539902162272</v>
      </c>
      <c r="P43" s="8">
        <f>SUM(P34:P42)</f>
        <v>38100</v>
      </c>
      <c r="Q43" s="1292">
        <f>+P43-L43</f>
        <v>3553</v>
      </c>
      <c r="S43" s="83">
        <f t="shared" si="16"/>
        <v>0.11929133858267717</v>
      </c>
      <c r="T43" s="8">
        <f>SUM(T34:T42)</f>
        <v>42645</v>
      </c>
      <c r="U43" s="73"/>
      <c r="W43" s="83">
        <f t="shared" si="17"/>
        <v>6.0358775940907494E-2</v>
      </c>
      <c r="X43" s="8">
        <f>SUM(X34:X42)</f>
        <v>45219</v>
      </c>
      <c r="Y43" s="73"/>
      <c r="AA43" s="83">
        <f t="shared" si="18"/>
        <v>4.4936862823149563E-2</v>
      </c>
      <c r="AB43" s="8">
        <f>SUM(AB34:AB42)</f>
        <v>47251</v>
      </c>
      <c r="AC43" s="73"/>
    </row>
    <row r="44" spans="1:29" x14ac:dyDescent="0.25">
      <c r="A44" s="154"/>
      <c r="B44" s="939"/>
      <c r="E44" s="863"/>
      <c r="F44" s="2"/>
      <c r="H44" s="2"/>
      <c r="I44" s="871"/>
      <c r="J44" s="66"/>
      <c r="L44" s="2"/>
      <c r="M44" s="948"/>
      <c r="Q44" s="948"/>
      <c r="T44" s="2"/>
      <c r="U44" s="73"/>
      <c r="X44" s="2"/>
      <c r="Y44" s="73"/>
      <c r="AB44" s="2"/>
      <c r="AC44" s="73"/>
    </row>
    <row r="45" spans="1:29" x14ac:dyDescent="0.25">
      <c r="A45" s="153"/>
      <c r="B45" s="936" t="s">
        <v>26</v>
      </c>
      <c r="D45" s="8">
        <f>SUM(D43,D31,D24)</f>
        <v>0</v>
      </c>
      <c r="E45" s="863"/>
      <c r="F45" s="2"/>
      <c r="G45" s="83" t="str">
        <f>IF(D45=0,"0.00%",(H45-D45)/D45)</f>
        <v>0.00%</v>
      </c>
      <c r="H45" s="8">
        <f>SUM(H43,H31,H24)</f>
        <v>168771</v>
      </c>
      <c r="I45" s="1292">
        <f>+H45-D45</f>
        <v>168771</v>
      </c>
      <c r="J45" s="29"/>
      <c r="K45" s="83">
        <f>IF(H45=0,"0.00%",(L45-H45)/H45)</f>
        <v>4.3016869011856303E-3</v>
      </c>
      <c r="L45" s="8">
        <f>SUM(L43,L31,L24)</f>
        <v>169497</v>
      </c>
      <c r="M45" s="1292">
        <f>+L45-H45</f>
        <v>726</v>
      </c>
      <c r="O45" s="83">
        <f>IF(L45=0,"0.00%",(P45-L45)/L45)</f>
        <v>2.2448774904570583E-2</v>
      </c>
      <c r="P45" s="8">
        <f>SUM(P43,P31,P24)</f>
        <v>173302</v>
      </c>
      <c r="Q45" s="1292">
        <f>+P45-L45</f>
        <v>3805</v>
      </c>
      <c r="S45" s="83">
        <f>IF(P45=0,"0.00%",(T45-P45)/P45)</f>
        <v>4.1834485464680153E-2</v>
      </c>
      <c r="T45" s="8">
        <f>SUM(T43,T31,T24)</f>
        <v>180552</v>
      </c>
      <c r="U45" s="73"/>
      <c r="W45" s="83">
        <f>IF(T45=0,"0.00%",(X45-T45)/T45)</f>
        <v>2.9531658469582171E-2</v>
      </c>
      <c r="X45" s="8">
        <f>SUM(X43,X31,X24)</f>
        <v>185884</v>
      </c>
      <c r="Y45" s="73"/>
      <c r="AA45" s="83">
        <f>IF(X45=0,"0.00%",(AB45-X45)/X45)</f>
        <v>2.6064642465193348E-2</v>
      </c>
      <c r="AB45" s="8">
        <f>SUM(AB43,AB31,AB24)</f>
        <v>190729</v>
      </c>
      <c r="AC45" s="73"/>
    </row>
    <row r="46" spans="1:29" x14ac:dyDescent="0.25">
      <c r="A46" s="155"/>
      <c r="E46" s="863"/>
      <c r="F46" s="2"/>
      <c r="H46" s="2"/>
      <c r="I46" s="871"/>
      <c r="J46" s="66"/>
      <c r="L46" s="2"/>
      <c r="M46" s="948"/>
      <c r="Q46" s="948"/>
      <c r="T46" s="2"/>
      <c r="U46" s="73"/>
      <c r="X46" s="2"/>
      <c r="Y46" s="73"/>
      <c r="AB46" s="2"/>
      <c r="AC46" s="73"/>
    </row>
    <row r="47" spans="1:29" x14ac:dyDescent="0.25">
      <c r="A47" s="152"/>
      <c r="E47" s="863"/>
      <c r="F47" s="2"/>
      <c r="H47" s="2"/>
      <c r="I47" s="871"/>
      <c r="J47" s="66"/>
      <c r="L47" s="2"/>
      <c r="M47" s="948"/>
      <c r="Q47" s="948"/>
      <c r="T47" s="2"/>
      <c r="U47" s="73"/>
      <c r="X47" s="2"/>
      <c r="Y47" s="73"/>
      <c r="AB47" s="2"/>
      <c r="AC47" s="73"/>
    </row>
    <row r="48" spans="1:29" x14ac:dyDescent="0.25">
      <c r="A48" s="155"/>
      <c r="B48" s="940" t="s">
        <v>25</v>
      </c>
      <c r="C48" s="873"/>
      <c r="E48" s="863"/>
      <c r="F48" s="2"/>
      <c r="H48" s="448"/>
      <c r="I48" s="871"/>
      <c r="J48" s="66"/>
      <c r="L48" s="448"/>
      <c r="M48" s="871"/>
      <c r="P48" s="448"/>
      <c r="Q48" s="871"/>
      <c r="T48" s="2"/>
      <c r="U48" s="73"/>
      <c r="X48" s="2"/>
      <c r="Y48" s="73"/>
      <c r="AB48" s="2"/>
      <c r="AC48" s="73"/>
    </row>
    <row r="49" spans="1:29" x14ac:dyDescent="0.25">
      <c r="A49" s="152"/>
      <c r="B49" s="939">
        <v>4212</v>
      </c>
      <c r="C49" s="857" t="s">
        <v>828</v>
      </c>
      <c r="D49" s="2">
        <v>45192.47</v>
      </c>
      <c r="E49" s="863"/>
      <c r="F49" s="2"/>
      <c r="G49" s="83">
        <f t="shared" ref="G49:G59" si="20">IF(D49=0,"0.00%",(H49-D49)/D49)</f>
        <v>9.3146712273084409E-2</v>
      </c>
      <c r="H49" s="2">
        <v>49402</v>
      </c>
      <c r="I49" s="871"/>
      <c r="J49" s="66"/>
      <c r="K49" s="83">
        <f t="shared" ref="K49:K59" si="21">IF(H49=0,"0.00%",(L49-H49)/H49)</f>
        <v>-0.1903161815311121</v>
      </c>
      <c r="L49" s="2">
        <v>40000</v>
      </c>
      <c r="M49" s="871"/>
      <c r="O49" s="83">
        <f t="shared" ref="O49:O59" si="22">IF(L49=0,"0.00%",(P49-L49)/L49)</f>
        <v>0</v>
      </c>
      <c r="P49" s="2">
        <f>+L49*(1-$P$48)</f>
        <v>40000</v>
      </c>
      <c r="Q49" s="871"/>
      <c r="S49" s="83">
        <f t="shared" ref="S49:S59" si="23">IF(P49=0,"0.00%",(T49-P49)/P49)</f>
        <v>2.7300000000000001E-2</v>
      </c>
      <c r="T49" s="2">
        <f>ROUND(P49*(LEFT(U49,5)+1),0)</f>
        <v>41092</v>
      </c>
      <c r="U49" s="81" t="str">
        <f>TEXT('MYP Assumptions'!H75,"0.00%")&amp;", CPI"</f>
        <v>2.73%, CPI</v>
      </c>
      <c r="W49" s="83">
        <f t="shared" ref="W49:W59" si="24">IF(T49=0,"0.00%",(X49-T49)/T49)</f>
        <v>2.7304584834030955E-2</v>
      </c>
      <c r="X49" s="2">
        <f>ROUND(T49*(LEFT(Y49,5)+1),0)</f>
        <v>42214</v>
      </c>
      <c r="Y49" s="81" t="str">
        <f>TEXT('MYP Assumptions'!I75,"0.00%")&amp;", CPI"</f>
        <v>2.73%, CPI</v>
      </c>
      <c r="AA49" s="83">
        <f t="shared" ref="AA49:AA59" si="25">IF(X49=0,"0.00%",(AB49-X49)/X49)</f>
        <v>2.7289524802198324E-2</v>
      </c>
      <c r="AB49" s="2">
        <f>ROUND(X49*(LEFT(AC49,5)+1),0)</f>
        <v>43366</v>
      </c>
      <c r="AC49" s="81" t="str">
        <f>TEXT('MYP Assumptions'!J75,"0.00%")&amp;", CPI"</f>
        <v>2.73%, CPI</v>
      </c>
    </row>
    <row r="50" spans="1:29" x14ac:dyDescent="0.25">
      <c r="A50" s="152"/>
      <c r="B50" s="939">
        <v>4310</v>
      </c>
      <c r="C50" s="857" t="s">
        <v>910</v>
      </c>
      <c r="D50" s="2">
        <v>201822.27</v>
      </c>
      <c r="E50" s="863"/>
      <c r="F50" s="2"/>
      <c r="G50" s="83">
        <f t="shared" si="20"/>
        <v>0.13203067233363303</v>
      </c>
      <c r="H50" s="2">
        <v>228469</v>
      </c>
      <c r="I50" s="871"/>
      <c r="J50" s="66"/>
      <c r="K50" s="83">
        <f t="shared" si="21"/>
        <v>-0.34345578612415689</v>
      </c>
      <c r="L50" s="2">
        <v>150000</v>
      </c>
      <c r="M50" s="871"/>
      <c r="O50" s="83">
        <f t="shared" si="22"/>
        <v>0</v>
      </c>
      <c r="P50" s="2">
        <f t="shared" ref="P50:P58" si="26">+L50*(1-$P$48)</f>
        <v>150000</v>
      </c>
      <c r="Q50" s="871"/>
      <c r="S50" s="83">
        <f t="shared" si="23"/>
        <v>2.7300000000000001E-2</v>
      </c>
      <c r="T50" s="2">
        <f t="shared" ref="T50:T58" si="27">ROUND(P50*(LEFT(U50,5)+1),0)</f>
        <v>154095</v>
      </c>
      <c r="U50" s="81" t="str">
        <f>TEXT('MYP Assumptions'!H75,"0.00%")&amp;", CPI"</f>
        <v>2.73%, CPI</v>
      </c>
      <c r="W50" s="83">
        <f t="shared" si="24"/>
        <v>2.7301340082416692E-2</v>
      </c>
      <c r="X50" s="2">
        <f t="shared" ref="X50:X58" si="28">ROUND(T50*(LEFT(Y50,5)+1),0)</f>
        <v>158302</v>
      </c>
      <c r="Y50" s="81" t="str">
        <f>TEXT('MYP Assumptions'!I75,"0.00%")&amp;", CPI"</f>
        <v>2.73%, CPI</v>
      </c>
      <c r="AA50" s="83">
        <f t="shared" si="25"/>
        <v>2.7302245075867645E-2</v>
      </c>
      <c r="AB50" s="2">
        <f t="shared" ref="AB50:AB58" si="29">ROUND(X50*(LEFT(AC50,5)+1),0)</f>
        <v>162624</v>
      </c>
      <c r="AC50" s="81" t="str">
        <f>TEXT('MYP Assumptions'!J75,"0.00%")&amp;", CPI"</f>
        <v>2.73%, CPI</v>
      </c>
    </row>
    <row r="51" spans="1:29" x14ac:dyDescent="0.25">
      <c r="A51" s="152"/>
      <c r="B51" s="939">
        <v>4316</v>
      </c>
      <c r="C51" s="857" t="s">
        <v>935</v>
      </c>
      <c r="D51" s="2">
        <v>3274.69</v>
      </c>
      <c r="E51" s="863"/>
      <c r="F51" s="2"/>
      <c r="G51" s="83">
        <f t="shared" si="20"/>
        <v>9.811921128412153E-2</v>
      </c>
      <c r="H51" s="2">
        <v>3596</v>
      </c>
      <c r="I51" s="871"/>
      <c r="J51" s="66"/>
      <c r="K51" s="83">
        <f t="shared" si="21"/>
        <v>-0.1657397107897664</v>
      </c>
      <c r="L51" s="2">
        <v>3000</v>
      </c>
      <c r="M51" s="871"/>
      <c r="O51" s="83">
        <f t="shared" si="22"/>
        <v>0</v>
      </c>
      <c r="P51" s="2">
        <f t="shared" si="26"/>
        <v>3000</v>
      </c>
      <c r="Q51" s="871"/>
      <c r="S51" s="83">
        <f t="shared" si="23"/>
        <v>2.7333333333333334E-2</v>
      </c>
      <c r="T51" s="2">
        <f t="shared" si="27"/>
        <v>3082</v>
      </c>
      <c r="U51" s="81" t="str">
        <f>TEXT('MYP Assumptions'!H75,"0.00%")&amp;", CPI"</f>
        <v>2.73%, CPI</v>
      </c>
      <c r="W51" s="83">
        <f t="shared" si="24"/>
        <v>2.7255029201817001E-2</v>
      </c>
      <c r="X51" s="2">
        <f t="shared" si="28"/>
        <v>3166</v>
      </c>
      <c r="Y51" s="81" t="str">
        <f>TEXT('MYP Assumptions'!I75,"0.00%")&amp;", CPI"</f>
        <v>2.73%, CPI</v>
      </c>
      <c r="AA51" s="83">
        <f t="shared" si="25"/>
        <v>2.7163613392293114E-2</v>
      </c>
      <c r="AB51" s="2">
        <f t="shared" si="29"/>
        <v>3252</v>
      </c>
      <c r="AC51" s="81" t="str">
        <f>TEXT('MYP Assumptions'!J75,"0.00%")&amp;", CPI"</f>
        <v>2.73%, CPI</v>
      </c>
    </row>
    <row r="52" spans="1:29" x14ac:dyDescent="0.25">
      <c r="A52" s="152"/>
      <c r="B52" s="939">
        <v>4352</v>
      </c>
      <c r="C52" s="857" t="s">
        <v>324</v>
      </c>
      <c r="D52" s="2">
        <v>2364.7600000000002</v>
      </c>
      <c r="E52" s="863"/>
      <c r="F52" s="2"/>
      <c r="G52" s="83">
        <f t="shared" si="20"/>
        <v>-0.71751890255247897</v>
      </c>
      <c r="H52" s="2">
        <v>668</v>
      </c>
      <c r="I52" s="871"/>
      <c r="J52" s="66"/>
      <c r="K52" s="83">
        <f t="shared" si="21"/>
        <v>0.49700598802395207</v>
      </c>
      <c r="L52" s="2">
        <v>1000</v>
      </c>
      <c r="M52" s="871"/>
      <c r="O52" s="83">
        <f t="shared" si="22"/>
        <v>0</v>
      </c>
      <c r="P52" s="2">
        <f t="shared" si="26"/>
        <v>1000</v>
      </c>
      <c r="Q52" s="871"/>
      <c r="S52" s="83">
        <f t="shared" si="23"/>
        <v>2.7E-2</v>
      </c>
      <c r="T52" s="2">
        <f t="shared" si="27"/>
        <v>1027</v>
      </c>
      <c r="U52" s="81" t="str">
        <f>TEXT('MYP Assumptions'!H75,"0.00%")&amp;", CPI"</f>
        <v>2.73%, CPI</v>
      </c>
      <c r="W52" s="83">
        <f t="shared" si="24"/>
        <v>2.7263875365141188E-2</v>
      </c>
      <c r="X52" s="2">
        <f t="shared" si="28"/>
        <v>1055</v>
      </c>
      <c r="Y52" s="81" t="str">
        <f>TEXT('MYP Assumptions'!I75,"0.00%")&amp;", CPI"</f>
        <v>2.73%, CPI</v>
      </c>
      <c r="AA52" s="83">
        <f t="shared" si="25"/>
        <v>2.7488151658767772E-2</v>
      </c>
      <c r="AB52" s="2">
        <f t="shared" si="29"/>
        <v>1084</v>
      </c>
      <c r="AC52" s="81" t="str">
        <f>TEXT('MYP Assumptions'!J75,"0.00%")&amp;", CPI"</f>
        <v>2.73%, CPI</v>
      </c>
    </row>
    <row r="53" spans="1:29" x14ac:dyDescent="0.25">
      <c r="A53" s="152"/>
      <c r="B53" s="939">
        <v>4353</v>
      </c>
      <c r="C53" s="857" t="s">
        <v>911</v>
      </c>
      <c r="D53" s="2">
        <v>44736.22</v>
      </c>
      <c r="E53" s="863"/>
      <c r="F53" s="2"/>
      <c r="G53" s="83">
        <f t="shared" si="20"/>
        <v>0.13657345211553409</v>
      </c>
      <c r="H53" s="2">
        <v>50846</v>
      </c>
      <c r="I53" s="871"/>
      <c r="J53" s="66"/>
      <c r="K53" s="83">
        <f t="shared" si="21"/>
        <v>-1.6638476969673129E-2</v>
      </c>
      <c r="L53" s="2">
        <v>50000</v>
      </c>
      <c r="M53" s="871"/>
      <c r="O53" s="83">
        <f t="shared" si="22"/>
        <v>0</v>
      </c>
      <c r="P53" s="2">
        <f>+L53*(1-$P$48)</f>
        <v>50000</v>
      </c>
      <c r="Q53" s="871"/>
      <c r="S53" s="83">
        <f t="shared" si="23"/>
        <v>2.7300000000000001E-2</v>
      </c>
      <c r="T53" s="2">
        <f t="shared" si="27"/>
        <v>51365</v>
      </c>
      <c r="U53" s="81" t="str">
        <f>TEXT('MYP Assumptions'!H75,"0.00%")&amp;", CPI"</f>
        <v>2.73%, CPI</v>
      </c>
      <c r="W53" s="83">
        <f t="shared" si="24"/>
        <v>2.7294850579188162E-2</v>
      </c>
      <c r="X53" s="2">
        <f t="shared" si="28"/>
        <v>52767</v>
      </c>
      <c r="Y53" s="81" t="str">
        <f>TEXT('MYP Assumptions'!I75,"0.00%")&amp;", CPI"</f>
        <v>2.73%, CPI</v>
      </c>
      <c r="AA53" s="83">
        <f t="shared" si="25"/>
        <v>2.7308734625807796E-2</v>
      </c>
      <c r="AB53" s="2">
        <f t="shared" si="29"/>
        <v>54208</v>
      </c>
      <c r="AC53" s="81" t="str">
        <f>TEXT('MYP Assumptions'!J75,"0.00%")&amp;", CPI"</f>
        <v>2.73%, CPI</v>
      </c>
    </row>
    <row r="54" spans="1:29" x14ac:dyDescent="0.25">
      <c r="A54" s="152"/>
      <c r="B54" s="939">
        <v>4354</v>
      </c>
      <c r="C54" s="857" t="s">
        <v>325</v>
      </c>
      <c r="D54" s="2">
        <v>2127.5300000000002</v>
      </c>
      <c r="E54" s="863"/>
      <c r="F54" s="2"/>
      <c r="G54" s="83">
        <f t="shared" si="20"/>
        <v>5.1103721216622082</v>
      </c>
      <c r="H54" s="2">
        <v>13000</v>
      </c>
      <c r="I54" s="871"/>
      <c r="J54" s="66"/>
      <c r="K54" s="83">
        <f t="shared" si="21"/>
        <v>0.53846153846153844</v>
      </c>
      <c r="L54" s="2">
        <v>20000</v>
      </c>
      <c r="M54" s="871"/>
      <c r="O54" s="83">
        <f t="shared" si="22"/>
        <v>0</v>
      </c>
      <c r="P54" s="2">
        <f t="shared" si="26"/>
        <v>20000</v>
      </c>
      <c r="Q54" s="871"/>
      <c r="S54" s="83">
        <f t="shared" si="23"/>
        <v>2.7300000000000001E-2</v>
      </c>
      <c r="T54" s="2">
        <f t="shared" si="27"/>
        <v>20546</v>
      </c>
      <c r="U54" s="81" t="str">
        <f>TEXT('MYP Assumptions'!H75,"0.00%")&amp;", CPI"</f>
        <v>2.73%, CPI</v>
      </c>
      <c r="W54" s="83">
        <f t="shared" si="24"/>
        <v>2.7304584834030955E-2</v>
      </c>
      <c r="X54" s="2">
        <f t="shared" si="28"/>
        <v>21107</v>
      </c>
      <c r="Y54" s="81" t="str">
        <f>TEXT('MYP Assumptions'!I75,"0.00%")&amp;", CPI"</f>
        <v>2.73%, CPI</v>
      </c>
      <c r="AA54" s="83">
        <f t="shared" si="25"/>
        <v>2.7289524802198324E-2</v>
      </c>
      <c r="AB54" s="2">
        <f t="shared" si="29"/>
        <v>21683</v>
      </c>
      <c r="AC54" s="81" t="str">
        <f>TEXT('MYP Assumptions'!J75,"0.00%")&amp;", CPI"</f>
        <v>2.73%, CPI</v>
      </c>
    </row>
    <row r="55" spans="1:29" x14ac:dyDescent="0.25">
      <c r="A55" s="152"/>
      <c r="B55" s="939">
        <v>4400</v>
      </c>
      <c r="C55" s="857" t="s">
        <v>936</v>
      </c>
      <c r="D55" s="2">
        <v>40679.54</v>
      </c>
      <c r="E55" s="863"/>
      <c r="F55" s="2"/>
      <c r="G55" s="83">
        <f t="shared" si="20"/>
        <v>-0.32727852871492646</v>
      </c>
      <c r="H55" s="2">
        <v>27366</v>
      </c>
      <c r="I55" s="871"/>
      <c r="J55" s="66"/>
      <c r="K55" s="83">
        <f t="shared" si="21"/>
        <v>1.0097931740115471</v>
      </c>
      <c r="L55" s="2">
        <v>55000</v>
      </c>
      <c r="M55" s="871"/>
      <c r="O55" s="83">
        <f t="shared" si="22"/>
        <v>0</v>
      </c>
      <c r="P55" s="2">
        <f t="shared" si="26"/>
        <v>55000</v>
      </c>
      <c r="Q55" s="871"/>
      <c r="S55" s="83"/>
      <c r="T55" s="2"/>
      <c r="U55" s="81"/>
      <c r="W55" s="83"/>
      <c r="X55" s="2"/>
      <c r="Y55" s="81"/>
      <c r="AA55" s="83"/>
      <c r="AB55" s="2"/>
      <c r="AC55" s="81"/>
    </row>
    <row r="56" spans="1:29" hidden="1" x14ac:dyDescent="0.25">
      <c r="A56" s="152"/>
      <c r="B56" s="939"/>
      <c r="E56" s="863"/>
      <c r="F56" s="2"/>
      <c r="G56" s="83" t="str">
        <f t="shared" si="20"/>
        <v>0.00%</v>
      </c>
      <c r="H56" s="2"/>
      <c r="I56" s="854"/>
      <c r="J56" s="66"/>
      <c r="K56" s="83" t="str">
        <f t="shared" si="21"/>
        <v>0.00%</v>
      </c>
      <c r="L56" s="2">
        <f t="shared" ref="L56:L58" si="30">ROUND(H56*(LEFT(M56,5)+1),0)</f>
        <v>0</v>
      </c>
      <c r="M56" s="854" t="str">
        <f>TEXT('MYP Assumptions'!$E$75,"0.00%")&amp;", CPI"</f>
        <v>3.42%, CPI</v>
      </c>
      <c r="O56" s="83" t="str">
        <f t="shared" si="22"/>
        <v>0.00%</v>
      </c>
      <c r="P56" s="2">
        <f t="shared" si="26"/>
        <v>0</v>
      </c>
      <c r="Q56" s="871" t="str">
        <f t="shared" ref="Q56:Q58" si="31">TEXT($P$48,"0.00%")&amp;"   reduction"</f>
        <v>0.00%   reduction</v>
      </c>
      <c r="S56" s="83"/>
      <c r="T56" s="2"/>
      <c r="U56" s="81"/>
      <c r="W56" s="83"/>
      <c r="X56" s="2"/>
      <c r="Y56" s="81"/>
      <c r="AA56" s="83"/>
      <c r="AB56" s="2"/>
      <c r="AC56" s="81"/>
    </row>
    <row r="57" spans="1:29" hidden="1" x14ac:dyDescent="0.25">
      <c r="A57" s="152"/>
      <c r="B57" s="939"/>
      <c r="E57" s="863"/>
      <c r="F57" s="2"/>
      <c r="G57" s="83" t="str">
        <f t="shared" si="20"/>
        <v>0.00%</v>
      </c>
      <c r="H57" s="2"/>
      <c r="I57" s="854"/>
      <c r="J57" s="66"/>
      <c r="K57" s="83" t="str">
        <f t="shared" si="21"/>
        <v>0.00%</v>
      </c>
      <c r="L57" s="2">
        <f t="shared" si="30"/>
        <v>0</v>
      </c>
      <c r="M57" s="854" t="str">
        <f>TEXT('MYP Assumptions'!$E$75,"0.00%")&amp;", CPI"</f>
        <v>3.42%, CPI</v>
      </c>
      <c r="O57" s="83" t="str">
        <f t="shared" si="22"/>
        <v>0.00%</v>
      </c>
      <c r="P57" s="2">
        <f t="shared" si="26"/>
        <v>0</v>
      </c>
      <c r="Q57" s="871" t="str">
        <f t="shared" si="31"/>
        <v>0.00%   reduction</v>
      </c>
      <c r="S57" s="83"/>
      <c r="T57" s="2"/>
      <c r="U57" s="81"/>
      <c r="W57" s="83"/>
      <c r="X57" s="2"/>
      <c r="Y57" s="81"/>
      <c r="AA57" s="83"/>
      <c r="AB57" s="2"/>
      <c r="AC57" s="81"/>
    </row>
    <row r="58" spans="1:29" hidden="1" x14ac:dyDescent="0.25">
      <c r="A58" s="152"/>
      <c r="B58" s="939"/>
      <c r="E58" s="863"/>
      <c r="F58" s="2"/>
      <c r="G58" s="83" t="str">
        <f t="shared" si="20"/>
        <v>0.00%</v>
      </c>
      <c r="H58" s="2"/>
      <c r="I58" s="854"/>
      <c r="J58" s="66"/>
      <c r="K58" s="83" t="str">
        <f t="shared" si="21"/>
        <v>0.00%</v>
      </c>
      <c r="L58" s="2">
        <f t="shared" si="30"/>
        <v>0</v>
      </c>
      <c r="M58" s="854" t="str">
        <f>TEXT('MYP Assumptions'!$E$75,"0.00%")&amp;", CPI"</f>
        <v>3.42%, CPI</v>
      </c>
      <c r="O58" s="83" t="str">
        <f t="shared" si="22"/>
        <v>0.00%</v>
      </c>
      <c r="P58" s="2">
        <f t="shared" si="26"/>
        <v>0</v>
      </c>
      <c r="Q58" s="871" t="str">
        <f t="shared" si="31"/>
        <v>0.00%   reduction</v>
      </c>
      <c r="S58" s="83" t="str">
        <f t="shared" si="23"/>
        <v>0.00%</v>
      </c>
      <c r="T58" s="2">
        <f t="shared" si="27"/>
        <v>0</v>
      </c>
      <c r="U58" s="81" t="str">
        <f>TEXT('MYP Assumptions'!H75,"0.00%")&amp;", CPI"</f>
        <v>2.73%, CPI</v>
      </c>
      <c r="W58" s="83" t="str">
        <f t="shared" si="24"/>
        <v>0.00%</v>
      </c>
      <c r="X58" s="2">
        <f t="shared" si="28"/>
        <v>0</v>
      </c>
      <c r="Y58" s="81" t="str">
        <f>TEXT('MYP Assumptions'!I75,"0.00%")&amp;", CPI"</f>
        <v>2.73%, CPI</v>
      </c>
      <c r="AA58" s="83" t="str">
        <f t="shared" si="25"/>
        <v>0.00%</v>
      </c>
      <c r="AB58" s="2">
        <f t="shared" si="29"/>
        <v>0</v>
      </c>
      <c r="AC58" s="81" t="str">
        <f>TEXT('MYP Assumptions'!J75,"0.00%")&amp;", CPI"</f>
        <v>2.73%, CPI</v>
      </c>
    </row>
    <row r="59" spans="1:29" x14ac:dyDescent="0.25">
      <c r="A59" s="153"/>
      <c r="B59" s="857"/>
      <c r="D59" s="8">
        <f>SUM(D49:D58)</f>
        <v>340197.48000000004</v>
      </c>
      <c r="E59" s="863"/>
      <c r="F59" s="2"/>
      <c r="G59" s="83">
        <f t="shared" si="20"/>
        <v>9.7441991633800337E-2</v>
      </c>
      <c r="H59" s="8">
        <f>SUM(H49:H58)</f>
        <v>373347</v>
      </c>
      <c r="I59" s="1292">
        <f>+H59-D59</f>
        <v>33149.51999999996</v>
      </c>
      <c r="J59" s="29"/>
      <c r="K59" s="83">
        <f t="shared" si="21"/>
        <v>-0.1455669926368767</v>
      </c>
      <c r="L59" s="8">
        <f>SUM(L49:L58)</f>
        <v>319000</v>
      </c>
      <c r="M59" s="1292">
        <f>+L59-H59</f>
        <v>-54347</v>
      </c>
      <c r="O59" s="83">
        <f t="shared" si="22"/>
        <v>0</v>
      </c>
      <c r="P59" s="8">
        <f>SUM(P49:P58)</f>
        <v>319000</v>
      </c>
      <c r="Q59" s="1292">
        <f>+P59-L59</f>
        <v>0</v>
      </c>
      <c r="S59" s="83">
        <f t="shared" si="23"/>
        <v>-0.14982131661442005</v>
      </c>
      <c r="T59" s="8">
        <f>SUM(T49:T58)</f>
        <v>271207</v>
      </c>
      <c r="U59" s="73"/>
      <c r="W59" s="83">
        <f t="shared" si="24"/>
        <v>2.7300180305080621E-2</v>
      </c>
      <c r="X59" s="8">
        <f>SUM(X49:X58)</f>
        <v>278611</v>
      </c>
      <c r="Y59" s="73"/>
      <c r="AA59" s="83">
        <f t="shared" si="25"/>
        <v>2.7299711784531121E-2</v>
      </c>
      <c r="AB59" s="8">
        <f>SUM(AB49:AB58)</f>
        <v>286217</v>
      </c>
      <c r="AC59" s="73"/>
    </row>
    <row r="60" spans="1:29" x14ac:dyDescent="0.25">
      <c r="A60" s="152"/>
      <c r="E60" s="863"/>
      <c r="F60" s="2"/>
      <c r="H60" s="2"/>
      <c r="I60" s="871"/>
      <c r="J60" s="66"/>
      <c r="L60" s="2"/>
      <c r="M60" s="871"/>
      <c r="Q60" s="948"/>
      <c r="T60" s="2"/>
      <c r="U60" s="73"/>
      <c r="X60" s="2"/>
      <c r="Y60" s="73"/>
      <c r="AB60" s="2"/>
      <c r="AC60" s="73"/>
    </row>
    <row r="61" spans="1:29" s="4" customFormat="1" x14ac:dyDescent="0.25">
      <c r="A61" s="150"/>
      <c r="B61" s="936" t="s">
        <v>16</v>
      </c>
      <c r="C61" s="873"/>
      <c r="D61" s="6"/>
      <c r="E61" s="864"/>
      <c r="F61" s="6"/>
      <c r="G61" s="373"/>
      <c r="H61" s="448"/>
      <c r="I61" s="871"/>
      <c r="J61" s="58"/>
      <c r="K61" s="380"/>
      <c r="L61" s="448"/>
      <c r="M61" s="871"/>
      <c r="O61" s="380"/>
      <c r="P61" s="448"/>
      <c r="Q61" s="871"/>
      <c r="R61" s="111"/>
      <c r="U61" s="71"/>
      <c r="Y61" s="71"/>
      <c r="AC61" s="71"/>
    </row>
    <row r="62" spans="1:29" x14ac:dyDescent="0.25">
      <c r="A62" s="152"/>
      <c r="B62" s="939">
        <v>5213</v>
      </c>
      <c r="C62" s="857" t="s">
        <v>258</v>
      </c>
      <c r="D62" s="2">
        <v>21951.58</v>
      </c>
      <c r="E62" s="863"/>
      <c r="F62" s="2"/>
      <c r="G62" s="83">
        <f t="shared" ref="G62:G67" si="32">IF(D62=0,"0.00%",(H62-D62)/D62)</f>
        <v>0.76310771252000986</v>
      </c>
      <c r="H62" s="2">
        <v>38703</v>
      </c>
      <c r="I62" s="871"/>
      <c r="J62" s="66"/>
      <c r="K62" s="83">
        <f t="shared" ref="K62:K76" si="33">IF(H62=0,"0.00%",(L62-H62)/H62)</f>
        <v>-0.22486628943492754</v>
      </c>
      <c r="L62" s="2">
        <v>30000</v>
      </c>
      <c r="M62" s="871"/>
      <c r="O62" s="83">
        <f t="shared" ref="O62:O76" si="34">IF(L62=0,"0.00%",(P62-L62)/L62)</f>
        <v>0</v>
      </c>
      <c r="P62" s="2">
        <f>+L62*(1-$P$61)</f>
        <v>30000</v>
      </c>
      <c r="Q62" s="871"/>
      <c r="S62" s="83">
        <f t="shared" ref="S62:S76" si="35">IF(P62=0,"0.00%",(T62-P62)/P62)</f>
        <v>2.7300000000000001E-2</v>
      </c>
      <c r="T62" s="2">
        <f>ROUND(P62*(LEFT(U62,5)+1),0)</f>
        <v>30819</v>
      </c>
      <c r="U62" s="81" t="str">
        <f>TEXT('MYP Assumptions'!H75,"0.00%")&amp;", CPI"</f>
        <v>2.73%, CPI</v>
      </c>
      <c r="W62" s="83">
        <f t="shared" ref="W62:W76" si="36">IF(T62=0,"0.00%",(X62-T62)/T62)</f>
        <v>2.7288361075959635E-2</v>
      </c>
      <c r="X62" s="2">
        <f>ROUND(T62*(LEFT(Y62,5)+1),0)</f>
        <v>31660</v>
      </c>
      <c r="Y62" s="81" t="str">
        <f>TEXT('MYP Assumptions'!I75,"0.00%")&amp;", CPI"</f>
        <v>2.73%, CPI</v>
      </c>
      <c r="AA62" s="83">
        <f t="shared" ref="AA62:AA76" si="37">IF(X62=0,"0.00%",(AB62-X62)/X62)</f>
        <v>2.7289955780164243E-2</v>
      </c>
      <c r="AB62" s="2">
        <f>ROUND(X62*(LEFT(AC62,5)+1),0)</f>
        <v>32524</v>
      </c>
      <c r="AC62" s="81" t="str">
        <f>TEXT('MYP Assumptions'!J75,"0.00%")&amp;", CPI"</f>
        <v>2.73%, CPI</v>
      </c>
    </row>
    <row r="63" spans="1:29" x14ac:dyDescent="0.25">
      <c r="A63" s="152"/>
      <c r="B63" s="939">
        <v>5310</v>
      </c>
      <c r="C63" s="857" t="s">
        <v>12</v>
      </c>
      <c r="D63" s="2">
        <v>16620</v>
      </c>
      <c r="E63" s="863"/>
      <c r="F63" s="2"/>
      <c r="G63" s="83">
        <f t="shared" si="32"/>
        <v>5.4572803850782191E-2</v>
      </c>
      <c r="H63" s="2">
        <v>17527</v>
      </c>
      <c r="I63" s="854"/>
      <c r="J63" s="66"/>
      <c r="K63" s="83">
        <f t="shared" si="33"/>
        <v>-0.4294517030866663</v>
      </c>
      <c r="L63" s="2">
        <v>10000</v>
      </c>
      <c r="M63" s="871"/>
      <c r="O63" s="83">
        <f t="shared" si="34"/>
        <v>0</v>
      </c>
      <c r="P63" s="2">
        <f t="shared" ref="P63:P74" si="38">+L63*(1-$P$61)</f>
        <v>10000</v>
      </c>
      <c r="Q63" s="871"/>
      <c r="S63" s="83">
        <f t="shared" si="35"/>
        <v>2.7300000000000001E-2</v>
      </c>
      <c r="T63" s="2">
        <f t="shared" ref="T63:T75" si="39">ROUND(P63*(LEFT(U63,5)+1),0)</f>
        <v>10273</v>
      </c>
      <c r="U63" s="81" t="str">
        <f>TEXT('MYP Assumptions'!H75,"0.00%")&amp;", CPI"</f>
        <v>2.73%, CPI</v>
      </c>
      <c r="W63" s="83">
        <f t="shared" si="36"/>
        <v>2.7255913559816995E-2</v>
      </c>
      <c r="X63" s="2">
        <f t="shared" ref="X63:X75" si="40">ROUND(T63*(LEFT(Y63,5)+1),0)</f>
        <v>10553</v>
      </c>
      <c r="Y63" s="81" t="str">
        <f>TEXT('MYP Assumptions'!I75,"0.00%")&amp;", CPI"</f>
        <v>2.73%, CPI</v>
      </c>
      <c r="AA63" s="83">
        <f t="shared" si="37"/>
        <v>2.7290817776935469E-2</v>
      </c>
      <c r="AB63" s="2">
        <f t="shared" ref="AB63:AB75" si="41">ROUND(X63*(LEFT(AC63,5)+1),0)</f>
        <v>10841</v>
      </c>
      <c r="AC63" s="81" t="str">
        <f>TEXT('MYP Assumptions'!J75,"0.00%")&amp;", CPI"</f>
        <v>2.73%, CPI</v>
      </c>
    </row>
    <row r="64" spans="1:29" x14ac:dyDescent="0.25">
      <c r="A64" s="152"/>
      <c r="B64" s="939">
        <v>5601</v>
      </c>
      <c r="C64" s="857" t="s">
        <v>331</v>
      </c>
      <c r="D64" s="2">
        <v>726.84</v>
      </c>
      <c r="E64" s="863"/>
      <c r="F64" s="2"/>
      <c r="G64" s="83">
        <f t="shared" si="32"/>
        <v>0.3758186120741841</v>
      </c>
      <c r="H64" s="2">
        <v>1000</v>
      </c>
      <c r="I64" s="854"/>
      <c r="J64" s="66"/>
      <c r="K64" s="83">
        <f t="shared" si="33"/>
        <v>0</v>
      </c>
      <c r="L64" s="2">
        <f t="shared" ref="L64:L70" si="42">+H64*(1-$L$61)</f>
        <v>1000</v>
      </c>
      <c r="M64" s="871"/>
      <c r="O64" s="83">
        <f t="shared" si="34"/>
        <v>0</v>
      </c>
      <c r="P64" s="2">
        <f t="shared" si="38"/>
        <v>1000</v>
      </c>
      <c r="Q64" s="871"/>
      <c r="S64" s="83">
        <f t="shared" si="35"/>
        <v>2.7E-2</v>
      </c>
      <c r="T64" s="2">
        <f t="shared" si="39"/>
        <v>1027</v>
      </c>
      <c r="U64" s="81" t="str">
        <f>TEXT('MYP Assumptions'!H75,"0.00%")&amp;", CPI"</f>
        <v>2.73%, CPI</v>
      </c>
      <c r="W64" s="83">
        <f t="shared" si="36"/>
        <v>2.7263875365141188E-2</v>
      </c>
      <c r="X64" s="2">
        <f t="shared" si="40"/>
        <v>1055</v>
      </c>
      <c r="Y64" s="81" t="str">
        <f>TEXT('MYP Assumptions'!I75,"0.00%")&amp;", CPI"</f>
        <v>2.73%, CPI</v>
      </c>
      <c r="AA64" s="83">
        <f t="shared" si="37"/>
        <v>2.7488151658767772E-2</v>
      </c>
      <c r="AB64" s="2">
        <f t="shared" si="41"/>
        <v>1084</v>
      </c>
      <c r="AC64" s="81" t="str">
        <f>TEXT('MYP Assumptions'!J75,"0.00%")&amp;", CPI"</f>
        <v>2.73%, CPI</v>
      </c>
    </row>
    <row r="65" spans="1:29" x14ac:dyDescent="0.25">
      <c r="A65" s="152"/>
      <c r="B65" s="939">
        <v>5603</v>
      </c>
      <c r="C65" s="857" t="s">
        <v>439</v>
      </c>
      <c r="D65" s="2">
        <v>5224</v>
      </c>
      <c r="E65" s="863"/>
      <c r="F65" s="2"/>
      <c r="G65" s="83">
        <f t="shared" si="32"/>
        <v>-0.13859111791730475</v>
      </c>
      <c r="H65" s="2">
        <v>4500</v>
      </c>
      <c r="I65" s="854"/>
      <c r="J65" s="66"/>
      <c r="K65" s="83">
        <f t="shared" si="33"/>
        <v>0</v>
      </c>
      <c r="L65" s="2">
        <f t="shared" si="42"/>
        <v>4500</v>
      </c>
      <c r="M65" s="871"/>
      <c r="O65" s="83">
        <f t="shared" si="34"/>
        <v>0</v>
      </c>
      <c r="P65" s="2">
        <f t="shared" si="38"/>
        <v>4500</v>
      </c>
      <c r="Q65" s="871"/>
      <c r="S65" s="83">
        <f t="shared" si="35"/>
        <v>2.7333333333333334E-2</v>
      </c>
      <c r="T65" s="2">
        <f t="shared" si="39"/>
        <v>4623</v>
      </c>
      <c r="U65" s="81" t="str">
        <f>TEXT('MYP Assumptions'!H75,"0.00%")&amp;", CPI"</f>
        <v>2.73%, CPI</v>
      </c>
      <c r="W65" s="83">
        <f t="shared" si="36"/>
        <v>2.7255029201817001E-2</v>
      </c>
      <c r="X65" s="2">
        <f t="shared" si="40"/>
        <v>4749</v>
      </c>
      <c r="Y65" s="81" t="str">
        <f>TEXT('MYP Assumptions'!I75,"0.00%")&amp;", CPI"</f>
        <v>2.73%, CPI</v>
      </c>
      <c r="AA65" s="83">
        <f t="shared" si="37"/>
        <v>2.7374184038745E-2</v>
      </c>
      <c r="AB65" s="2">
        <f t="shared" si="41"/>
        <v>4879</v>
      </c>
      <c r="AC65" s="81" t="str">
        <f>TEXT('MYP Assumptions'!J75,"0.00%")&amp;", CPI"</f>
        <v>2.73%, CPI</v>
      </c>
    </row>
    <row r="66" spans="1:29" x14ac:dyDescent="0.25">
      <c r="A66" s="152"/>
      <c r="B66" s="939">
        <v>5604</v>
      </c>
      <c r="C66" s="857" t="s">
        <v>440</v>
      </c>
      <c r="D66" s="2">
        <v>8295.5300000000007</v>
      </c>
      <c r="E66" s="863"/>
      <c r="F66" s="2"/>
      <c r="G66" s="83">
        <f t="shared" si="32"/>
        <v>0.14519506288326356</v>
      </c>
      <c r="H66" s="2">
        <v>9500</v>
      </c>
      <c r="I66" s="854"/>
      <c r="J66" s="66"/>
      <c r="K66" s="83">
        <f t="shared" si="33"/>
        <v>0</v>
      </c>
      <c r="L66" s="2">
        <f t="shared" si="42"/>
        <v>9500</v>
      </c>
      <c r="M66" s="871"/>
      <c r="O66" s="83">
        <f t="shared" si="34"/>
        <v>0</v>
      </c>
      <c r="P66" s="2">
        <f t="shared" si="38"/>
        <v>9500</v>
      </c>
      <c r="Q66" s="871"/>
      <c r="S66" s="83">
        <f t="shared" si="35"/>
        <v>2.7263157894736843E-2</v>
      </c>
      <c r="T66" s="2">
        <f t="shared" si="39"/>
        <v>9759</v>
      </c>
      <c r="U66" s="81" t="str">
        <f>TEXT('MYP Assumptions'!H75,"0.00%")&amp;", CPI"</f>
        <v>2.73%, CPI</v>
      </c>
      <c r="W66" s="83">
        <f t="shared" si="36"/>
        <v>2.7256891074905216E-2</v>
      </c>
      <c r="X66" s="2">
        <f t="shared" si="40"/>
        <v>10025</v>
      </c>
      <c r="Y66" s="81" t="str">
        <f>TEXT('MYP Assumptions'!I75,"0.00%")&amp;", CPI"</f>
        <v>2.73%, CPI</v>
      </c>
      <c r="AA66" s="83">
        <f t="shared" si="37"/>
        <v>2.7331670822942643E-2</v>
      </c>
      <c r="AB66" s="2">
        <f t="shared" si="41"/>
        <v>10299</v>
      </c>
      <c r="AC66" s="81" t="str">
        <f>TEXT('MYP Assumptions'!J75,"0.00%")&amp;", CPI"</f>
        <v>2.73%, CPI</v>
      </c>
    </row>
    <row r="67" spans="1:29" x14ac:dyDescent="0.25">
      <c r="A67" s="152"/>
      <c r="B67" s="939">
        <v>5608</v>
      </c>
      <c r="C67" s="857" t="s">
        <v>434</v>
      </c>
      <c r="D67" s="2">
        <v>56437.26</v>
      </c>
      <c r="E67" s="863"/>
      <c r="F67" s="2"/>
      <c r="G67" s="83">
        <f t="shared" si="32"/>
        <v>0.47344148174450701</v>
      </c>
      <c r="H67" s="2">
        <v>83157</v>
      </c>
      <c r="I67" s="854"/>
      <c r="J67" s="66"/>
      <c r="K67" s="83">
        <f t="shared" si="33"/>
        <v>-0.27847324939572132</v>
      </c>
      <c r="L67" s="2">
        <v>60000</v>
      </c>
      <c r="M67" s="871"/>
      <c r="O67" s="83">
        <f t="shared" si="34"/>
        <v>0</v>
      </c>
      <c r="P67" s="2">
        <f t="shared" si="38"/>
        <v>60000</v>
      </c>
      <c r="Q67" s="871"/>
      <c r="S67" s="83">
        <f t="shared" si="35"/>
        <v>2.7300000000000001E-2</v>
      </c>
      <c r="T67" s="2">
        <f t="shared" si="39"/>
        <v>61638</v>
      </c>
      <c r="U67" s="81" t="str">
        <f>TEXT('MYP Assumptions'!H75,"0.00%")&amp;", CPI"</f>
        <v>2.73%, CPI</v>
      </c>
      <c r="W67" s="83">
        <f t="shared" si="36"/>
        <v>2.7304584834030955E-2</v>
      </c>
      <c r="X67" s="2">
        <f t="shared" si="40"/>
        <v>63321</v>
      </c>
      <c r="Y67" s="81" t="str">
        <f>TEXT('MYP Assumptions'!I75,"0.00%")&amp;", CPI"</f>
        <v>2.73%, CPI</v>
      </c>
      <c r="AA67" s="83">
        <f t="shared" si="37"/>
        <v>2.7305317351273669E-2</v>
      </c>
      <c r="AB67" s="2">
        <f t="shared" si="41"/>
        <v>65050</v>
      </c>
      <c r="AC67" s="81" t="str">
        <f>TEXT('MYP Assumptions'!J75,"0.00%")&amp;", CPI"</f>
        <v>2.73%, CPI</v>
      </c>
    </row>
    <row r="68" spans="1:29" x14ac:dyDescent="0.25">
      <c r="A68" s="152"/>
      <c r="B68" s="939">
        <v>5719</v>
      </c>
      <c r="C68" s="857" t="s">
        <v>441</v>
      </c>
      <c r="D68" s="2">
        <v>144.68</v>
      </c>
      <c r="E68" s="863"/>
      <c r="F68" s="2"/>
      <c r="G68" s="83">
        <f>IF(D68=0,"0.00%",(H68-D68)/D68)</f>
        <v>-0.58529167818634231</v>
      </c>
      <c r="H68" s="2">
        <v>60</v>
      </c>
      <c r="I68" s="854"/>
      <c r="J68" s="66"/>
      <c r="K68" s="83">
        <f t="shared" si="33"/>
        <v>0</v>
      </c>
      <c r="L68" s="2">
        <f t="shared" si="42"/>
        <v>60</v>
      </c>
      <c r="M68" s="871"/>
      <c r="O68" s="83">
        <f t="shared" si="34"/>
        <v>0</v>
      </c>
      <c r="P68" s="2">
        <f t="shared" si="38"/>
        <v>60</v>
      </c>
      <c r="Q68" s="871"/>
      <c r="S68" s="83">
        <f t="shared" si="35"/>
        <v>3.3333333333333333E-2</v>
      </c>
      <c r="T68" s="2">
        <f t="shared" si="39"/>
        <v>62</v>
      </c>
      <c r="U68" s="81" t="str">
        <f>TEXT('MYP Assumptions'!H75,"0.00%")&amp;", CPI"</f>
        <v>2.73%, CPI</v>
      </c>
      <c r="W68" s="83">
        <f t="shared" si="36"/>
        <v>3.2258064516129031E-2</v>
      </c>
      <c r="X68" s="2">
        <f t="shared" si="40"/>
        <v>64</v>
      </c>
      <c r="Y68" s="81" t="str">
        <f>TEXT('MYP Assumptions'!I75,"0.00%")&amp;", CPI"</f>
        <v>2.73%, CPI</v>
      </c>
      <c r="AA68" s="83">
        <f t="shared" si="37"/>
        <v>3.125E-2</v>
      </c>
      <c r="AB68" s="2">
        <f t="shared" si="41"/>
        <v>66</v>
      </c>
      <c r="AC68" s="81" t="str">
        <f>TEXT('MYP Assumptions'!J75,"0.00%")&amp;", CPI"</f>
        <v>2.73%, CPI</v>
      </c>
    </row>
    <row r="69" spans="1:29" x14ac:dyDescent="0.25">
      <c r="A69" s="152"/>
      <c r="B69" s="939">
        <v>5752</v>
      </c>
      <c r="C69" s="857" t="s">
        <v>425</v>
      </c>
      <c r="D69" s="2">
        <v>310.16000000000003</v>
      </c>
      <c r="E69" s="863"/>
      <c r="F69" s="2"/>
      <c r="G69" s="83">
        <f t="shared" ref="G69:G76" si="43">IF(D69=0,"0.00%",(H69-D69)/D69)</f>
        <v>1.8211245808614904</v>
      </c>
      <c r="H69" s="2">
        <v>875</v>
      </c>
      <c r="I69" s="854"/>
      <c r="J69" s="66"/>
      <c r="K69" s="83">
        <f t="shared" si="33"/>
        <v>0</v>
      </c>
      <c r="L69" s="2">
        <f t="shared" si="42"/>
        <v>875</v>
      </c>
      <c r="M69" s="871"/>
      <c r="O69" s="83">
        <f t="shared" si="34"/>
        <v>0</v>
      </c>
      <c r="P69" s="2">
        <f t="shared" si="38"/>
        <v>875</v>
      </c>
      <c r="Q69" s="871"/>
      <c r="S69" s="83">
        <f t="shared" si="35"/>
        <v>2.7428571428571427E-2</v>
      </c>
      <c r="T69" s="2">
        <f t="shared" si="39"/>
        <v>899</v>
      </c>
      <c r="U69" s="81" t="str">
        <f>TEXT('MYP Assumptions'!H75,"0.00%")&amp;", CPI"</f>
        <v>2.73%, CPI</v>
      </c>
      <c r="W69" s="83">
        <f t="shared" si="36"/>
        <v>2.7808676307007785E-2</v>
      </c>
      <c r="X69" s="2">
        <f t="shared" si="40"/>
        <v>924</v>
      </c>
      <c r="Y69" s="81" t="str">
        <f>TEXT('MYP Assumptions'!I75,"0.00%")&amp;", CPI"</f>
        <v>2.73%, CPI</v>
      </c>
      <c r="AA69" s="83">
        <f t="shared" si="37"/>
        <v>2.7056277056277056E-2</v>
      </c>
      <c r="AB69" s="2">
        <f t="shared" si="41"/>
        <v>949</v>
      </c>
      <c r="AC69" s="81" t="str">
        <f>TEXT('MYP Assumptions'!J75,"0.00%")&amp;", CPI"</f>
        <v>2.73%, CPI</v>
      </c>
    </row>
    <row r="70" spans="1:29" x14ac:dyDescent="0.25">
      <c r="A70" s="152"/>
      <c r="B70" s="939">
        <v>5807</v>
      </c>
      <c r="C70" s="857" t="s">
        <v>8</v>
      </c>
      <c r="D70" s="2">
        <v>0</v>
      </c>
      <c r="E70" s="863"/>
      <c r="F70" s="2"/>
      <c r="G70" s="83" t="str">
        <f t="shared" si="43"/>
        <v>0.00%</v>
      </c>
      <c r="H70" s="2">
        <v>20000</v>
      </c>
      <c r="I70" s="854"/>
      <c r="J70" s="66"/>
      <c r="K70" s="83">
        <f t="shared" si="33"/>
        <v>0</v>
      </c>
      <c r="L70" s="2">
        <f t="shared" si="42"/>
        <v>20000</v>
      </c>
      <c r="M70" s="871"/>
      <c r="O70" s="83">
        <f t="shared" si="34"/>
        <v>0</v>
      </c>
      <c r="P70" s="2">
        <f t="shared" si="38"/>
        <v>20000</v>
      </c>
      <c r="Q70" s="871"/>
      <c r="S70" s="83"/>
      <c r="T70" s="2"/>
      <c r="U70" s="81"/>
      <c r="W70" s="83"/>
      <c r="X70" s="2"/>
      <c r="Y70" s="81"/>
      <c r="AA70" s="83"/>
      <c r="AB70" s="2"/>
      <c r="AC70" s="81"/>
    </row>
    <row r="71" spans="1:29" x14ac:dyDescent="0.25">
      <c r="A71" s="152"/>
      <c r="B71" s="939">
        <v>5809</v>
      </c>
      <c r="C71" s="857" t="s">
        <v>123</v>
      </c>
      <c r="D71" s="2">
        <v>949</v>
      </c>
      <c r="E71" s="863"/>
      <c r="F71" s="2"/>
      <c r="G71" s="83">
        <f t="shared" si="43"/>
        <v>-0.23182297154899895</v>
      </c>
      <c r="H71" s="2">
        <v>729</v>
      </c>
      <c r="I71" s="854"/>
      <c r="J71" s="66"/>
      <c r="K71" s="83">
        <f t="shared" si="33"/>
        <v>0.37174211248285322</v>
      </c>
      <c r="L71" s="2">
        <v>1000</v>
      </c>
      <c r="M71" s="871"/>
      <c r="O71" s="83">
        <f t="shared" si="34"/>
        <v>0</v>
      </c>
      <c r="P71" s="2">
        <f t="shared" si="38"/>
        <v>1000</v>
      </c>
      <c r="Q71" s="871"/>
      <c r="S71" s="83">
        <f t="shared" si="35"/>
        <v>2.7E-2</v>
      </c>
      <c r="T71" s="2">
        <f t="shared" si="39"/>
        <v>1027</v>
      </c>
      <c r="U71" s="81" t="str">
        <f>TEXT('MYP Assumptions'!H75,"0.00%")&amp;", CPI"</f>
        <v>2.73%, CPI</v>
      </c>
      <c r="W71" s="83">
        <f t="shared" si="36"/>
        <v>2.7263875365141188E-2</v>
      </c>
      <c r="X71" s="2">
        <f t="shared" si="40"/>
        <v>1055</v>
      </c>
      <c r="Y71" s="81" t="str">
        <f>TEXT('MYP Assumptions'!I75,"0.00%")&amp;", CPI"</f>
        <v>2.73%, CPI</v>
      </c>
      <c r="AA71" s="83">
        <f t="shared" si="37"/>
        <v>2.7488151658767772E-2</v>
      </c>
      <c r="AB71" s="2">
        <f t="shared" si="41"/>
        <v>1084</v>
      </c>
      <c r="AC71" s="81" t="str">
        <f>TEXT('MYP Assumptions'!J75,"0.00%")&amp;", CPI"</f>
        <v>2.73%, CPI</v>
      </c>
    </row>
    <row r="72" spans="1:29" x14ac:dyDescent="0.25">
      <c r="A72" s="152"/>
      <c r="B72" s="939">
        <v>5813</v>
      </c>
      <c r="C72" s="857" t="s">
        <v>6</v>
      </c>
      <c r="D72" s="2">
        <v>50857.65</v>
      </c>
      <c r="E72" s="863"/>
      <c r="F72" s="2"/>
      <c r="G72" s="83">
        <f t="shared" si="43"/>
        <v>1.1243411758113087</v>
      </c>
      <c r="H72" s="2">
        <v>108039</v>
      </c>
      <c r="I72" s="854"/>
      <c r="J72" s="66"/>
      <c r="K72" s="83">
        <f t="shared" si="33"/>
        <v>1.8150852932737251E-2</v>
      </c>
      <c r="L72" s="2">
        <v>110000</v>
      </c>
      <c r="M72" s="871"/>
      <c r="O72" s="83">
        <f t="shared" si="34"/>
        <v>0</v>
      </c>
      <c r="P72" s="2">
        <f t="shared" si="38"/>
        <v>110000</v>
      </c>
      <c r="Q72" s="871"/>
      <c r="S72" s="83">
        <f t="shared" si="35"/>
        <v>2.7300000000000001E-2</v>
      </c>
      <c r="T72" s="2">
        <f t="shared" si="39"/>
        <v>113003</v>
      </c>
      <c r="U72" s="81" t="str">
        <f>TEXT('MYP Assumptions'!H75,"0.00%")&amp;", CPI"</f>
        <v>2.73%, CPI</v>
      </c>
      <c r="W72" s="83">
        <f t="shared" si="36"/>
        <v>2.7300160172738779E-2</v>
      </c>
      <c r="X72" s="2">
        <f t="shared" si="40"/>
        <v>116088</v>
      </c>
      <c r="Y72" s="81" t="str">
        <f>TEXT('MYP Assumptions'!I75,"0.00%")&amp;", CPI"</f>
        <v>2.73%, CPI</v>
      </c>
      <c r="AA72" s="83">
        <f t="shared" si="37"/>
        <v>2.7298256495072705E-2</v>
      </c>
      <c r="AB72" s="2">
        <f t="shared" si="41"/>
        <v>119257</v>
      </c>
      <c r="AC72" s="81" t="str">
        <f>TEXT('MYP Assumptions'!J75,"0.00%")&amp;", CPI"</f>
        <v>2.73%, CPI</v>
      </c>
    </row>
    <row r="73" spans="1:29" x14ac:dyDescent="0.25">
      <c r="A73" s="152"/>
      <c r="B73" s="939">
        <v>5814</v>
      </c>
      <c r="C73" s="857" t="s">
        <v>4</v>
      </c>
      <c r="D73" s="2">
        <v>80985.279999999999</v>
      </c>
      <c r="E73" s="863"/>
      <c r="F73" s="2"/>
      <c r="G73" s="83">
        <f t="shared" si="43"/>
        <v>-9.1674437626195759E-2</v>
      </c>
      <c r="H73" s="2">
        <v>73561</v>
      </c>
      <c r="I73" s="854"/>
      <c r="J73" s="66"/>
      <c r="K73" s="83">
        <f t="shared" si="33"/>
        <v>0.22347439539973626</v>
      </c>
      <c r="L73" s="2">
        <v>90000</v>
      </c>
      <c r="M73" s="871"/>
      <c r="O73" s="83">
        <f t="shared" si="34"/>
        <v>0</v>
      </c>
      <c r="P73" s="2">
        <f t="shared" si="38"/>
        <v>90000</v>
      </c>
      <c r="Q73" s="871"/>
      <c r="S73" s="83">
        <f t="shared" si="35"/>
        <v>2.7300000000000001E-2</v>
      </c>
      <c r="T73" s="2">
        <f t="shared" si="39"/>
        <v>92457</v>
      </c>
      <c r="U73" s="81" t="str">
        <f>TEXT('MYP Assumptions'!H75,"0.00%")&amp;", CPI"</f>
        <v>2.73%, CPI</v>
      </c>
      <c r="W73" s="83">
        <f t="shared" si="36"/>
        <v>2.7299176914673848E-2</v>
      </c>
      <c r="X73" s="2">
        <f t="shared" si="40"/>
        <v>94981</v>
      </c>
      <c r="Y73" s="81" t="str">
        <f>TEXT('MYP Assumptions'!I75,"0.00%")&amp;", CPI"</f>
        <v>2.73%, CPI</v>
      </c>
      <c r="AA73" s="83">
        <f t="shared" si="37"/>
        <v>2.730019688148156E-2</v>
      </c>
      <c r="AB73" s="2">
        <f t="shared" si="41"/>
        <v>97574</v>
      </c>
      <c r="AC73" s="81" t="str">
        <f>TEXT('MYP Assumptions'!J75,"0.00%")&amp;", CPI"</f>
        <v>2.73%, CPI</v>
      </c>
    </row>
    <row r="74" spans="1:29" x14ac:dyDescent="0.25">
      <c r="A74" s="152"/>
      <c r="B74" s="939">
        <v>5908</v>
      </c>
      <c r="C74" s="857" t="s">
        <v>442</v>
      </c>
      <c r="D74" s="2">
        <v>36240.33</v>
      </c>
      <c r="E74" s="863"/>
      <c r="F74" s="2"/>
      <c r="G74" s="83">
        <f t="shared" si="43"/>
        <v>8.5144644102302547E-2</v>
      </c>
      <c r="H74" s="2">
        <v>39326</v>
      </c>
      <c r="I74" s="854"/>
      <c r="J74" s="66"/>
      <c r="K74" s="83">
        <f t="shared" si="33"/>
        <v>1.7138788587702791E-2</v>
      </c>
      <c r="L74" s="2">
        <v>40000</v>
      </c>
      <c r="M74" s="871"/>
      <c r="O74" s="83">
        <f t="shared" si="34"/>
        <v>0</v>
      </c>
      <c r="P74" s="2">
        <f t="shared" si="38"/>
        <v>40000</v>
      </c>
      <c r="Q74" s="871"/>
      <c r="S74" s="83">
        <f t="shared" si="35"/>
        <v>2.7300000000000001E-2</v>
      </c>
      <c r="T74" s="2">
        <f t="shared" si="39"/>
        <v>41092</v>
      </c>
      <c r="U74" s="81" t="str">
        <f>TEXT('MYP Assumptions'!H75,"0.00%")&amp;", CPI"</f>
        <v>2.73%, CPI</v>
      </c>
      <c r="W74" s="83">
        <f t="shared" si="36"/>
        <v>2.7304584834030955E-2</v>
      </c>
      <c r="X74" s="2">
        <f t="shared" si="40"/>
        <v>42214</v>
      </c>
      <c r="Y74" s="81" t="str">
        <f>TEXT('MYP Assumptions'!I75,"0.00%")&amp;", CPI"</f>
        <v>2.73%, CPI</v>
      </c>
      <c r="AA74" s="83">
        <f t="shared" si="37"/>
        <v>2.7289524802198324E-2</v>
      </c>
      <c r="AB74" s="2">
        <f t="shared" si="41"/>
        <v>43366</v>
      </c>
      <c r="AC74" s="81" t="str">
        <f>TEXT('MYP Assumptions'!J75,"0.00%")&amp;", CPI"</f>
        <v>2.73%, CPI</v>
      </c>
    </row>
    <row r="75" spans="1:29" x14ac:dyDescent="0.25">
      <c r="A75" s="152"/>
      <c r="B75" s="939"/>
      <c r="D75" s="2">
        <f>'RS 3010-ALL'!AF80</f>
        <v>0</v>
      </c>
      <c r="E75" s="863"/>
      <c r="F75" s="2"/>
      <c r="G75" s="83" t="str">
        <f t="shared" si="43"/>
        <v>0.00%</v>
      </c>
      <c r="H75" s="2"/>
      <c r="I75" s="854"/>
      <c r="J75" s="66"/>
      <c r="K75" s="83" t="str">
        <f t="shared" si="33"/>
        <v>0.00%</v>
      </c>
      <c r="L75" s="2"/>
      <c r="M75" s="854"/>
      <c r="O75" s="83" t="str">
        <f t="shared" si="34"/>
        <v>0.00%</v>
      </c>
      <c r="P75" s="2">
        <v>0</v>
      </c>
      <c r="Q75" s="854"/>
      <c r="S75" s="83" t="str">
        <f t="shared" si="35"/>
        <v>0.00%</v>
      </c>
      <c r="T75" s="2">
        <f t="shared" si="39"/>
        <v>0</v>
      </c>
      <c r="U75" s="81" t="str">
        <f>TEXT('MYP Assumptions'!H75,"0.00%")&amp;", CPI"</f>
        <v>2.73%, CPI</v>
      </c>
      <c r="W75" s="83" t="str">
        <f t="shared" si="36"/>
        <v>0.00%</v>
      </c>
      <c r="X75" s="2">
        <f t="shared" si="40"/>
        <v>0</v>
      </c>
      <c r="Y75" s="81" t="str">
        <f>TEXT('MYP Assumptions'!I75,"0.00%")&amp;", CPI"</f>
        <v>2.73%, CPI</v>
      </c>
      <c r="AA75" s="83" t="str">
        <f t="shared" si="37"/>
        <v>0.00%</v>
      </c>
      <c r="AB75" s="2">
        <f t="shared" si="41"/>
        <v>0</v>
      </c>
      <c r="AC75" s="81" t="str">
        <f>TEXT('MYP Assumptions'!J75,"0.00%")&amp;", CPI"</f>
        <v>2.73%, CPI</v>
      </c>
    </row>
    <row r="76" spans="1:29" x14ac:dyDescent="0.25">
      <c r="A76" s="153"/>
      <c r="D76" s="8">
        <f>SUM(D62:D75)</f>
        <v>278742.31</v>
      </c>
      <c r="E76" s="863"/>
      <c r="F76" s="2"/>
      <c r="G76" s="83">
        <f t="shared" si="43"/>
        <v>0.4241720246919099</v>
      </c>
      <c r="H76" s="8">
        <f>SUM(H62:H75)</f>
        <v>396977</v>
      </c>
      <c r="I76" s="1292">
        <f>+H76-D76</f>
        <v>118234.69</v>
      </c>
      <c r="J76" s="29"/>
      <c r="K76" s="83">
        <f t="shared" si="33"/>
        <v>-5.048655211762898E-2</v>
      </c>
      <c r="L76" s="8">
        <f>SUM(L62:L75)</f>
        <v>376935</v>
      </c>
      <c r="M76" s="1292">
        <f>+L76-H76</f>
        <v>-20042</v>
      </c>
      <c r="O76" s="83">
        <f t="shared" si="34"/>
        <v>0</v>
      </c>
      <c r="P76" s="8">
        <f>SUM(P62:P75)</f>
        <v>376935</v>
      </c>
      <c r="Q76" s="1292">
        <f>+P76-L76</f>
        <v>0</v>
      </c>
      <c r="S76" s="83">
        <f t="shared" si="35"/>
        <v>-2.7208935227559128E-2</v>
      </c>
      <c r="T76" s="8">
        <f>SUM(T62:T75)</f>
        <v>366679</v>
      </c>
      <c r="U76" s="73"/>
      <c r="W76" s="83">
        <f t="shared" si="36"/>
        <v>2.7299081758159045E-2</v>
      </c>
      <c r="X76" s="8">
        <f>SUM(X62:X75)</f>
        <v>376689</v>
      </c>
      <c r="Y76" s="73"/>
      <c r="AA76" s="83">
        <f t="shared" si="37"/>
        <v>2.7301036133255817E-2</v>
      </c>
      <c r="AB76" s="8">
        <f>SUM(AB62:AB75)</f>
        <v>386973</v>
      </c>
      <c r="AC76" s="73"/>
    </row>
    <row r="77" spans="1:29" x14ac:dyDescent="0.25">
      <c r="A77" s="152"/>
      <c r="B77" s="936"/>
      <c r="E77" s="863"/>
      <c r="F77" s="2"/>
      <c r="G77" s="83"/>
      <c r="H77" s="2"/>
      <c r="I77" s="871"/>
      <c r="J77" s="66"/>
      <c r="L77" s="2"/>
      <c r="M77" s="948"/>
      <c r="Q77" s="948"/>
      <c r="T77" s="2"/>
      <c r="U77" s="73"/>
      <c r="X77" s="2"/>
      <c r="Y77" s="73"/>
      <c r="AB77" s="2"/>
      <c r="AC77" s="73"/>
    </row>
    <row r="78" spans="1:29" x14ac:dyDescent="0.25">
      <c r="A78" s="152"/>
      <c r="B78" s="936" t="s">
        <v>338</v>
      </c>
      <c r="E78" s="863"/>
      <c r="F78" s="2"/>
      <c r="G78" s="83"/>
      <c r="H78" s="2"/>
      <c r="I78" s="871"/>
      <c r="J78" s="66"/>
      <c r="L78" s="2"/>
      <c r="M78" s="948"/>
      <c r="Q78" s="948"/>
      <c r="T78" s="2"/>
      <c r="U78" s="73"/>
      <c r="X78" s="2"/>
      <c r="Y78" s="73"/>
      <c r="AB78" s="2"/>
      <c r="AC78" s="73"/>
    </row>
    <row r="79" spans="1:29" x14ac:dyDescent="0.25">
      <c r="A79" s="152"/>
      <c r="B79" s="939">
        <v>6400</v>
      </c>
      <c r="C79" s="857" t="s">
        <v>339</v>
      </c>
      <c r="D79" s="2">
        <v>0</v>
      </c>
      <c r="E79" s="863"/>
      <c r="F79" s="2"/>
      <c r="G79" s="83"/>
      <c r="H79" s="2">
        <v>9000</v>
      </c>
      <c r="I79" s="871"/>
      <c r="J79" s="66"/>
      <c r="K79" s="83"/>
      <c r="L79" s="2">
        <v>0</v>
      </c>
      <c r="M79" s="948"/>
      <c r="O79" s="83"/>
      <c r="P79" s="2">
        <v>0</v>
      </c>
      <c r="Q79" s="948"/>
      <c r="S79" s="83"/>
      <c r="T79" s="2">
        <v>0</v>
      </c>
      <c r="U79" s="73"/>
      <c r="W79" s="83"/>
      <c r="X79" s="2">
        <v>0</v>
      </c>
      <c r="Y79" s="73"/>
      <c r="AA79" s="83"/>
      <c r="AB79" s="2">
        <v>0</v>
      </c>
      <c r="AC79" s="73"/>
    </row>
    <row r="80" spans="1:29" ht="23.25" hidden="1" customHeight="1" x14ac:dyDescent="0.25">
      <c r="A80" s="152"/>
      <c r="B80" s="939"/>
      <c r="D80" s="2">
        <v>0</v>
      </c>
      <c r="E80" s="863"/>
      <c r="F80" s="2"/>
      <c r="G80" s="83"/>
      <c r="H80" s="2">
        <v>0</v>
      </c>
      <c r="I80" s="871"/>
      <c r="J80" s="66"/>
      <c r="K80" s="83"/>
      <c r="L80" s="2">
        <v>0</v>
      </c>
      <c r="M80" s="948"/>
      <c r="O80" s="83"/>
      <c r="P80" s="2">
        <v>0</v>
      </c>
      <c r="Q80" s="948"/>
      <c r="S80" s="83"/>
      <c r="T80" s="2">
        <v>0</v>
      </c>
      <c r="U80" s="73"/>
      <c r="W80" s="83"/>
      <c r="X80" s="2">
        <v>0</v>
      </c>
      <c r="Y80" s="73"/>
      <c r="AA80" s="83"/>
      <c r="AB80" s="2">
        <v>0</v>
      </c>
      <c r="AC80" s="73"/>
    </row>
    <row r="81" spans="1:29" hidden="1" x14ac:dyDescent="0.25">
      <c r="A81" s="152"/>
      <c r="B81" s="936"/>
      <c r="D81" s="2">
        <v>0</v>
      </c>
      <c r="E81" s="863"/>
      <c r="F81" s="2"/>
      <c r="G81" s="83"/>
      <c r="H81" s="2">
        <v>0</v>
      </c>
      <c r="I81" s="871"/>
      <c r="J81" s="66"/>
      <c r="K81" s="83"/>
      <c r="L81" s="2">
        <v>0</v>
      </c>
      <c r="M81" s="948"/>
      <c r="O81" s="83"/>
      <c r="P81" s="2">
        <v>0</v>
      </c>
      <c r="Q81" s="948"/>
      <c r="S81" s="83"/>
      <c r="T81" s="2">
        <v>0</v>
      </c>
      <c r="U81" s="73"/>
      <c r="W81" s="83"/>
      <c r="X81" s="2">
        <v>0</v>
      </c>
      <c r="Y81" s="73"/>
      <c r="AA81" s="83"/>
      <c r="AB81" s="2">
        <v>0</v>
      </c>
      <c r="AC81" s="73"/>
    </row>
    <row r="82" spans="1:29" x14ac:dyDescent="0.25">
      <c r="A82" s="152"/>
      <c r="B82" s="936"/>
      <c r="D82" s="112">
        <f>SUM(D79:D81)</f>
        <v>0</v>
      </c>
      <c r="E82" s="863"/>
      <c r="F82" s="2"/>
      <c r="G82" s="83"/>
      <c r="H82" s="112">
        <f>SUM(H79:H81)</f>
        <v>9000</v>
      </c>
      <c r="I82" s="1292">
        <f>+H82-D82</f>
        <v>9000</v>
      </c>
      <c r="J82" s="66"/>
      <c r="K82" s="83"/>
      <c r="L82" s="112">
        <f>SUM(L79:L81)</f>
        <v>0</v>
      </c>
      <c r="M82" s="1292">
        <f>+L82-H82</f>
        <v>-9000</v>
      </c>
      <c r="O82" s="83"/>
      <c r="P82" s="112">
        <f>SUM(P79:P81)</f>
        <v>0</v>
      </c>
      <c r="Q82" s="1292">
        <f>+P82-L82</f>
        <v>0</v>
      </c>
      <c r="S82" s="83"/>
      <c r="T82" s="112">
        <f>SUM(T79:T81)</f>
        <v>0</v>
      </c>
      <c r="U82" s="73"/>
      <c r="W82" s="83"/>
      <c r="X82" s="112">
        <f>SUM(X79:X81)</f>
        <v>0</v>
      </c>
      <c r="Y82" s="73"/>
      <c r="AA82" s="83"/>
      <c r="AB82" s="112">
        <f>SUM(AB79:AB81)</f>
        <v>0</v>
      </c>
      <c r="AC82" s="73"/>
    </row>
    <row r="83" spans="1:29" x14ac:dyDescent="0.25">
      <c r="A83" s="152"/>
      <c r="B83" s="936"/>
      <c r="D83" s="36"/>
      <c r="E83" s="863"/>
      <c r="F83" s="2"/>
      <c r="G83" s="83"/>
      <c r="H83" s="36"/>
      <c r="I83" s="871"/>
      <c r="J83" s="66"/>
      <c r="K83" s="83"/>
      <c r="L83" s="36"/>
      <c r="M83" s="948"/>
      <c r="O83" s="83"/>
      <c r="P83" s="36"/>
      <c r="Q83" s="948"/>
      <c r="S83" s="83"/>
      <c r="T83" s="36"/>
      <c r="U83" s="73"/>
      <c r="W83" s="83"/>
      <c r="X83" s="36"/>
      <c r="Y83" s="73"/>
      <c r="AA83" s="83"/>
      <c r="AB83" s="36"/>
      <c r="AC83" s="73"/>
    </row>
    <row r="84" spans="1:29" x14ac:dyDescent="0.25">
      <c r="A84" s="152"/>
      <c r="E84" s="863"/>
      <c r="F84" s="2"/>
      <c r="H84" s="2"/>
      <c r="I84" s="871"/>
      <c r="J84" s="66"/>
      <c r="L84" s="2"/>
      <c r="M84" s="948"/>
      <c r="Q84" s="948"/>
      <c r="T84" s="2"/>
      <c r="U84" s="73"/>
      <c r="X84" s="2"/>
      <c r="Y84" s="73"/>
      <c r="AB84" s="2"/>
      <c r="AC84" s="73"/>
    </row>
    <row r="85" spans="1:29" x14ac:dyDescent="0.25">
      <c r="A85" s="153"/>
      <c r="B85" s="936" t="s">
        <v>0</v>
      </c>
      <c r="D85" s="8">
        <f>SUM(D76,D59,D45,D13,D82)</f>
        <v>618939.79</v>
      </c>
      <c r="E85" s="863"/>
      <c r="F85" s="2"/>
      <c r="G85" s="83">
        <f>IF(D85=0,"0.00%",(H85-D85)/D85)</f>
        <v>0.5318048949478591</v>
      </c>
      <c r="H85" s="8">
        <f>SUM(H76,H59,H45,H13,H82)</f>
        <v>948095</v>
      </c>
      <c r="I85" s="1292">
        <f>+H85-D85</f>
        <v>329155.20999999996</v>
      </c>
      <c r="J85" s="29"/>
      <c r="K85" s="83">
        <f>IF(H85=0,"0.00%",(L85-H85)/H85)</f>
        <v>-8.7188520137749914E-2</v>
      </c>
      <c r="L85" s="8">
        <f>SUM(L76,L59,L45,L13,L82)</f>
        <v>865432</v>
      </c>
      <c r="M85" s="1292">
        <f>+L85-H85</f>
        <v>-82663</v>
      </c>
      <c r="O85" s="83">
        <f>IF(L85=0,"0.00%",(P85-L85)/L85)</f>
        <v>4.3966481479769644E-3</v>
      </c>
      <c r="P85" s="8">
        <f>SUM(P76,P59,P45,P13,P82)</f>
        <v>869237</v>
      </c>
      <c r="Q85" s="1292">
        <f>+P85-L85</f>
        <v>3805</v>
      </c>
      <c r="S85" s="83">
        <f>IF(P85=0,"0.00%",(T85-P85)/P85)</f>
        <v>-5.8440908520921223E-2</v>
      </c>
      <c r="T85" s="8">
        <f>SUM(T76,T59,T45,T13)</f>
        <v>818438</v>
      </c>
      <c r="U85" s="73"/>
      <c r="W85" s="83">
        <f>IF(T85=0,"0.00%",(X85-T85)/T85)</f>
        <v>2.7791964693721454E-2</v>
      </c>
      <c r="X85" s="8">
        <f>SUM(X76,X59,X45,X13)</f>
        <v>841184</v>
      </c>
      <c r="Y85" s="73"/>
      <c r="AA85" s="83">
        <f>IF(X85=0,"0.00%",(AB85-X85)/X85)</f>
        <v>2.7027380454216914E-2</v>
      </c>
      <c r="AB85" s="8">
        <f>SUM(AB76,AB59,AB45,AB13)</f>
        <v>863919</v>
      </c>
      <c r="AC85" s="73"/>
    </row>
    <row r="86" spans="1:29" x14ac:dyDescent="0.25">
      <c r="A86" s="152"/>
      <c r="E86" s="863"/>
      <c r="F86" s="2"/>
      <c r="H86" s="2"/>
      <c r="I86" s="871"/>
      <c r="J86" s="66"/>
      <c r="L86" s="2"/>
      <c r="M86" s="948"/>
      <c r="Q86" s="948"/>
      <c r="T86" s="2"/>
      <c r="U86" s="73"/>
      <c r="X86" s="2"/>
      <c r="Y86" s="73"/>
      <c r="AB86" s="2"/>
      <c r="AC86" s="73"/>
    </row>
    <row r="87" spans="1:29" x14ac:dyDescent="0.25">
      <c r="A87" s="152"/>
      <c r="B87" s="936" t="s">
        <v>138</v>
      </c>
      <c r="D87" s="3">
        <f>D11-D85</f>
        <v>564829.68999999994</v>
      </c>
      <c r="G87" s="83">
        <f>IF(D87=0,"0.00%",(H87-D87)/D87)</f>
        <v>-0.64427684387483242</v>
      </c>
      <c r="H87" s="3">
        <f>H11-H85</f>
        <v>200923</v>
      </c>
      <c r="I87" s="871"/>
      <c r="J87" s="66"/>
      <c r="K87" s="83">
        <f>IF(H87=0,"0.00%",(L87-H87)/H87)</f>
        <v>0.40077044439909815</v>
      </c>
      <c r="L87" s="3">
        <f>L11-L85</f>
        <v>281447</v>
      </c>
      <c r="M87" s="948"/>
      <c r="O87" s="83">
        <f>IF(L87=0,"0.00%",(P87-L87)/L87)</f>
        <v>8.2242837905538171E-2</v>
      </c>
      <c r="P87" s="3">
        <f>P11-P85</f>
        <v>304594</v>
      </c>
      <c r="Q87" s="948"/>
      <c r="S87" s="83">
        <f>IF(P87=0,"0.00%",(T87-P87)/P87)</f>
        <v>-3.6869800455688555</v>
      </c>
      <c r="T87" s="3">
        <f>T11-T85</f>
        <v>-818438</v>
      </c>
      <c r="U87" s="73"/>
      <c r="W87" s="83">
        <f>IF(T87=0,"0.00%",(X87-T87)/T87)</f>
        <v>2.7791964693721454E-2</v>
      </c>
      <c r="X87" s="3">
        <f>X11-X85</f>
        <v>-841184</v>
      </c>
      <c r="Y87" s="73"/>
      <c r="AA87" s="83">
        <f>IF(X87=0,"0.00%",(AB87-X87)/X87)</f>
        <v>2.7027380454216914E-2</v>
      </c>
      <c r="AB87" s="3">
        <f>AB11-AB85</f>
        <v>-863919</v>
      </c>
      <c r="AC87" s="73"/>
    </row>
    <row r="88" spans="1:29" x14ac:dyDescent="0.25">
      <c r="B88" s="936"/>
      <c r="C88" s="930"/>
      <c r="D88" s="3"/>
      <c r="H88" s="3"/>
      <c r="I88" s="871"/>
      <c r="J88" s="66"/>
      <c r="L88" s="3"/>
      <c r="M88" s="948"/>
      <c r="P88" s="3"/>
      <c r="Q88" s="948"/>
      <c r="T88" s="44"/>
      <c r="U88" s="73"/>
      <c r="X88" s="44"/>
      <c r="Y88" s="73"/>
      <c r="AB88" s="44"/>
      <c r="AC88" s="73"/>
    </row>
    <row r="89" spans="1:29" x14ac:dyDescent="0.25">
      <c r="B89" s="936" t="s">
        <v>136</v>
      </c>
      <c r="C89" s="932"/>
      <c r="D89" s="3">
        <f>D7+D87</f>
        <v>5459673.8599999994</v>
      </c>
      <c r="G89" s="83">
        <f>IF(D89=0,"0.00%",(H89-D89)/D89)</f>
        <v>3.68012824853974E-2</v>
      </c>
      <c r="H89" s="3">
        <f>H7+H87</f>
        <v>5660596.8599999994</v>
      </c>
      <c r="I89" s="1292"/>
      <c r="J89" s="66"/>
      <c r="K89" s="83">
        <f>IF(H89=0,"0.00%",(L89-H89)/H89)</f>
        <v>4.9720375246789794E-2</v>
      </c>
      <c r="L89" s="3">
        <f>L7+L87</f>
        <v>5942043.8599999994</v>
      </c>
      <c r="M89" s="1292"/>
      <c r="O89" s="83">
        <f>IF(L89=0,"0.00%",(P89-L89)/L89)</f>
        <v>5.1260813143846437E-2</v>
      </c>
      <c r="P89" s="3">
        <f>P7+P87</f>
        <v>6246637.8599999994</v>
      </c>
      <c r="Q89" s="1292"/>
      <c r="S89" s="83">
        <f>IF(P89=0,"0.00%",(T89-P89)/P89)</f>
        <v>-0.13102056151531091</v>
      </c>
      <c r="T89" s="49">
        <f>T7+T87</f>
        <v>5428199.8599999994</v>
      </c>
      <c r="U89" s="73"/>
      <c r="W89" s="83">
        <f>IF(T89=0,"0.00%",(X89-T89)/T89)</f>
        <v>-0.15496555427124603</v>
      </c>
      <c r="X89" s="49">
        <f>X7+X87</f>
        <v>4587015.8599999994</v>
      </c>
      <c r="Y89" s="73"/>
      <c r="AA89" s="83">
        <f>IF(X89=0,"0.00%",(AB89-X89)/X89)</f>
        <v>-0.18834009438109947</v>
      </c>
      <c r="AB89" s="49">
        <f>AB7+AB87</f>
        <v>3723096.8599999994</v>
      </c>
      <c r="AC89" s="73"/>
    </row>
    <row r="90" spans="1:29" x14ac:dyDescent="0.25">
      <c r="C90" s="873"/>
      <c r="G90" s="374"/>
      <c r="H90" s="5"/>
      <c r="I90" s="872"/>
      <c r="J90" s="29"/>
      <c r="L90" s="5"/>
      <c r="M90" s="948"/>
      <c r="P90" s="5"/>
      <c r="Q90" s="948"/>
      <c r="T90" s="5"/>
      <c r="U90" s="73"/>
      <c r="X90" s="5"/>
      <c r="Y90" s="73"/>
      <c r="AB90" s="5"/>
      <c r="AC90" s="73"/>
    </row>
    <row r="91" spans="1:29" x14ac:dyDescent="0.25">
      <c r="C91" s="868"/>
      <c r="G91" s="374"/>
      <c r="H91" s="36"/>
      <c r="I91" s="871"/>
      <c r="J91" s="66"/>
      <c r="L91" s="2"/>
      <c r="M91" s="948"/>
      <c r="Q91" s="948"/>
      <c r="T91" s="2"/>
      <c r="U91" s="73"/>
      <c r="X91" s="2"/>
      <c r="Y91" s="73"/>
      <c r="AB91" s="2"/>
      <c r="AC91" s="73"/>
    </row>
    <row r="92" spans="1:29" x14ac:dyDescent="0.25">
      <c r="C92" s="868"/>
      <c r="G92" s="374"/>
      <c r="H92" s="36"/>
      <c r="I92" s="871"/>
      <c r="J92" s="66"/>
      <c r="L92" s="2"/>
      <c r="M92" s="948"/>
      <c r="Q92" s="948"/>
      <c r="T92" s="2"/>
      <c r="U92" s="73"/>
      <c r="X92" s="2"/>
      <c r="Y92" s="73"/>
      <c r="AB92" s="2"/>
      <c r="AC92" s="73"/>
    </row>
    <row r="93" spans="1:29" x14ac:dyDescent="0.25">
      <c r="C93" s="868"/>
      <c r="G93" s="374"/>
      <c r="H93" s="36"/>
      <c r="I93" s="871"/>
      <c r="J93" s="66"/>
      <c r="L93" s="2"/>
      <c r="M93" s="948"/>
      <c r="Q93" s="948"/>
      <c r="T93" s="2"/>
      <c r="U93" s="73"/>
      <c r="X93" s="2"/>
      <c r="Y93" s="73"/>
      <c r="AB93" s="2"/>
      <c r="AC93" s="73"/>
    </row>
    <row r="94" spans="1:29" x14ac:dyDescent="0.25">
      <c r="C94" s="868"/>
      <c r="G94" s="374"/>
      <c r="H94" s="36"/>
      <c r="I94" s="871"/>
      <c r="J94" s="66"/>
      <c r="L94" s="2"/>
      <c r="M94" s="948"/>
      <c r="Q94" s="948"/>
      <c r="T94" s="2"/>
      <c r="U94" s="73"/>
      <c r="X94" s="2"/>
      <c r="Y94" s="73"/>
      <c r="AB94" s="2"/>
      <c r="AC94" s="73"/>
    </row>
    <row r="95" spans="1:29" s="137" customFormat="1" ht="11.25" x14ac:dyDescent="0.2">
      <c r="A95" s="156"/>
      <c r="B95" s="942"/>
      <c r="C95" s="943" t="s">
        <v>223</v>
      </c>
      <c r="D95" s="134">
        <f>+D76+D59+D43+D31+D24+D82</f>
        <v>618939.79</v>
      </c>
      <c r="E95" s="865"/>
      <c r="G95" s="133" t="s">
        <v>223</v>
      </c>
      <c r="H95" s="134">
        <f>+H76+H59+H43+H31+H24</f>
        <v>939095</v>
      </c>
      <c r="I95" s="874"/>
      <c r="J95" s="135"/>
      <c r="K95" s="133" t="s">
        <v>223</v>
      </c>
      <c r="L95" s="134">
        <f>+L76+L59+L43+L31+L24</f>
        <v>865432</v>
      </c>
      <c r="M95" s="951"/>
      <c r="O95" s="133" t="s">
        <v>223</v>
      </c>
      <c r="P95" s="134">
        <f>+P76+P59+P43+P31+P24</f>
        <v>869237</v>
      </c>
      <c r="Q95" s="951"/>
      <c r="R95" s="139"/>
      <c r="S95" s="133" t="s">
        <v>223</v>
      </c>
      <c r="T95" s="134">
        <f>+T76+T59+T43+T31+T24</f>
        <v>818438</v>
      </c>
      <c r="U95" s="138"/>
      <c r="W95" s="133" t="s">
        <v>223</v>
      </c>
      <c r="X95" s="134">
        <f>+X76+X59+X43+X31+X24</f>
        <v>841184</v>
      </c>
      <c r="Y95" s="138"/>
      <c r="AA95" s="133" t="s">
        <v>223</v>
      </c>
      <c r="AB95" s="134">
        <f>+AB76+AB59+AB43+AB31+AB24</f>
        <v>863919</v>
      </c>
      <c r="AC95" s="138"/>
    </row>
    <row r="96" spans="1:29" s="137" customFormat="1" ht="11.25" x14ac:dyDescent="0.2">
      <c r="A96" s="158"/>
      <c r="B96" s="942"/>
      <c r="C96" s="944" t="s">
        <v>224</v>
      </c>
      <c r="D96" s="142">
        <f>+D13</f>
        <v>0</v>
      </c>
      <c r="E96" s="866"/>
      <c r="F96" s="144"/>
      <c r="G96" s="375" t="s">
        <v>224</v>
      </c>
      <c r="H96" s="142">
        <f>+H13</f>
        <v>0</v>
      </c>
      <c r="I96" s="875"/>
      <c r="J96" s="143"/>
      <c r="K96" s="375" t="s">
        <v>224</v>
      </c>
      <c r="L96" s="142">
        <f>+L13</f>
        <v>0</v>
      </c>
      <c r="M96" s="951"/>
      <c r="O96" s="375" t="s">
        <v>224</v>
      </c>
      <c r="P96" s="142">
        <f>+P13</f>
        <v>0</v>
      </c>
      <c r="Q96" s="865"/>
      <c r="R96" s="139"/>
      <c r="S96" s="141" t="s">
        <v>224</v>
      </c>
      <c r="T96" s="142">
        <f>+T13</f>
        <v>0</v>
      </c>
      <c r="W96" s="141" t="s">
        <v>224</v>
      </c>
      <c r="X96" s="142">
        <f>+X13</f>
        <v>0</v>
      </c>
      <c r="AA96" s="141" t="s">
        <v>224</v>
      </c>
      <c r="AB96" s="142">
        <f>+AB13</f>
        <v>0</v>
      </c>
    </row>
    <row r="97" spans="1:28" s="137" customFormat="1" ht="11.25" x14ac:dyDescent="0.2">
      <c r="A97" s="158"/>
      <c r="B97" s="942"/>
      <c r="C97" s="944"/>
      <c r="D97" s="145">
        <f>+D95+D96</f>
        <v>618939.79</v>
      </c>
      <c r="E97" s="866"/>
      <c r="F97" s="144"/>
      <c r="G97" s="375"/>
      <c r="H97" s="145">
        <f>+H95+H96</f>
        <v>939095</v>
      </c>
      <c r="I97" s="875"/>
      <c r="J97" s="143"/>
      <c r="K97" s="375"/>
      <c r="L97" s="145">
        <f>+L95+L96</f>
        <v>865432</v>
      </c>
      <c r="M97" s="865"/>
      <c r="O97" s="375"/>
      <c r="P97" s="145">
        <f>+P95+P96</f>
        <v>869237</v>
      </c>
      <c r="Q97" s="865"/>
      <c r="R97" s="139"/>
      <c r="S97" s="141"/>
      <c r="T97" s="145">
        <f>+T95+T96</f>
        <v>818438</v>
      </c>
      <c r="W97" s="141"/>
      <c r="X97" s="145">
        <f>+X95+X96</f>
        <v>841184</v>
      </c>
      <c r="AA97" s="141"/>
      <c r="AB97" s="145">
        <f>+AB95+AB96</f>
        <v>863919</v>
      </c>
    </row>
    <row r="98" spans="1:28" ht="15" customHeight="1" x14ac:dyDescent="0.25">
      <c r="A98" s="152"/>
      <c r="B98" s="945"/>
      <c r="C98" s="945"/>
      <c r="D98" s="5">
        <f>+D85-D97</f>
        <v>0</v>
      </c>
      <c r="E98" s="863"/>
      <c r="F98" s="2"/>
      <c r="G98" s="376"/>
      <c r="H98" s="5">
        <f>+H85-H97</f>
        <v>9000</v>
      </c>
      <c r="K98" s="376"/>
      <c r="L98" s="5">
        <f>+L85-L97</f>
        <v>0</v>
      </c>
      <c r="O98" s="376"/>
      <c r="P98" s="5">
        <f>+P85-P97</f>
        <v>0</v>
      </c>
      <c r="S98" s="103"/>
      <c r="T98" s="5">
        <f>+T85-T97</f>
        <v>0</v>
      </c>
      <c r="W98" s="103"/>
      <c r="X98" s="5">
        <f>+X85-X97</f>
        <v>0</v>
      </c>
      <c r="AA98" s="103"/>
      <c r="AB98" s="5">
        <f>+AB85-AB97</f>
        <v>0</v>
      </c>
    </row>
    <row r="99" spans="1:28" x14ac:dyDescent="0.25">
      <c r="A99" s="152"/>
      <c r="B99" s="945"/>
      <c r="C99" s="945"/>
      <c r="D99" s="36"/>
      <c r="E99" s="863"/>
      <c r="F99" s="2"/>
    </row>
    <row r="100" spans="1:28" x14ac:dyDescent="0.25">
      <c r="A100" s="152"/>
      <c r="B100" s="932"/>
      <c r="C100" s="868"/>
      <c r="D100" s="25"/>
      <c r="E100" s="863"/>
      <c r="F100" s="2"/>
    </row>
    <row r="101" spans="1:28" x14ac:dyDescent="0.25">
      <c r="B101" s="932"/>
      <c r="C101" s="868"/>
      <c r="D101" s="36"/>
    </row>
    <row r="102" spans="1:28" x14ac:dyDescent="0.25">
      <c r="B102" s="932"/>
      <c r="C102" s="868"/>
      <c r="D102" s="36"/>
    </row>
    <row r="103" spans="1:28" ht="15" customHeight="1" x14ac:dyDescent="0.25">
      <c r="B103" s="932"/>
      <c r="C103" s="868"/>
      <c r="D103" s="36"/>
    </row>
    <row r="104" spans="1:28" x14ac:dyDescent="0.25">
      <c r="B104" s="932"/>
      <c r="C104" s="868"/>
      <c r="D104" s="36"/>
    </row>
    <row r="105" spans="1:28" x14ac:dyDescent="0.25">
      <c r="B105" s="932"/>
      <c r="C105" s="868"/>
      <c r="D105" s="36"/>
    </row>
    <row r="106" spans="1:28" ht="15" customHeight="1" x14ac:dyDescent="0.25">
      <c r="B106" s="2209"/>
      <c r="C106" s="2209"/>
      <c r="D106" s="36"/>
    </row>
    <row r="107" spans="1:28" x14ac:dyDescent="0.25">
      <c r="B107" s="2209"/>
      <c r="C107" s="2209"/>
      <c r="D107" s="36"/>
    </row>
    <row r="108" spans="1:28" x14ac:dyDescent="0.25">
      <c r="B108" s="932"/>
      <c r="C108" s="868"/>
      <c r="D108" s="6"/>
    </row>
    <row r="109" spans="1:28" x14ac:dyDescent="0.25">
      <c r="B109" s="932"/>
      <c r="C109" s="868"/>
      <c r="D109" s="36"/>
    </row>
    <row r="110" spans="1:28" x14ac:dyDescent="0.25">
      <c r="B110" s="932"/>
      <c r="C110" s="868"/>
      <c r="D110" s="36"/>
    </row>
    <row r="111" spans="1:28" ht="28.5" customHeight="1" x14ac:dyDescent="0.25">
      <c r="B111" s="932"/>
      <c r="C111" s="868"/>
      <c r="D111" s="25"/>
    </row>
    <row r="112" spans="1:28" x14ac:dyDescent="0.25">
      <c r="B112" s="932"/>
      <c r="C112" s="868"/>
      <c r="D112" s="36"/>
    </row>
    <row r="113" spans="2:4" x14ac:dyDescent="0.25">
      <c r="B113" s="932"/>
      <c r="C113" s="868"/>
      <c r="D113" s="36"/>
    </row>
    <row r="114" spans="2:4" x14ac:dyDescent="0.25">
      <c r="B114" s="932"/>
      <c r="C114" s="868"/>
      <c r="D114" s="36"/>
    </row>
    <row r="115" spans="2:4" x14ac:dyDescent="0.25">
      <c r="B115" s="932"/>
      <c r="C115" s="868"/>
      <c r="D115" s="36"/>
    </row>
    <row r="116" spans="2:4" x14ac:dyDescent="0.25">
      <c r="B116" s="932"/>
      <c r="C116" s="868"/>
      <c r="D116" s="36"/>
    </row>
    <row r="117" spans="2:4" x14ac:dyDescent="0.25">
      <c r="B117" s="932"/>
      <c r="C117" s="868"/>
      <c r="D117" s="36"/>
    </row>
    <row r="118" spans="2:4" x14ac:dyDescent="0.25">
      <c r="B118" s="932"/>
      <c r="C118" s="868"/>
      <c r="D118" s="36"/>
    </row>
    <row r="119" spans="2:4" x14ac:dyDescent="0.25">
      <c r="B119" s="932"/>
      <c r="C119" s="868"/>
      <c r="D119" s="36"/>
    </row>
    <row r="120" spans="2:4" x14ac:dyDescent="0.25">
      <c r="B120" s="932"/>
      <c r="C120" s="868"/>
      <c r="D120" s="36"/>
    </row>
    <row r="121" spans="2:4" x14ac:dyDescent="0.25">
      <c r="B121" s="932"/>
      <c r="C121" s="868"/>
      <c r="D121" s="36"/>
    </row>
    <row r="122" spans="2:4" x14ac:dyDescent="0.25">
      <c r="B122" s="932"/>
      <c r="C122" s="868"/>
      <c r="D122" s="36"/>
    </row>
    <row r="123" spans="2:4" x14ac:dyDescent="0.25">
      <c r="B123" s="932"/>
      <c r="C123" s="868"/>
      <c r="D123" s="36"/>
    </row>
    <row r="124" spans="2:4" x14ac:dyDescent="0.25">
      <c r="B124" s="932"/>
      <c r="C124" s="868"/>
      <c r="D124" s="36"/>
    </row>
    <row r="125" spans="2:4" x14ac:dyDescent="0.25">
      <c r="B125" s="932"/>
      <c r="C125" s="868"/>
      <c r="D125" s="36"/>
    </row>
    <row r="126" spans="2:4" x14ac:dyDescent="0.25">
      <c r="B126" s="932"/>
      <c r="C126" s="868"/>
      <c r="D126" s="36"/>
    </row>
  </sheetData>
  <sheetProtection password="B79F" sheet="1" objects="1" scenarios="1"/>
  <mergeCells count="1">
    <mergeCell ref="B106:C107"/>
  </mergeCells>
  <pageMargins left="0.25" right="0.25" top="0.5" bottom="0.5" header="0.25" footer="0.25"/>
  <pageSetup paperSize="5" scale="59" orientation="portrait" r:id="rId1"/>
  <headerFooter>
    <oddHeader>&amp;L&amp;F</oddHeader>
    <oddFooter>&amp;R&amp;A</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55"/>
  <sheetViews>
    <sheetView topLeftCell="A19" zoomScale="115" zoomScaleNormal="115" workbookViewId="0">
      <pane xSplit="3765" ySplit="1080" activePane="bottomRight"/>
      <selection activeCell="S3" sqref="S3"/>
      <selection pane="topRight" activeCell="S19" sqref="S19"/>
      <selection pane="bottomLeft" activeCell="A92" sqref="A92"/>
      <selection pane="bottomRight" activeCell="D12" sqref="D12"/>
    </sheetView>
  </sheetViews>
  <sheetFormatPr defaultRowHeight="15" x14ac:dyDescent="0.25"/>
  <cols>
    <col min="1" max="1" width="8.5703125" style="37" customWidth="1"/>
    <col min="2" max="2" width="18.42578125" style="2" customWidth="1"/>
    <col min="3" max="3" width="16" style="3" customWidth="1"/>
    <col min="4" max="4" width="53.42578125" style="30" customWidth="1"/>
    <col min="5" max="5" width="16" style="2" customWidth="1"/>
    <col min="6" max="6" width="32.5703125" style="2" customWidth="1"/>
    <col min="7" max="7" width="16" style="2" customWidth="1"/>
    <col min="8" max="8" width="40.42578125" style="2" bestFit="1" customWidth="1"/>
    <col min="9" max="9" width="16" style="161" customWidth="1"/>
    <col min="10" max="10" width="26.7109375" style="2" bestFit="1" customWidth="1"/>
    <col min="11" max="11" width="16" style="2" customWidth="1"/>
    <col min="12" max="12" width="40.42578125" style="2" bestFit="1" customWidth="1"/>
    <col min="13" max="13" width="16" style="2" customWidth="1"/>
    <col min="14" max="14" width="26.7109375" style="2" bestFit="1" customWidth="1"/>
    <col min="15" max="15" width="16" style="2" customWidth="1"/>
    <col min="16" max="16" width="40.42578125" style="2" bestFit="1" customWidth="1"/>
    <col min="17" max="17" width="16" style="2" customWidth="1"/>
    <col min="18" max="18" width="54.140625" style="2" bestFit="1" customWidth="1"/>
    <col min="19" max="19" width="16" style="161" customWidth="1"/>
    <col min="20" max="20" width="47.5703125" style="2" bestFit="1" customWidth="1"/>
    <col min="21" max="21" width="16" style="2" customWidth="1"/>
    <col min="22" max="22" width="47.5703125" style="2" bestFit="1" customWidth="1"/>
    <col min="23" max="23" width="16" style="161" customWidth="1"/>
    <col min="24" max="24" width="47.5703125" style="2" bestFit="1" customWidth="1"/>
    <col min="25" max="25" width="16" style="2" customWidth="1"/>
    <col min="26" max="26" width="26.7109375" style="2" bestFit="1" customWidth="1"/>
    <col min="27" max="27" width="16" style="2" customWidth="1"/>
    <col min="28" max="28" width="47.5703125" style="2" bestFit="1" customWidth="1"/>
    <col min="29" max="29" width="4.140625" style="108" customWidth="1"/>
    <col min="30" max="30" width="8.5703125" style="37" customWidth="1"/>
    <col min="31" max="31" width="18.28515625" style="2" customWidth="1"/>
    <col min="32" max="32" width="16" style="2" customWidth="1"/>
    <col min="33" max="33" width="37.140625" style="2" bestFit="1" customWidth="1"/>
    <col min="34" max="34" width="23.85546875" style="2" bestFit="1" customWidth="1"/>
    <col min="35" max="16384" width="9.140625" style="2"/>
  </cols>
  <sheetData>
    <row r="1" spans="1:32" x14ac:dyDescent="0.25">
      <c r="A1" s="37" t="s">
        <v>61</v>
      </c>
      <c r="B1" s="17" t="s">
        <v>60</v>
      </c>
      <c r="C1" s="278"/>
      <c r="D1" s="279" t="s">
        <v>59</v>
      </c>
      <c r="E1" s="280">
        <v>3010</v>
      </c>
      <c r="AD1" s="281"/>
      <c r="AE1" s="36"/>
    </row>
    <row r="2" spans="1:32" x14ac:dyDescent="0.25">
      <c r="A2" s="37" t="s">
        <v>58</v>
      </c>
      <c r="B2" s="17" t="s">
        <v>57</v>
      </c>
      <c r="C2" s="278"/>
      <c r="AE2" s="36"/>
    </row>
    <row r="3" spans="1:32" ht="5.25" customHeight="1" x14ac:dyDescent="0.25"/>
    <row r="4" spans="1:32" ht="5.25" customHeight="1" x14ac:dyDescent="0.25"/>
    <row r="5" spans="1:32" ht="5.25" customHeight="1" x14ac:dyDescent="0.25"/>
    <row r="6" spans="1:32" s="283" customFormat="1" ht="15.75" x14ac:dyDescent="0.25">
      <c r="A6" s="396" t="s">
        <v>55</v>
      </c>
      <c r="B6" s="396"/>
      <c r="C6" s="396"/>
      <c r="D6" s="396"/>
      <c r="E6" s="396" t="s">
        <v>55</v>
      </c>
      <c r="F6" s="396"/>
      <c r="G6" s="396"/>
      <c r="H6" s="2212" t="s">
        <v>55</v>
      </c>
      <c r="I6" s="2212"/>
      <c r="J6" s="2212"/>
      <c r="K6" s="2212"/>
      <c r="L6" s="2212"/>
      <c r="M6" s="2212"/>
      <c r="N6" s="2212"/>
      <c r="O6" s="2212" t="s">
        <v>55</v>
      </c>
      <c r="P6" s="2212"/>
      <c r="Q6" s="2212"/>
      <c r="R6" s="2212"/>
      <c r="S6" s="2212"/>
      <c r="T6" s="2212"/>
      <c r="U6" s="2212"/>
      <c r="V6" s="2212" t="s">
        <v>55</v>
      </c>
      <c r="W6" s="2212"/>
      <c r="X6" s="2212"/>
      <c r="Y6" s="2212"/>
      <c r="Z6" s="2212"/>
      <c r="AA6" s="2212"/>
      <c r="AB6" s="2212"/>
      <c r="AC6" s="282"/>
      <c r="AF6" s="284" t="s">
        <v>55</v>
      </c>
    </row>
    <row r="7" spans="1:32" x14ac:dyDescent="0.25">
      <c r="A7" s="126" t="s">
        <v>54</v>
      </c>
      <c r="C7" s="3">
        <v>0</v>
      </c>
      <c r="AD7" s="126" t="str">
        <f>A7</f>
        <v>Beginning Balance</v>
      </c>
      <c r="AF7" s="2">
        <f>C7</f>
        <v>0</v>
      </c>
    </row>
    <row r="8" spans="1:32" x14ac:dyDescent="0.25">
      <c r="D8" s="37" t="s">
        <v>113</v>
      </c>
      <c r="E8" s="3">
        <v>1962443</v>
      </c>
      <c r="G8" s="37" t="s">
        <v>112</v>
      </c>
    </row>
    <row r="9" spans="1:32" x14ac:dyDescent="0.25">
      <c r="A9" s="37" t="s">
        <v>52</v>
      </c>
      <c r="B9" s="2" t="s">
        <v>53</v>
      </c>
      <c r="C9" s="3">
        <f>+E10</f>
        <v>1668077</v>
      </c>
      <c r="D9" s="37" t="s">
        <v>111</v>
      </c>
      <c r="E9" s="2">
        <f>ROUND(+E8*0.15,0)</f>
        <v>294366</v>
      </c>
      <c r="F9" s="130" t="s">
        <v>62</v>
      </c>
      <c r="G9" s="2">
        <v>400423.37</v>
      </c>
      <c r="AD9" s="126" t="str">
        <f>A9</f>
        <v>Revenue</v>
      </c>
      <c r="AE9" s="2" t="str">
        <f>B9</f>
        <v xml:space="preserve">Current Year </v>
      </c>
      <c r="AF9" s="2">
        <f>C9</f>
        <v>1668077</v>
      </c>
    </row>
    <row r="10" spans="1:32" x14ac:dyDescent="0.25">
      <c r="B10" s="2" t="s">
        <v>51</v>
      </c>
      <c r="C10" s="3">
        <v>1062358.3700000001</v>
      </c>
      <c r="E10" s="160">
        <f>+E8-E9</f>
        <v>1668077</v>
      </c>
      <c r="F10" s="130" t="s">
        <v>62</v>
      </c>
      <c r="G10" s="2">
        <v>449954</v>
      </c>
      <c r="AE10" s="2" t="str">
        <f>B10</f>
        <v>Prior Carryover</v>
      </c>
      <c r="AF10" s="2">
        <f>C10</f>
        <v>1062358.3700000001</v>
      </c>
    </row>
    <row r="11" spans="1:32" x14ac:dyDescent="0.25">
      <c r="A11" s="126" t="s">
        <v>137</v>
      </c>
      <c r="C11" s="24">
        <f>SUM(C9:C10)</f>
        <v>2730435.37</v>
      </c>
      <c r="F11" s="130" t="s">
        <v>63</v>
      </c>
      <c r="G11" s="17">
        <v>211981</v>
      </c>
      <c r="AD11" s="126" t="str">
        <f>A11</f>
        <v>TOTAL REVENUE</v>
      </c>
      <c r="AF11" s="8">
        <f>SUM(AF9:AF10)</f>
        <v>2730435.37</v>
      </c>
    </row>
    <row r="12" spans="1:32" x14ac:dyDescent="0.25">
      <c r="E12" s="2">
        <f>+E8*0.1</f>
        <v>196244.30000000002</v>
      </c>
      <c r="F12" s="130"/>
      <c r="G12" s="10">
        <f>SUM(G9:G11)</f>
        <v>1062358.3700000001</v>
      </c>
    </row>
    <row r="13" spans="1:32" x14ac:dyDescent="0.25">
      <c r="A13" s="130">
        <v>3.6999999999999998E-2</v>
      </c>
      <c r="B13" s="2" t="s">
        <v>64</v>
      </c>
      <c r="C13" s="3">
        <f>ROUND(C11-(C11/(1+A13)),0)</f>
        <v>97422</v>
      </c>
      <c r="AD13" s="52">
        <f>A13</f>
        <v>3.6999999999999998E-2</v>
      </c>
      <c r="AE13" s="10" t="str">
        <f>B13</f>
        <v>Indirect Costs</v>
      </c>
      <c r="AF13" s="10">
        <f>C13</f>
        <v>97422</v>
      </c>
    </row>
    <row r="15" spans="1:32" x14ac:dyDescent="0.25">
      <c r="A15" s="126" t="s">
        <v>50</v>
      </c>
      <c r="C15" s="9">
        <f>SUM(C7,C11)-C13</f>
        <v>2633013.37</v>
      </c>
      <c r="D15" s="33"/>
      <c r="AD15" s="126" t="str">
        <f>A15</f>
        <v xml:space="preserve">TOTAL AVAILABLE </v>
      </c>
      <c r="AF15" s="10">
        <f>AF11-AF13</f>
        <v>2633013.37</v>
      </c>
    </row>
    <row r="16" spans="1:32" x14ac:dyDescent="0.25">
      <c r="D16" s="285"/>
    </row>
    <row r="17" spans="1:33" x14ac:dyDescent="0.25">
      <c r="B17" s="37" t="s">
        <v>98</v>
      </c>
      <c r="C17" s="320">
        <v>42848</v>
      </c>
      <c r="D17" s="32"/>
      <c r="AE17" s="37"/>
    </row>
    <row r="18" spans="1:33" x14ac:dyDescent="0.25">
      <c r="C18" s="9" t="s">
        <v>715</v>
      </c>
      <c r="D18" s="32"/>
      <c r="E18" s="9" t="s">
        <v>715</v>
      </c>
      <c r="F18" s="32"/>
      <c r="G18" s="9" t="s">
        <v>715</v>
      </c>
      <c r="H18" s="32"/>
      <c r="I18" s="809" t="s">
        <v>715</v>
      </c>
      <c r="J18" s="32"/>
      <c r="K18" s="9" t="s">
        <v>715</v>
      </c>
      <c r="L18" s="32"/>
      <c r="M18" s="9" t="s">
        <v>715</v>
      </c>
      <c r="N18" s="32"/>
      <c r="O18" s="9" t="s">
        <v>715</v>
      </c>
      <c r="P18" s="32"/>
      <c r="Q18" s="9" t="s">
        <v>715</v>
      </c>
      <c r="R18" s="32"/>
      <c r="S18" s="809" t="s">
        <v>715</v>
      </c>
      <c r="T18" s="32"/>
      <c r="U18" s="9" t="s">
        <v>715</v>
      </c>
      <c r="V18" s="32"/>
      <c r="W18" s="809" t="s">
        <v>715</v>
      </c>
      <c r="X18" s="32"/>
      <c r="Y18" s="9" t="s">
        <v>715</v>
      </c>
      <c r="Z18" s="32"/>
      <c r="AA18" s="9" t="s">
        <v>715</v>
      </c>
      <c r="AB18" s="32"/>
      <c r="AC18" s="32"/>
      <c r="AF18" s="32"/>
      <c r="AG18" s="32"/>
    </row>
    <row r="19" spans="1:33" ht="17.25" x14ac:dyDescent="0.4">
      <c r="C19" s="35" t="s">
        <v>75</v>
      </c>
      <c r="D19" s="34" t="s">
        <v>47</v>
      </c>
      <c r="E19" s="35" t="s">
        <v>99</v>
      </c>
      <c r="F19" s="34" t="s">
        <v>47</v>
      </c>
      <c r="G19" s="35" t="s">
        <v>100</v>
      </c>
      <c r="H19" s="34" t="s">
        <v>47</v>
      </c>
      <c r="I19" s="810" t="s">
        <v>101</v>
      </c>
      <c r="J19" s="34" t="s">
        <v>47</v>
      </c>
      <c r="K19" s="35" t="s">
        <v>102</v>
      </c>
      <c r="L19" s="34" t="s">
        <v>47</v>
      </c>
      <c r="M19" s="35" t="s">
        <v>103</v>
      </c>
      <c r="N19" s="34" t="s">
        <v>47</v>
      </c>
      <c r="O19" s="35" t="s">
        <v>201</v>
      </c>
      <c r="P19" s="34" t="s">
        <v>47</v>
      </c>
      <c r="Q19" s="35" t="s">
        <v>202</v>
      </c>
      <c r="R19" s="34" t="s">
        <v>47</v>
      </c>
      <c r="S19" s="810" t="s">
        <v>106</v>
      </c>
      <c r="T19" s="34" t="s">
        <v>47</v>
      </c>
      <c r="U19" s="35" t="s">
        <v>107</v>
      </c>
      <c r="V19" s="34" t="s">
        <v>47</v>
      </c>
      <c r="W19" s="810" t="s">
        <v>108</v>
      </c>
      <c r="X19" s="34" t="s">
        <v>47</v>
      </c>
      <c r="Y19" s="35" t="s">
        <v>109</v>
      </c>
      <c r="Z19" s="34" t="s">
        <v>47</v>
      </c>
      <c r="AA19" s="35" t="s">
        <v>110</v>
      </c>
      <c r="AB19" s="34" t="s">
        <v>47</v>
      </c>
      <c r="AC19" s="79"/>
      <c r="AF19" s="35" t="s">
        <v>118</v>
      </c>
      <c r="AG19" s="34"/>
    </row>
    <row r="20" spans="1:33" s="10" customFormat="1" x14ac:dyDescent="0.25">
      <c r="A20" s="126" t="s">
        <v>46</v>
      </c>
      <c r="D20" s="33"/>
      <c r="F20" s="6"/>
      <c r="H20" s="6"/>
      <c r="I20" s="616"/>
      <c r="J20" s="6"/>
      <c r="L20" s="6"/>
      <c r="N20" s="6"/>
      <c r="P20" s="6"/>
      <c r="R20" s="6"/>
      <c r="S20" s="616"/>
      <c r="T20" s="6"/>
      <c r="V20" s="6"/>
      <c r="W20" s="616"/>
      <c r="X20" s="6"/>
      <c r="Z20" s="6"/>
      <c r="AB20" s="6"/>
      <c r="AC20" s="57"/>
      <c r="AD20" s="126" t="str">
        <f t="shared" ref="AD20:AD28" si="0">A20</f>
        <v xml:space="preserve">Certificated </v>
      </c>
    </row>
    <row r="21" spans="1:33" s="114" customFormat="1" x14ac:dyDescent="0.25">
      <c r="A21" s="286" t="s">
        <v>65</v>
      </c>
      <c r="B21" s="114" t="s">
        <v>66</v>
      </c>
      <c r="C21" s="117">
        <v>0</v>
      </c>
      <c r="D21" s="842" t="s">
        <v>756</v>
      </c>
      <c r="E21" s="117">
        <v>2000</v>
      </c>
      <c r="F21" s="117"/>
      <c r="G21" s="117">
        <v>1000</v>
      </c>
      <c r="H21" s="117"/>
      <c r="I21" s="811">
        <v>7313</v>
      </c>
      <c r="J21" s="117"/>
      <c r="K21" s="117">
        <f>+K138+3657</f>
        <v>11657</v>
      </c>
      <c r="L21" s="117"/>
      <c r="M21" s="117">
        <v>2600</v>
      </c>
      <c r="N21" s="117"/>
      <c r="O21" s="117">
        <v>9657</v>
      </c>
      <c r="P21" s="117"/>
      <c r="Q21" s="117">
        <f>4307+Q138</f>
        <v>7307</v>
      </c>
      <c r="R21" s="117"/>
      <c r="S21" s="811">
        <v>8207</v>
      </c>
      <c r="T21" s="117"/>
      <c r="U21" s="117">
        <v>3605</v>
      </c>
      <c r="V21" s="117"/>
      <c r="W21" s="811">
        <v>4662</v>
      </c>
      <c r="X21" s="117"/>
      <c r="Y21" s="117">
        <v>7800</v>
      </c>
      <c r="Z21" s="117"/>
      <c r="AA21" s="117">
        <v>8778</v>
      </c>
      <c r="AB21" s="117"/>
      <c r="AC21" s="118"/>
      <c r="AD21" s="286" t="str">
        <f t="shared" si="0"/>
        <v>1110</v>
      </c>
      <c r="AE21" s="114" t="str">
        <f t="shared" ref="AE21:AE28" si="1">B21</f>
        <v>Intervention Tchr.</v>
      </c>
      <c r="AF21" s="114">
        <f>SUM(C21,E21,G21,I21,K21,M21,O21,Q21,S21,U21,W21,Y21,AA21)</f>
        <v>74586</v>
      </c>
    </row>
    <row r="22" spans="1:33" s="114" customFormat="1" x14ac:dyDescent="0.25">
      <c r="A22" s="286" t="s">
        <v>45</v>
      </c>
      <c r="B22" s="114" t="s">
        <v>758</v>
      </c>
      <c r="C22" s="113">
        <v>9089</v>
      </c>
      <c r="D22" s="842" t="s">
        <v>757</v>
      </c>
      <c r="E22" s="114">
        <v>0</v>
      </c>
      <c r="F22" s="115"/>
      <c r="G22" s="114">
        <v>0</v>
      </c>
      <c r="H22" s="115"/>
      <c r="I22" s="812">
        <v>0</v>
      </c>
      <c r="J22" s="115"/>
      <c r="K22" s="114">
        <v>0</v>
      </c>
      <c r="L22" s="115"/>
      <c r="M22" s="114">
        <v>1050</v>
      </c>
      <c r="N22" s="115"/>
      <c r="O22" s="114">
        <v>0</v>
      </c>
      <c r="P22" s="115"/>
      <c r="Q22" s="114">
        <v>0</v>
      </c>
      <c r="R22" s="115"/>
      <c r="S22" s="812">
        <v>150</v>
      </c>
      <c r="T22" s="115"/>
      <c r="U22" s="114">
        <v>0</v>
      </c>
      <c r="V22" s="115"/>
      <c r="W22" s="812">
        <v>0</v>
      </c>
      <c r="X22" s="115"/>
      <c r="Y22" s="114">
        <v>0</v>
      </c>
      <c r="Z22" s="115"/>
      <c r="AA22" s="114">
        <v>0</v>
      </c>
      <c r="AB22" s="115"/>
      <c r="AC22" s="116"/>
      <c r="AD22" s="286" t="str">
        <f t="shared" si="0"/>
        <v>1112</v>
      </c>
      <c r="AE22" s="114" t="str">
        <f t="shared" si="1"/>
        <v>Supplemental Tchr./Extra Duty/Training</v>
      </c>
      <c r="AF22" s="114">
        <f t="shared" ref="AF22:AF28" si="2">SUM(C22,E22,G22,I22,K22,M22,O22,Q22,S22,U22,W22,Y22,AA22)</f>
        <v>10289</v>
      </c>
    </row>
    <row r="23" spans="1:33" s="114" customFormat="1" x14ac:dyDescent="0.25">
      <c r="A23" s="286" t="s">
        <v>43</v>
      </c>
      <c r="B23" s="114" t="s">
        <v>42</v>
      </c>
      <c r="C23" s="113">
        <v>69521</v>
      </c>
      <c r="D23" s="287"/>
      <c r="E23" s="114">
        <v>2500</v>
      </c>
      <c r="F23" s="115"/>
      <c r="G23" s="114">
        <v>4175</v>
      </c>
      <c r="H23" s="115"/>
      <c r="I23" s="812">
        <v>12600</v>
      </c>
      <c r="J23" s="115"/>
      <c r="K23" s="114">
        <v>9672</v>
      </c>
      <c r="L23" s="115"/>
      <c r="M23" s="114">
        <v>9310</v>
      </c>
      <c r="N23" s="115"/>
      <c r="O23" s="114">
        <v>1050</v>
      </c>
      <c r="P23" s="115"/>
      <c r="Q23" s="114">
        <v>4340</v>
      </c>
      <c r="R23" s="115"/>
      <c r="S23" s="812">
        <v>6591</v>
      </c>
      <c r="T23" s="115"/>
      <c r="U23" s="114">
        <v>7280</v>
      </c>
      <c r="V23" s="115"/>
      <c r="W23" s="812">
        <v>3310</v>
      </c>
      <c r="X23" s="115"/>
      <c r="Y23" s="114">
        <v>6300</v>
      </c>
      <c r="Z23" s="115"/>
      <c r="AA23" s="114">
        <v>10000</v>
      </c>
      <c r="AB23" s="115"/>
      <c r="AC23" s="116"/>
      <c r="AD23" s="286" t="str">
        <f t="shared" si="0"/>
        <v>1181</v>
      </c>
      <c r="AE23" s="114" t="str">
        <f t="shared" si="1"/>
        <v>Subs</v>
      </c>
      <c r="AF23" s="114">
        <f t="shared" si="2"/>
        <v>146649</v>
      </c>
    </row>
    <row r="24" spans="1:33" s="114" customFormat="1" ht="30" x14ac:dyDescent="0.25">
      <c r="A24" s="286" t="s">
        <v>41</v>
      </c>
      <c r="B24" s="114" t="s">
        <v>40</v>
      </c>
      <c r="C24" s="113">
        <v>250203</v>
      </c>
      <c r="D24" s="288" t="s">
        <v>206</v>
      </c>
      <c r="E24" s="114">
        <v>0</v>
      </c>
      <c r="F24" s="115"/>
      <c r="G24" s="114">
        <v>0</v>
      </c>
      <c r="H24" s="115"/>
      <c r="I24" s="812">
        <v>0</v>
      </c>
      <c r="J24" s="115"/>
      <c r="K24" s="114">
        <v>0</v>
      </c>
      <c r="L24" s="115"/>
      <c r="M24" s="114">
        <v>0</v>
      </c>
      <c r="N24" s="115"/>
      <c r="O24" s="114">
        <v>0</v>
      </c>
      <c r="P24" s="115"/>
      <c r="Q24" s="114">
        <v>0</v>
      </c>
      <c r="R24" s="115"/>
      <c r="S24" s="812">
        <v>0</v>
      </c>
      <c r="T24" s="115"/>
      <c r="U24" s="114">
        <v>0</v>
      </c>
      <c r="V24" s="115"/>
      <c r="W24" s="812">
        <v>0</v>
      </c>
      <c r="X24" s="115"/>
      <c r="Y24" s="114">
        <v>0</v>
      </c>
      <c r="Z24" s="115"/>
      <c r="AA24" s="114">
        <v>0</v>
      </c>
      <c r="AB24" s="115"/>
      <c r="AC24" s="116"/>
      <c r="AD24" s="286" t="str">
        <f t="shared" si="0"/>
        <v>1204</v>
      </c>
      <c r="AE24" s="114" t="str">
        <f t="shared" si="1"/>
        <v>Counselor</v>
      </c>
      <c r="AF24" s="114">
        <f t="shared" si="2"/>
        <v>250203</v>
      </c>
    </row>
    <row r="25" spans="1:33" s="114" customFormat="1" x14ac:dyDescent="0.25">
      <c r="A25" s="286" t="s">
        <v>67</v>
      </c>
      <c r="B25" s="114" t="s">
        <v>68</v>
      </c>
      <c r="C25" s="113">
        <v>0</v>
      </c>
      <c r="E25" s="114">
        <v>500</v>
      </c>
      <c r="F25" s="115"/>
      <c r="G25" s="114">
        <v>0</v>
      </c>
      <c r="H25" s="115"/>
      <c r="I25" s="812">
        <v>457</v>
      </c>
      <c r="J25" s="115"/>
      <c r="K25" s="114">
        <v>0</v>
      </c>
      <c r="L25" s="115"/>
      <c r="M25" s="114">
        <v>0</v>
      </c>
      <c r="N25" s="115"/>
      <c r="O25" s="114">
        <v>0</v>
      </c>
      <c r="P25" s="115"/>
      <c r="Q25" s="114">
        <v>863</v>
      </c>
      <c r="R25" s="115"/>
      <c r="S25" s="812">
        <v>0</v>
      </c>
      <c r="T25" s="115"/>
      <c r="U25" s="114">
        <v>0</v>
      </c>
      <c r="V25" s="115"/>
      <c r="W25" s="812">
        <v>609</v>
      </c>
      <c r="X25" s="115"/>
      <c r="Y25" s="114">
        <v>0</v>
      </c>
      <c r="Z25" s="115"/>
      <c r="AA25" s="114">
        <v>1016</v>
      </c>
      <c r="AB25" s="115"/>
      <c r="AC25" s="116"/>
      <c r="AD25" s="286" t="str">
        <f t="shared" si="0"/>
        <v>1208</v>
      </c>
      <c r="AE25" s="114" t="str">
        <f t="shared" si="1"/>
        <v>Parent Instruction</v>
      </c>
      <c r="AF25" s="114">
        <f t="shared" si="2"/>
        <v>3445</v>
      </c>
    </row>
    <row r="26" spans="1:33" s="114" customFormat="1" x14ac:dyDescent="0.25">
      <c r="A26" s="286" t="s">
        <v>39</v>
      </c>
      <c r="B26" s="114" t="s">
        <v>38</v>
      </c>
      <c r="C26" s="113">
        <v>60345</v>
      </c>
      <c r="D26" s="115" t="s">
        <v>116</v>
      </c>
      <c r="E26" s="114">
        <v>0</v>
      </c>
      <c r="F26" s="115"/>
      <c r="G26" s="114">
        <v>0</v>
      </c>
      <c r="H26" s="115"/>
      <c r="I26" s="812">
        <v>0</v>
      </c>
      <c r="J26" s="115"/>
      <c r="K26" s="114">
        <v>0</v>
      </c>
      <c r="L26" s="115"/>
      <c r="M26" s="114">
        <v>0</v>
      </c>
      <c r="N26" s="115"/>
      <c r="O26" s="114">
        <v>0</v>
      </c>
      <c r="P26" s="115"/>
      <c r="Q26" s="114">
        <v>0</v>
      </c>
      <c r="R26" s="115"/>
      <c r="S26" s="812">
        <v>0</v>
      </c>
      <c r="T26" s="115"/>
      <c r="U26" s="114">
        <v>0</v>
      </c>
      <c r="V26" s="115"/>
      <c r="W26" s="812">
        <v>0</v>
      </c>
      <c r="X26" s="115"/>
      <c r="Y26" s="114">
        <v>0</v>
      </c>
      <c r="Z26" s="115"/>
      <c r="AA26" s="114">
        <v>0</v>
      </c>
      <c r="AB26" s="115"/>
      <c r="AC26" s="116"/>
      <c r="AD26" s="286" t="str">
        <f t="shared" si="0"/>
        <v>1305</v>
      </c>
      <c r="AE26" s="114" t="str">
        <f t="shared" si="1"/>
        <v>Director</v>
      </c>
      <c r="AF26" s="114">
        <f t="shared" si="2"/>
        <v>60345</v>
      </c>
    </row>
    <row r="27" spans="1:33" s="114" customFormat="1" ht="75" x14ac:dyDescent="0.25">
      <c r="A27" s="286" t="s">
        <v>37</v>
      </c>
      <c r="B27" s="114" t="s">
        <v>36</v>
      </c>
      <c r="C27" s="117">
        <v>499600</v>
      </c>
      <c r="D27" s="288" t="s">
        <v>207</v>
      </c>
      <c r="E27" s="115">
        <v>0</v>
      </c>
      <c r="F27" s="115"/>
      <c r="G27" s="115">
        <v>0</v>
      </c>
      <c r="H27" s="115"/>
      <c r="I27" s="813">
        <v>0</v>
      </c>
      <c r="J27" s="115"/>
      <c r="K27" s="115">
        <v>0</v>
      </c>
      <c r="L27" s="115"/>
      <c r="M27" s="115">
        <v>0</v>
      </c>
      <c r="N27" s="115"/>
      <c r="O27" s="115">
        <v>0</v>
      </c>
      <c r="P27" s="115"/>
      <c r="Q27" s="115">
        <v>0</v>
      </c>
      <c r="R27" s="115"/>
      <c r="S27" s="813">
        <v>0</v>
      </c>
      <c r="T27" s="115"/>
      <c r="U27" s="115">
        <v>0</v>
      </c>
      <c r="V27" s="115"/>
      <c r="W27" s="813">
        <v>0</v>
      </c>
      <c r="X27" s="115"/>
      <c r="Y27" s="115">
        <v>0</v>
      </c>
      <c r="Z27" s="115"/>
      <c r="AA27" s="115">
        <v>0</v>
      </c>
      <c r="AB27" s="115"/>
      <c r="AC27" s="116"/>
      <c r="AD27" s="286" t="str">
        <f t="shared" si="0"/>
        <v>1901</v>
      </c>
      <c r="AE27" s="114" t="str">
        <f t="shared" si="1"/>
        <v>Inst. Coaches</v>
      </c>
      <c r="AF27" s="114">
        <f>SUM(C27,E27,G27,I27,K27,M27,O27,Q27,S27,U27,W27,Y27,AA27)</f>
        <v>499600</v>
      </c>
    </row>
    <row r="28" spans="1:33" x14ac:dyDescent="0.25">
      <c r="A28" s="130" t="s">
        <v>204</v>
      </c>
      <c r="B28" s="2" t="s">
        <v>205</v>
      </c>
      <c r="C28" s="25">
        <f>+C132</f>
        <v>10000</v>
      </c>
      <c r="E28" s="36">
        <v>0</v>
      </c>
      <c r="F28" s="36"/>
      <c r="G28" s="36">
        <v>0</v>
      </c>
      <c r="H28" s="36"/>
      <c r="I28" s="814">
        <v>0</v>
      </c>
      <c r="J28" s="36"/>
      <c r="K28" s="36">
        <v>0</v>
      </c>
      <c r="L28" s="36"/>
      <c r="M28" s="36">
        <v>0</v>
      </c>
      <c r="N28" s="36"/>
      <c r="O28" s="36">
        <v>0</v>
      </c>
      <c r="P28" s="36"/>
      <c r="Q28" s="36">
        <v>0</v>
      </c>
      <c r="R28" s="36"/>
      <c r="S28" s="814">
        <v>0</v>
      </c>
      <c r="T28" s="36"/>
      <c r="U28" s="36">
        <v>0</v>
      </c>
      <c r="V28" s="36"/>
      <c r="W28" s="814">
        <v>0</v>
      </c>
      <c r="X28" s="36"/>
      <c r="Y28" s="36">
        <v>0</v>
      </c>
      <c r="Z28" s="36"/>
      <c r="AA28" s="36">
        <v>0</v>
      </c>
      <c r="AB28" s="36"/>
      <c r="AC28" s="66"/>
      <c r="AD28" s="130" t="str">
        <f t="shared" si="0"/>
        <v>1923</v>
      </c>
      <c r="AE28" s="2" t="str">
        <f t="shared" si="1"/>
        <v>Mentors</v>
      </c>
      <c r="AF28" s="2">
        <f t="shared" si="2"/>
        <v>10000</v>
      </c>
    </row>
    <row r="29" spans="1:33" ht="6.75" customHeight="1" x14ac:dyDescent="0.25">
      <c r="A29" s="130"/>
      <c r="C29" s="25"/>
      <c r="E29" s="36"/>
      <c r="F29" s="36"/>
      <c r="G29" s="36"/>
      <c r="H29" s="36"/>
      <c r="I29" s="814"/>
      <c r="J29" s="36"/>
      <c r="K29" s="36"/>
      <c r="L29" s="36"/>
      <c r="M29" s="36"/>
      <c r="N29" s="36"/>
      <c r="O29" s="36"/>
      <c r="P29" s="36"/>
      <c r="Q29" s="36"/>
      <c r="R29" s="36"/>
      <c r="S29" s="814"/>
      <c r="T29" s="36"/>
      <c r="U29" s="36"/>
      <c r="V29" s="36"/>
      <c r="W29" s="814"/>
      <c r="X29" s="36"/>
      <c r="Y29" s="36"/>
      <c r="Z29" s="36"/>
      <c r="AA29" s="36"/>
      <c r="AB29" s="36"/>
      <c r="AC29" s="66"/>
      <c r="AD29" s="130"/>
    </row>
    <row r="30" spans="1:33" x14ac:dyDescent="0.25">
      <c r="A30" s="130"/>
      <c r="C30" s="8">
        <f>SUM(C21:C29)</f>
        <v>898758</v>
      </c>
      <c r="D30" s="2"/>
      <c r="E30" s="8">
        <f>SUM(E21:E29)</f>
        <v>5000</v>
      </c>
      <c r="F30" s="5"/>
      <c r="G30" s="8">
        <f>SUM(G21:G29)</f>
        <v>5175</v>
      </c>
      <c r="H30" s="5"/>
      <c r="I30" s="815">
        <f>SUM(I21:I29)</f>
        <v>20370</v>
      </c>
      <c r="J30" s="5"/>
      <c r="K30" s="8">
        <f>SUM(K21:K29)</f>
        <v>21329</v>
      </c>
      <c r="L30" s="5"/>
      <c r="M30" s="8">
        <f>SUM(M21:M29)</f>
        <v>12960</v>
      </c>
      <c r="N30" s="5"/>
      <c r="O30" s="8">
        <f>SUM(O21:O29)</f>
        <v>10707</v>
      </c>
      <c r="P30" s="5"/>
      <c r="Q30" s="8">
        <f>SUM(Q21:Q29)</f>
        <v>12510</v>
      </c>
      <c r="R30" s="5"/>
      <c r="S30" s="815">
        <f>SUM(S21:S29)</f>
        <v>14948</v>
      </c>
      <c r="T30" s="5"/>
      <c r="U30" s="8">
        <f>SUM(U21:U29)</f>
        <v>10885</v>
      </c>
      <c r="V30" s="5"/>
      <c r="W30" s="815">
        <f>SUM(W21:W29)</f>
        <v>8581</v>
      </c>
      <c r="X30" s="5"/>
      <c r="Y30" s="8">
        <f>SUM(Y21:Y29)</f>
        <v>14100</v>
      </c>
      <c r="Z30" s="5"/>
      <c r="AA30" s="8">
        <f>SUM(AA21:AA29)</f>
        <v>19794</v>
      </c>
      <c r="AB30" s="5"/>
      <c r="AC30" s="29"/>
      <c r="AD30" s="130"/>
      <c r="AF30" s="8">
        <f>SUM(AF21:AF29)</f>
        <v>1055117</v>
      </c>
    </row>
    <row r="31" spans="1:33" x14ac:dyDescent="0.25">
      <c r="D31" s="2"/>
      <c r="F31" s="36"/>
      <c r="H31" s="36"/>
      <c r="J31" s="36"/>
      <c r="L31" s="36"/>
      <c r="N31" s="36"/>
      <c r="P31" s="36"/>
      <c r="R31" s="36"/>
      <c r="T31" s="36"/>
      <c r="V31" s="36"/>
      <c r="X31" s="36"/>
      <c r="Z31" s="36"/>
      <c r="AB31" s="36"/>
      <c r="AC31" s="66"/>
    </row>
    <row r="32" spans="1:33" s="6" customFormat="1" x14ac:dyDescent="0.25">
      <c r="A32" s="33" t="s">
        <v>35</v>
      </c>
      <c r="D32" s="33"/>
      <c r="I32" s="816"/>
      <c r="S32" s="816"/>
      <c r="W32" s="816"/>
      <c r="AC32" s="57"/>
      <c r="AD32" s="33" t="str">
        <f t="shared" ref="AD32:AD39" si="3">A32</f>
        <v>Classified</v>
      </c>
    </row>
    <row r="33" spans="1:32" x14ac:dyDescent="0.25">
      <c r="A33" s="130" t="s">
        <v>69</v>
      </c>
      <c r="B33" s="2" t="s">
        <v>70</v>
      </c>
      <c r="C33" s="3">
        <v>0</v>
      </c>
      <c r="E33" s="2">
        <v>0</v>
      </c>
      <c r="F33" s="36"/>
      <c r="G33" s="2">
        <f>16243+G144</f>
        <v>18243</v>
      </c>
      <c r="H33" s="36"/>
      <c r="I33" s="161">
        <v>28486</v>
      </c>
      <c r="J33" s="36"/>
      <c r="K33" s="2">
        <v>0</v>
      </c>
      <c r="L33" s="36"/>
      <c r="M33" s="2">
        <v>0</v>
      </c>
      <c r="N33" s="36"/>
      <c r="O33" s="2">
        <v>0</v>
      </c>
      <c r="P33" s="36"/>
      <c r="Q33" s="2">
        <v>0</v>
      </c>
      <c r="R33" s="36"/>
      <c r="S33" s="161">
        <v>25204</v>
      </c>
      <c r="T33" s="36"/>
      <c r="U33" s="2">
        <v>0</v>
      </c>
      <c r="V33" s="36"/>
      <c r="W33" s="161">
        <v>27270</v>
      </c>
      <c r="X33" s="36"/>
      <c r="Y33" s="2">
        <v>0</v>
      </c>
      <c r="Z33" s="36"/>
      <c r="AA33" s="2">
        <v>0</v>
      </c>
      <c r="AB33" s="36"/>
      <c r="AC33" s="66"/>
      <c r="AD33" s="130" t="str">
        <f t="shared" si="3"/>
        <v>2101</v>
      </c>
      <c r="AE33" s="2" t="str">
        <f t="shared" ref="AE33:AE39" si="4">B33</f>
        <v>Para Lrning Asstnt</v>
      </c>
      <c r="AF33" s="2">
        <f>SUM(C33,E33,G33,I33,K33,M33,O33,Q33,S33,U33,W33,Y33,AA33)</f>
        <v>99203</v>
      </c>
    </row>
    <row r="34" spans="1:32" x14ac:dyDescent="0.25">
      <c r="A34" s="130" t="s">
        <v>34</v>
      </c>
      <c r="B34" s="2" t="s">
        <v>33</v>
      </c>
      <c r="C34" s="3">
        <v>0</v>
      </c>
      <c r="E34" s="2">
        <v>0</v>
      </c>
      <c r="F34" s="36"/>
      <c r="G34" s="2">
        <v>0</v>
      </c>
      <c r="H34" s="36"/>
      <c r="I34" s="161">
        <v>0</v>
      </c>
      <c r="J34" s="36"/>
      <c r="K34" s="2">
        <v>0</v>
      </c>
      <c r="L34" s="36"/>
      <c r="M34" s="2">
        <v>0</v>
      </c>
      <c r="N34" s="36"/>
      <c r="O34" s="2">
        <v>0</v>
      </c>
      <c r="P34" s="36"/>
      <c r="Q34" s="2">
        <v>0</v>
      </c>
      <c r="R34" s="36"/>
      <c r="S34" s="161">
        <v>0</v>
      </c>
      <c r="T34" s="36"/>
      <c r="U34" s="2">
        <v>0</v>
      </c>
      <c r="V34" s="36"/>
      <c r="W34" s="161">
        <v>0</v>
      </c>
      <c r="X34" s="36"/>
      <c r="Y34" s="2">
        <v>0</v>
      </c>
      <c r="Z34" s="36"/>
      <c r="AA34" s="2">
        <v>0</v>
      </c>
      <c r="AB34" s="36"/>
      <c r="AC34" s="66"/>
      <c r="AD34" s="130" t="str">
        <f t="shared" si="3"/>
        <v>2273</v>
      </c>
      <c r="AE34" s="2" t="str">
        <f t="shared" si="4"/>
        <v>Extra Clss Support</v>
      </c>
      <c r="AF34" s="2">
        <f t="shared" ref="AF34:AF39" si="5">SUM(C34,E34,G34,I34,K34,M34,O34,Q34,S34,U34,W34,Y34,AA34)</f>
        <v>0</v>
      </c>
    </row>
    <row r="35" spans="1:32" x14ac:dyDescent="0.25">
      <c r="A35" s="130" t="s">
        <v>32</v>
      </c>
      <c r="B35" s="2" t="s">
        <v>31</v>
      </c>
      <c r="C35" s="3">
        <v>18222</v>
      </c>
      <c r="D35" s="30" t="s">
        <v>115</v>
      </c>
      <c r="E35" s="2">
        <v>0</v>
      </c>
      <c r="F35" s="36"/>
      <c r="G35" s="2">
        <v>0</v>
      </c>
      <c r="H35" s="36"/>
      <c r="I35" s="161">
        <v>0</v>
      </c>
      <c r="J35" s="36"/>
      <c r="K35" s="2">
        <v>0</v>
      </c>
      <c r="L35" s="36"/>
      <c r="M35" s="2">
        <v>0</v>
      </c>
      <c r="N35" s="36"/>
      <c r="O35" s="2">
        <v>0</v>
      </c>
      <c r="P35" s="36"/>
      <c r="Q35" s="2">
        <v>0</v>
      </c>
      <c r="R35" s="36"/>
      <c r="S35" s="161">
        <v>0</v>
      </c>
      <c r="T35" s="36"/>
      <c r="U35" s="2">
        <v>0</v>
      </c>
      <c r="V35" s="36"/>
      <c r="W35" s="161">
        <v>0</v>
      </c>
      <c r="X35" s="36"/>
      <c r="Y35" s="2">
        <v>0</v>
      </c>
      <c r="Z35" s="36"/>
      <c r="AA35" s="2">
        <v>0</v>
      </c>
      <c r="AB35" s="36"/>
      <c r="AC35" s="66"/>
      <c r="AD35" s="130" t="str">
        <f t="shared" si="3"/>
        <v>2404</v>
      </c>
      <c r="AE35" s="2" t="str">
        <f t="shared" si="4"/>
        <v>Secretary</v>
      </c>
      <c r="AF35" s="2">
        <f t="shared" si="5"/>
        <v>18222</v>
      </c>
    </row>
    <row r="36" spans="1:32" x14ac:dyDescent="0.25">
      <c r="A36" s="130" t="s">
        <v>30</v>
      </c>
      <c r="B36" s="2" t="s">
        <v>29</v>
      </c>
      <c r="C36" s="3">
        <v>1236</v>
      </c>
      <c r="E36" s="2">
        <v>0</v>
      </c>
      <c r="F36" s="36"/>
      <c r="G36" s="2">
        <v>0</v>
      </c>
      <c r="H36" s="36"/>
      <c r="I36" s="161">
        <v>0</v>
      </c>
      <c r="J36" s="36"/>
      <c r="K36" s="2">
        <v>102</v>
      </c>
      <c r="L36" s="36"/>
      <c r="M36" s="2">
        <v>0</v>
      </c>
      <c r="N36" s="36"/>
      <c r="O36" s="2">
        <v>0</v>
      </c>
      <c r="P36" s="36"/>
      <c r="Q36" s="2">
        <v>0</v>
      </c>
      <c r="R36" s="36"/>
      <c r="S36" s="161">
        <v>0</v>
      </c>
      <c r="T36" s="36"/>
      <c r="U36" s="2">
        <v>0</v>
      </c>
      <c r="V36" s="36"/>
      <c r="W36" s="161">
        <v>0</v>
      </c>
      <c r="X36" s="36"/>
      <c r="Y36" s="2">
        <v>0</v>
      </c>
      <c r="Z36" s="36"/>
      <c r="AA36" s="2">
        <v>0</v>
      </c>
      <c r="AB36" s="36"/>
      <c r="AC36" s="66"/>
      <c r="AD36" s="130" t="str">
        <f t="shared" si="3"/>
        <v>2481</v>
      </c>
      <c r="AE36" s="2" t="str">
        <f t="shared" si="4"/>
        <v>Sub. Office</v>
      </c>
      <c r="AF36" s="2">
        <f t="shared" si="5"/>
        <v>1338</v>
      </c>
    </row>
    <row r="37" spans="1:32" x14ac:dyDescent="0.25">
      <c r="A37" s="130" t="s">
        <v>72</v>
      </c>
      <c r="B37" s="2" t="s">
        <v>71</v>
      </c>
      <c r="C37" s="3">
        <v>0</v>
      </c>
      <c r="E37" s="2">
        <v>0</v>
      </c>
      <c r="F37" s="36"/>
      <c r="G37" s="2">
        <v>0</v>
      </c>
      <c r="H37" s="36"/>
      <c r="I37" s="161">
        <v>0</v>
      </c>
      <c r="J37" s="36"/>
      <c r="K37" s="2">
        <v>0</v>
      </c>
      <c r="L37" s="36"/>
      <c r="M37" s="2">
        <v>0</v>
      </c>
      <c r="N37" s="36"/>
      <c r="O37" s="2">
        <v>0</v>
      </c>
      <c r="P37" s="36"/>
      <c r="Q37" s="2">
        <v>407</v>
      </c>
      <c r="R37" s="36"/>
      <c r="S37" s="161">
        <v>0</v>
      </c>
      <c r="T37" s="36"/>
      <c r="U37" s="2">
        <v>167</v>
      </c>
      <c r="V37" s="36"/>
      <c r="W37" s="161">
        <v>370</v>
      </c>
      <c r="X37" s="36"/>
      <c r="Y37" s="2">
        <v>0</v>
      </c>
      <c r="Z37" s="36"/>
      <c r="AA37" s="2">
        <v>556</v>
      </c>
      <c r="AB37" s="36"/>
      <c r="AC37" s="66"/>
      <c r="AD37" s="130" t="str">
        <f t="shared" si="3"/>
        <v>2901</v>
      </c>
      <c r="AE37" s="2" t="str">
        <f t="shared" si="4"/>
        <v>Babysitter</v>
      </c>
      <c r="AF37" s="2">
        <f t="shared" si="5"/>
        <v>1500</v>
      </c>
    </row>
    <row r="38" spans="1:32" x14ac:dyDescent="0.25">
      <c r="A38" s="130" t="s">
        <v>114</v>
      </c>
      <c r="B38" s="2" t="s">
        <v>117</v>
      </c>
      <c r="C38" s="3">
        <v>0</v>
      </c>
      <c r="E38" s="2">
        <v>210</v>
      </c>
      <c r="F38" s="36"/>
      <c r="G38" s="2">
        <v>304</v>
      </c>
      <c r="H38" s="36"/>
      <c r="I38" s="161">
        <v>85</v>
      </c>
      <c r="J38" s="36"/>
      <c r="K38" s="2">
        <v>406</v>
      </c>
      <c r="L38" s="36"/>
      <c r="M38" s="2">
        <v>1388</v>
      </c>
      <c r="N38" s="36"/>
      <c r="O38" s="2">
        <v>793</v>
      </c>
      <c r="P38" s="36"/>
      <c r="Q38" s="2">
        <v>814</v>
      </c>
      <c r="R38" s="36"/>
      <c r="S38" s="161">
        <v>169</v>
      </c>
      <c r="T38" s="36"/>
      <c r="U38" s="2">
        <v>339</v>
      </c>
      <c r="V38" s="36"/>
      <c r="W38" s="161">
        <v>337</v>
      </c>
      <c r="X38" s="36"/>
      <c r="Y38" s="2">
        <v>237</v>
      </c>
      <c r="Z38" s="36"/>
      <c r="AA38" s="2">
        <v>4233</v>
      </c>
      <c r="AB38" s="36"/>
      <c r="AC38" s="66"/>
      <c r="AD38" s="130" t="str">
        <f t="shared" si="3"/>
        <v>2910</v>
      </c>
      <c r="AE38" s="2" t="str">
        <f t="shared" si="4"/>
        <v>Interpreters</v>
      </c>
      <c r="AF38" s="2">
        <f t="shared" si="5"/>
        <v>9315</v>
      </c>
    </row>
    <row r="39" spans="1:32" x14ac:dyDescent="0.25">
      <c r="A39" s="130" t="s">
        <v>73</v>
      </c>
      <c r="B39" s="2" t="s">
        <v>74</v>
      </c>
      <c r="C39" s="3">
        <v>0</v>
      </c>
      <c r="E39" s="2">
        <v>0</v>
      </c>
      <c r="F39" s="36"/>
      <c r="G39" s="2">
        <v>0</v>
      </c>
      <c r="H39" s="36"/>
      <c r="I39" s="161">
        <v>0</v>
      </c>
      <c r="J39" s="36"/>
      <c r="K39" s="2">
        <v>0</v>
      </c>
      <c r="L39" s="36"/>
      <c r="M39" s="2">
        <v>0</v>
      </c>
      <c r="N39" s="36"/>
      <c r="O39" s="2">
        <v>0</v>
      </c>
      <c r="P39" s="36"/>
      <c r="Q39" s="2">
        <v>0</v>
      </c>
      <c r="R39" s="36"/>
      <c r="S39" s="161">
        <v>0</v>
      </c>
      <c r="T39" s="36"/>
      <c r="U39" s="2">
        <v>0</v>
      </c>
      <c r="V39" s="36"/>
      <c r="W39" s="161">
        <v>0</v>
      </c>
      <c r="X39" s="36"/>
      <c r="Y39" s="2">
        <v>0</v>
      </c>
      <c r="Z39" s="36"/>
      <c r="AA39" s="2">
        <v>440</v>
      </c>
      <c r="AB39" s="36"/>
      <c r="AC39" s="66"/>
      <c r="AD39" s="130" t="str">
        <f t="shared" si="3"/>
        <v>2924</v>
      </c>
      <c r="AE39" s="2" t="str">
        <f t="shared" si="4"/>
        <v>Parent Ed. Aide</v>
      </c>
      <c r="AF39" s="2">
        <f t="shared" si="5"/>
        <v>440</v>
      </c>
    </row>
    <row r="40" spans="1:32" ht="6" customHeight="1" x14ac:dyDescent="0.25">
      <c r="A40" s="130"/>
      <c r="F40" s="36"/>
      <c r="H40" s="36"/>
      <c r="J40" s="36"/>
      <c r="L40" s="36"/>
      <c r="N40" s="36"/>
      <c r="P40" s="36"/>
      <c r="R40" s="36"/>
      <c r="T40" s="36"/>
      <c r="V40" s="36"/>
      <c r="X40" s="36"/>
      <c r="Z40" s="36"/>
      <c r="AB40" s="36"/>
      <c r="AC40" s="66"/>
      <c r="AD40" s="130"/>
    </row>
    <row r="41" spans="1:32" x14ac:dyDescent="0.25">
      <c r="A41" s="130"/>
      <c r="C41" s="8">
        <f>SUM(C33:C40)</f>
        <v>19458</v>
      </c>
      <c r="D41" s="33"/>
      <c r="E41" s="8">
        <f>SUM(E33:E40)</f>
        <v>210</v>
      </c>
      <c r="F41" s="5"/>
      <c r="G41" s="8">
        <f>SUM(G33:G40)</f>
        <v>18547</v>
      </c>
      <c r="H41" s="5"/>
      <c r="I41" s="815">
        <f>SUM(I33:I40)</f>
        <v>28571</v>
      </c>
      <c r="J41" s="5"/>
      <c r="K41" s="8">
        <f>SUM(K33:K40)</f>
        <v>508</v>
      </c>
      <c r="L41" s="5"/>
      <c r="M41" s="8">
        <f>SUM(M33:M40)</f>
        <v>1388</v>
      </c>
      <c r="N41" s="5"/>
      <c r="O41" s="8">
        <f>SUM(O33:O40)</f>
        <v>793</v>
      </c>
      <c r="P41" s="5"/>
      <c r="Q41" s="8">
        <f>SUM(Q33:Q40)</f>
        <v>1221</v>
      </c>
      <c r="R41" s="5"/>
      <c r="S41" s="815">
        <f>SUM(S33:S40)</f>
        <v>25373</v>
      </c>
      <c r="T41" s="5"/>
      <c r="U41" s="8">
        <f>SUM(U33:U40)</f>
        <v>506</v>
      </c>
      <c r="V41" s="5"/>
      <c r="W41" s="815">
        <f>SUM(W33:W40)</f>
        <v>27977</v>
      </c>
      <c r="X41" s="5"/>
      <c r="Y41" s="8">
        <f>SUM(Y33:Y40)</f>
        <v>237</v>
      </c>
      <c r="Z41" s="5"/>
      <c r="AA41" s="8">
        <f>SUM(AA33:AA40)</f>
        <v>5229</v>
      </c>
      <c r="AB41" s="5"/>
      <c r="AC41" s="29"/>
      <c r="AD41" s="130"/>
      <c r="AF41" s="8">
        <f>SUM(AF33:AF40)</f>
        <v>130018</v>
      </c>
    </row>
    <row r="42" spans="1:32" x14ac:dyDescent="0.25">
      <c r="A42" s="37" t="s">
        <v>28</v>
      </c>
      <c r="F42" s="36"/>
      <c r="H42" s="36"/>
      <c r="J42" s="36"/>
      <c r="L42" s="36"/>
      <c r="N42" s="36"/>
      <c r="P42" s="36"/>
      <c r="R42" s="36"/>
      <c r="T42" s="36"/>
      <c r="V42" s="36"/>
      <c r="X42" s="36"/>
      <c r="Z42" s="36"/>
      <c r="AB42" s="36"/>
      <c r="AC42" s="66"/>
      <c r="AD42" s="37" t="str">
        <f t="shared" ref="AD42:AD50" si="6">A42</f>
        <v xml:space="preserve">  </v>
      </c>
    </row>
    <row r="43" spans="1:32" x14ac:dyDescent="0.25">
      <c r="A43" s="126" t="s">
        <v>27</v>
      </c>
      <c r="C43" s="9"/>
      <c r="D43" s="33"/>
      <c r="E43" s="10"/>
      <c r="F43" s="6"/>
      <c r="G43" s="10"/>
      <c r="H43" s="6"/>
      <c r="I43" s="616"/>
      <c r="J43" s="6"/>
      <c r="K43" s="10"/>
      <c r="L43" s="6"/>
      <c r="M43" s="10"/>
      <c r="N43" s="6"/>
      <c r="O43" s="10"/>
      <c r="P43" s="6"/>
      <c r="Q43" s="10"/>
      <c r="R43" s="6"/>
      <c r="S43" s="616"/>
      <c r="T43" s="6"/>
      <c r="U43" s="10"/>
      <c r="V43" s="6"/>
      <c r="W43" s="616"/>
      <c r="X43" s="6"/>
      <c r="Y43" s="10"/>
      <c r="Z43" s="6"/>
      <c r="AA43" s="10"/>
      <c r="AB43" s="6"/>
      <c r="AC43" s="57"/>
      <c r="AD43" s="126" t="str">
        <f t="shared" si="6"/>
        <v>Benefits</v>
      </c>
    </row>
    <row r="44" spans="1:32" x14ac:dyDescent="0.25">
      <c r="A44" s="130" t="s">
        <v>83</v>
      </c>
      <c r="B44" s="2" t="s">
        <v>76</v>
      </c>
      <c r="C44" s="3">
        <f>119847-9892+C133</f>
        <v>111213</v>
      </c>
      <c r="E44" s="2">
        <v>2437</v>
      </c>
      <c r="F44" s="36"/>
      <c r="G44" s="2">
        <f>1032+G139</f>
        <v>2290</v>
      </c>
      <c r="H44" s="36"/>
      <c r="I44" s="161">
        <v>1282</v>
      </c>
      <c r="J44" s="36"/>
      <c r="K44" s="2">
        <f>1694+K139</f>
        <v>2700</v>
      </c>
      <c r="L44" s="36"/>
      <c r="M44" s="2">
        <v>1630</v>
      </c>
      <c r="N44" s="36"/>
      <c r="O44" s="2">
        <f>687+O139</f>
        <v>1190</v>
      </c>
      <c r="P44" s="36"/>
      <c r="Q44" s="2">
        <f>1196+Q139</f>
        <v>1573</v>
      </c>
      <c r="R44" s="36"/>
      <c r="S44" s="161">
        <v>1485</v>
      </c>
      <c r="T44" s="36"/>
      <c r="U44" s="2">
        <f>2971+23</f>
        <v>2994</v>
      </c>
      <c r="V44" s="36"/>
      <c r="W44" s="161">
        <v>2425</v>
      </c>
      <c r="X44" s="36"/>
      <c r="Y44" s="2">
        <v>1774</v>
      </c>
      <c r="Z44" s="36"/>
      <c r="AA44" s="2">
        <v>2490</v>
      </c>
      <c r="AB44" s="36"/>
      <c r="AC44" s="66"/>
      <c r="AD44" s="130" t="str">
        <f t="shared" si="6"/>
        <v>310X</v>
      </c>
      <c r="AE44" s="2" t="str">
        <f t="shared" ref="AE44:AE50" si="7">B44</f>
        <v>STRS</v>
      </c>
      <c r="AF44" s="2">
        <f>SUM(C44,E44,G44,I44,K44,M44,O44,Q44,S44,U44,W44,Y44,AA44)</f>
        <v>135483</v>
      </c>
    </row>
    <row r="45" spans="1:32" x14ac:dyDescent="0.25">
      <c r="A45" s="130" t="s">
        <v>84</v>
      </c>
      <c r="B45" s="2" t="s">
        <v>77</v>
      </c>
      <c r="C45" s="3">
        <v>2702</v>
      </c>
      <c r="E45" s="2">
        <v>56</v>
      </c>
      <c r="F45" s="36"/>
      <c r="G45" s="2">
        <f>2303+G145</f>
        <v>2581</v>
      </c>
      <c r="H45" s="36"/>
      <c r="I45" s="161">
        <v>3973</v>
      </c>
      <c r="J45" s="36"/>
      <c r="K45" s="2">
        <v>64</v>
      </c>
      <c r="L45" s="36"/>
      <c r="M45" s="2">
        <v>193</v>
      </c>
      <c r="N45" s="36"/>
      <c r="O45" s="2">
        <v>287</v>
      </c>
      <c r="P45" s="36"/>
      <c r="Q45" s="2">
        <v>169</v>
      </c>
      <c r="R45" s="36"/>
      <c r="S45" s="161">
        <v>3530</v>
      </c>
      <c r="T45" s="36"/>
      <c r="U45" s="2">
        <f>47</f>
        <v>47</v>
      </c>
      <c r="V45" s="36"/>
      <c r="W45" s="161">
        <v>3886</v>
      </c>
      <c r="X45" s="36"/>
      <c r="Y45" s="2">
        <v>33</v>
      </c>
      <c r="Z45" s="36"/>
      <c r="AA45" s="2">
        <v>726</v>
      </c>
      <c r="AB45" s="36"/>
      <c r="AC45" s="66"/>
      <c r="AD45" s="130" t="str">
        <f t="shared" si="6"/>
        <v>320X</v>
      </c>
      <c r="AE45" s="2" t="str">
        <f t="shared" si="7"/>
        <v>PERS</v>
      </c>
      <c r="AF45" s="2">
        <f t="shared" ref="AF45:AF50" si="8">SUM(C45,E45,G45,I45,K45,M45,O45,Q45,S45,U45,W45,Y45,AA45)</f>
        <v>18247</v>
      </c>
    </row>
    <row r="46" spans="1:32" x14ac:dyDescent="0.25">
      <c r="A46" s="130" t="s">
        <v>85</v>
      </c>
      <c r="B46" s="2" t="s">
        <v>78</v>
      </c>
      <c r="C46" s="3">
        <f>223+1207</f>
        <v>1430</v>
      </c>
      <c r="E46" s="2">
        <f>30+25</f>
        <v>55</v>
      </c>
      <c r="F46" s="36"/>
      <c r="G46" s="2">
        <f>960+G146</f>
        <v>1084</v>
      </c>
      <c r="H46" s="36"/>
      <c r="I46" s="161">
        <v>1688</v>
      </c>
      <c r="J46" s="36"/>
      <c r="K46" s="2">
        <f>17+38</f>
        <v>55</v>
      </c>
      <c r="L46" s="36"/>
      <c r="M46" s="2">
        <v>86</v>
      </c>
      <c r="N46" s="36"/>
      <c r="O46" s="2">
        <f>9+128</f>
        <v>137</v>
      </c>
      <c r="P46" s="36"/>
      <c r="Q46" s="2">
        <f>17+77</f>
        <v>94</v>
      </c>
      <c r="R46" s="36"/>
      <c r="S46" s="161">
        <f>5+1568</f>
        <v>1573</v>
      </c>
      <c r="T46" s="36"/>
      <c r="U46" s="2">
        <f>4+30</f>
        <v>34</v>
      </c>
      <c r="V46" s="36"/>
      <c r="W46" s="161">
        <f>9+1735</f>
        <v>1744</v>
      </c>
      <c r="X46" s="36"/>
      <c r="Y46" s="2">
        <f>18+14</f>
        <v>32</v>
      </c>
      <c r="Z46" s="36"/>
      <c r="AA46" s="2">
        <f>9+323</f>
        <v>332</v>
      </c>
      <c r="AB46" s="36"/>
      <c r="AC46" s="66"/>
      <c r="AD46" s="130" t="str">
        <f t="shared" si="6"/>
        <v>330X</v>
      </c>
      <c r="AE46" s="2" t="str">
        <f t="shared" si="7"/>
        <v>SS</v>
      </c>
      <c r="AF46" s="2">
        <f t="shared" si="8"/>
        <v>8344</v>
      </c>
    </row>
    <row r="47" spans="1:32" x14ac:dyDescent="0.25">
      <c r="A47" s="130" t="s">
        <v>86</v>
      </c>
      <c r="B47" s="2" t="s">
        <v>79</v>
      </c>
      <c r="C47" s="3">
        <f>12793+282</f>
        <v>13075</v>
      </c>
      <c r="E47" s="2">
        <f>251+6</f>
        <v>257</v>
      </c>
      <c r="F47" s="36"/>
      <c r="G47" s="2">
        <f>263+270</f>
        <v>533</v>
      </c>
      <c r="H47" s="36"/>
      <c r="I47" s="161">
        <f>296+415</f>
        <v>711</v>
      </c>
      <c r="J47" s="36"/>
      <c r="K47" s="2">
        <f>194+8+K140</f>
        <v>318</v>
      </c>
      <c r="L47" s="36"/>
      <c r="M47" s="2">
        <f>188+20</f>
        <v>208</v>
      </c>
      <c r="N47" s="36"/>
      <c r="O47" s="2">
        <f>136+29</f>
        <v>165</v>
      </c>
      <c r="P47" s="36"/>
      <c r="Q47" s="2">
        <f>182+18</f>
        <v>200</v>
      </c>
      <c r="R47" s="36"/>
      <c r="S47" s="161">
        <f>219+363</f>
        <v>582</v>
      </c>
      <c r="T47" s="36"/>
      <c r="U47" s="2">
        <f>342+7</f>
        <v>349</v>
      </c>
      <c r="V47" s="36"/>
      <c r="W47" s="161">
        <f>280+405</f>
        <v>685</v>
      </c>
      <c r="X47" s="36"/>
      <c r="Y47" s="2">
        <v>210</v>
      </c>
      <c r="Z47" s="36"/>
      <c r="AA47" s="2">
        <f>287+76</f>
        <v>363</v>
      </c>
      <c r="AB47" s="36"/>
      <c r="AC47" s="66"/>
      <c r="AD47" s="130" t="str">
        <f t="shared" si="6"/>
        <v>331X</v>
      </c>
      <c r="AE47" s="2" t="str">
        <f t="shared" si="7"/>
        <v>Medicare</v>
      </c>
      <c r="AF47" s="2">
        <f t="shared" si="8"/>
        <v>17656</v>
      </c>
    </row>
    <row r="48" spans="1:32" x14ac:dyDescent="0.25">
      <c r="A48" s="130" t="s">
        <v>87</v>
      </c>
      <c r="B48" s="2" t="s">
        <v>80</v>
      </c>
      <c r="C48" s="3">
        <f>90288+6504</f>
        <v>96792</v>
      </c>
      <c r="E48" s="2">
        <v>0</v>
      </c>
      <c r="F48" s="36"/>
      <c r="G48" s="2">
        <v>593</v>
      </c>
      <c r="H48" s="36"/>
      <c r="I48" s="161">
        <v>310</v>
      </c>
      <c r="J48" s="36"/>
      <c r="K48" s="2">
        <v>0</v>
      </c>
      <c r="L48" s="36"/>
      <c r="M48" s="2">
        <v>0</v>
      </c>
      <c r="N48" s="36"/>
      <c r="O48" s="2">
        <v>0</v>
      </c>
      <c r="P48" s="36"/>
      <c r="Q48" s="2">
        <v>0</v>
      </c>
      <c r="R48" s="36"/>
      <c r="S48" s="161">
        <v>395</v>
      </c>
      <c r="T48" s="36"/>
      <c r="U48" s="2">
        <v>0</v>
      </c>
      <c r="V48" s="36"/>
      <c r="W48" s="161">
        <v>4848</v>
      </c>
      <c r="X48" s="36"/>
      <c r="Y48" s="2">
        <v>0</v>
      </c>
      <c r="Z48" s="36"/>
      <c r="AA48" s="2">
        <v>0</v>
      </c>
      <c r="AB48" s="36"/>
      <c r="AC48" s="66"/>
      <c r="AD48" s="130" t="str">
        <f t="shared" si="6"/>
        <v>340X</v>
      </c>
      <c r="AE48" s="2" t="str">
        <f t="shared" si="7"/>
        <v>H&amp;W</v>
      </c>
      <c r="AF48" s="2">
        <f t="shared" si="8"/>
        <v>102938</v>
      </c>
    </row>
    <row r="49" spans="1:32" x14ac:dyDescent="0.25">
      <c r="A49" s="130" t="s">
        <v>88</v>
      </c>
      <c r="B49" s="2" t="s">
        <v>81</v>
      </c>
      <c r="C49" s="3">
        <f>456+10</f>
        <v>466</v>
      </c>
      <c r="E49" s="2">
        <f>11+1</f>
        <v>12</v>
      </c>
      <c r="F49" s="36"/>
      <c r="G49" s="2">
        <f>4+8+G141+G148</f>
        <v>18</v>
      </c>
      <c r="H49" s="36"/>
      <c r="I49" s="161">
        <f>10+14</f>
        <v>24</v>
      </c>
      <c r="J49" s="36"/>
      <c r="K49" s="2">
        <f>7+1+K141</f>
        <v>12</v>
      </c>
      <c r="L49" s="36"/>
      <c r="M49" s="2">
        <f>8+1</f>
        <v>9</v>
      </c>
      <c r="N49" s="36"/>
      <c r="O49" s="2">
        <f>2+O141</f>
        <v>4</v>
      </c>
      <c r="P49" s="36"/>
      <c r="Q49" s="2">
        <f>4+Q141</f>
        <v>6</v>
      </c>
      <c r="R49" s="36"/>
      <c r="S49" s="161">
        <f>7+13</f>
        <v>20</v>
      </c>
      <c r="T49" s="36"/>
      <c r="U49" s="2">
        <v>13</v>
      </c>
      <c r="V49" s="36"/>
      <c r="W49" s="161">
        <v>24</v>
      </c>
      <c r="X49" s="36"/>
      <c r="Y49" s="2">
        <v>7</v>
      </c>
      <c r="Z49" s="36"/>
      <c r="AA49" s="2">
        <f>10+2</f>
        <v>12</v>
      </c>
      <c r="AB49" s="36"/>
      <c r="AC49" s="66"/>
      <c r="AD49" s="130" t="str">
        <f t="shared" si="6"/>
        <v>350X</v>
      </c>
      <c r="AE49" s="2" t="str">
        <f t="shared" si="7"/>
        <v>SUI</v>
      </c>
      <c r="AF49" s="2">
        <f t="shared" si="8"/>
        <v>627</v>
      </c>
    </row>
    <row r="50" spans="1:32" x14ac:dyDescent="0.25">
      <c r="A50" s="130" t="s">
        <v>89</v>
      </c>
      <c r="B50" s="2" t="s">
        <v>82</v>
      </c>
      <c r="C50" s="3">
        <f>9157+215</f>
        <v>9372</v>
      </c>
      <c r="E50" s="2">
        <f>212+5</f>
        <v>217</v>
      </c>
      <c r="F50" s="36"/>
      <c r="G50" s="2">
        <f>190+203</f>
        <v>393</v>
      </c>
      <c r="H50" s="36"/>
      <c r="I50" s="161">
        <f>224+314</f>
        <v>538</v>
      </c>
      <c r="J50" s="36"/>
      <c r="K50" s="2">
        <f>149+7+K142</f>
        <v>244</v>
      </c>
      <c r="L50" s="36"/>
      <c r="M50" s="2">
        <f>143+15</f>
        <v>158</v>
      </c>
      <c r="N50" s="36"/>
      <c r="O50" s="2">
        <f>60+22+O142</f>
        <v>126</v>
      </c>
      <c r="P50" s="36"/>
      <c r="Q50" s="2">
        <f>135+14</f>
        <v>149</v>
      </c>
      <c r="R50" s="36"/>
      <c r="S50" s="161">
        <f>166+277</f>
        <v>443</v>
      </c>
      <c r="T50" s="36"/>
      <c r="U50" s="2">
        <f>260+5</f>
        <v>265</v>
      </c>
      <c r="V50" s="36"/>
      <c r="W50" s="161">
        <f>223+308</f>
        <v>531</v>
      </c>
      <c r="X50" s="36"/>
      <c r="Y50" s="2">
        <f>158+3</f>
        <v>161</v>
      </c>
      <c r="Z50" s="36"/>
      <c r="AA50" s="2">
        <f>218+58</f>
        <v>276</v>
      </c>
      <c r="AB50" s="36"/>
      <c r="AC50" s="66"/>
      <c r="AD50" s="130" t="str">
        <f t="shared" si="6"/>
        <v>360X</v>
      </c>
      <c r="AE50" s="2" t="str">
        <f t="shared" si="7"/>
        <v>W/C</v>
      </c>
      <c r="AF50" s="2">
        <f t="shared" si="8"/>
        <v>12873</v>
      </c>
    </row>
    <row r="51" spans="1:32" x14ac:dyDescent="0.25">
      <c r="A51" s="130" t="s">
        <v>91</v>
      </c>
      <c r="B51" s="2" t="s">
        <v>93</v>
      </c>
      <c r="C51" s="3">
        <v>5685</v>
      </c>
      <c r="E51" s="2">
        <v>0</v>
      </c>
      <c r="F51" s="36"/>
      <c r="G51" s="2">
        <v>0</v>
      </c>
      <c r="H51" s="36"/>
      <c r="I51" s="161">
        <v>0</v>
      </c>
      <c r="J51" s="36"/>
      <c r="K51" s="2">
        <v>0</v>
      </c>
      <c r="L51" s="36"/>
      <c r="M51" s="2">
        <v>0</v>
      </c>
      <c r="N51" s="36"/>
      <c r="O51" s="2">
        <v>0</v>
      </c>
      <c r="P51" s="36"/>
      <c r="Q51" s="2">
        <v>0</v>
      </c>
      <c r="R51" s="36"/>
      <c r="S51" s="161">
        <v>0</v>
      </c>
      <c r="T51" s="36"/>
      <c r="U51" s="2">
        <v>0</v>
      </c>
      <c r="V51" s="36"/>
      <c r="W51" s="161">
        <v>0</v>
      </c>
      <c r="X51" s="36"/>
      <c r="Y51" s="2">
        <v>0</v>
      </c>
      <c r="Z51" s="36"/>
      <c r="AA51" s="2">
        <v>0</v>
      </c>
      <c r="AB51" s="36"/>
      <c r="AC51" s="66"/>
      <c r="AD51" s="130" t="str">
        <f t="shared" ref="AD51" si="9">A51</f>
        <v>390X</v>
      </c>
      <c r="AE51" s="2" t="str">
        <f t="shared" ref="AE51" si="10">B51</f>
        <v>Other Benefits</v>
      </c>
      <c r="AF51" s="2">
        <f>SUM(C51,E51,G51,I51,K51,M51,O51,Q51,S51,U51,W51,Y51,AA51)</f>
        <v>5685</v>
      </c>
    </row>
    <row r="52" spans="1:32" x14ac:dyDescent="0.25">
      <c r="A52" s="130"/>
      <c r="F52" s="36"/>
      <c r="H52" s="36"/>
      <c r="J52" s="36"/>
      <c r="L52" s="36"/>
      <c r="N52" s="36"/>
      <c r="P52" s="36"/>
      <c r="R52" s="36"/>
      <c r="T52" s="36"/>
      <c r="V52" s="36"/>
      <c r="X52" s="36"/>
      <c r="Z52" s="36"/>
      <c r="AB52" s="36"/>
      <c r="AC52" s="66"/>
      <c r="AD52" s="130"/>
    </row>
    <row r="53" spans="1:32" x14ac:dyDescent="0.25">
      <c r="A53" s="130"/>
      <c r="C53" s="8">
        <f>SUM(C44:C52)</f>
        <v>240735</v>
      </c>
      <c r="D53" s="33"/>
      <c r="E53" s="8">
        <f>SUM(E44:E52)</f>
        <v>3034</v>
      </c>
      <c r="F53" s="5"/>
      <c r="G53" s="8">
        <f>SUM(G44:G52)</f>
        <v>7492</v>
      </c>
      <c r="H53" s="5"/>
      <c r="I53" s="815">
        <f>SUM(I44:I52)</f>
        <v>8526</v>
      </c>
      <c r="J53" s="5"/>
      <c r="K53" s="8">
        <f>SUM(K44:K52)</f>
        <v>3393</v>
      </c>
      <c r="L53" s="5"/>
      <c r="M53" s="8">
        <f>SUM(M44:M52)</f>
        <v>2284</v>
      </c>
      <c r="N53" s="5"/>
      <c r="O53" s="8">
        <f>SUM(O44:O52)</f>
        <v>1909</v>
      </c>
      <c r="P53" s="5"/>
      <c r="Q53" s="8">
        <f>SUM(Q44:Q52)</f>
        <v>2191</v>
      </c>
      <c r="R53" s="5"/>
      <c r="S53" s="815">
        <f>SUM(S44:S52)</f>
        <v>8028</v>
      </c>
      <c r="T53" s="5"/>
      <c r="U53" s="8">
        <f>SUM(U44:U52)</f>
        <v>3702</v>
      </c>
      <c r="V53" s="5"/>
      <c r="W53" s="815">
        <f>SUM(W44:W52)</f>
        <v>14143</v>
      </c>
      <c r="X53" s="5"/>
      <c r="Y53" s="8">
        <f>SUM(Y44:Y52)</f>
        <v>2217</v>
      </c>
      <c r="Z53" s="5"/>
      <c r="AA53" s="8">
        <f>SUM(AA44:AA52)</f>
        <v>4199</v>
      </c>
      <c r="AB53" s="5"/>
      <c r="AC53" s="29"/>
      <c r="AD53" s="130"/>
      <c r="AF53" s="8">
        <f>SUM(AF44:AF52)</f>
        <v>301853</v>
      </c>
    </row>
    <row r="54" spans="1:32" x14ac:dyDescent="0.25">
      <c r="A54" s="130"/>
      <c r="C54" s="9"/>
      <c r="D54" s="33"/>
      <c r="E54" s="10"/>
      <c r="F54" s="6"/>
      <c r="G54" s="10"/>
      <c r="H54" s="6"/>
      <c r="I54" s="616"/>
      <c r="J54" s="6"/>
      <c r="K54" s="10"/>
      <c r="L54" s="6"/>
      <c r="M54" s="10"/>
      <c r="N54" s="6"/>
      <c r="O54" s="10"/>
      <c r="P54" s="6"/>
      <c r="Q54" s="10"/>
      <c r="R54" s="6"/>
      <c r="S54" s="616"/>
      <c r="T54" s="6"/>
      <c r="U54" s="10"/>
      <c r="V54" s="6"/>
      <c r="W54" s="616"/>
      <c r="X54" s="6"/>
      <c r="Y54" s="10"/>
      <c r="Z54" s="6"/>
      <c r="AA54" s="10"/>
      <c r="AB54" s="6"/>
      <c r="AC54" s="57"/>
      <c r="AD54" s="130"/>
    </row>
    <row r="55" spans="1:32" x14ac:dyDescent="0.25">
      <c r="A55" s="126" t="s">
        <v>26</v>
      </c>
      <c r="C55" s="8">
        <f>SUM(C53,C41,C30)</f>
        <v>1158951</v>
      </c>
      <c r="D55" s="33"/>
      <c r="E55" s="8">
        <f>SUM(E53,E41,E30)</f>
        <v>8244</v>
      </c>
      <c r="F55" s="5"/>
      <c r="G55" s="8">
        <f>SUM(G53,G41,G30)</f>
        <v>31214</v>
      </c>
      <c r="H55" s="5"/>
      <c r="I55" s="815">
        <f>SUM(I53,I41,I30)</f>
        <v>57467</v>
      </c>
      <c r="J55" s="5"/>
      <c r="K55" s="8">
        <f>SUM(K53,K41,K30)</f>
        <v>25230</v>
      </c>
      <c r="L55" s="5"/>
      <c r="M55" s="8">
        <f>SUM(M53,M41,M30)</f>
        <v>16632</v>
      </c>
      <c r="N55" s="5"/>
      <c r="O55" s="8">
        <f>SUM(O53,O41,O30)</f>
        <v>13409</v>
      </c>
      <c r="P55" s="5"/>
      <c r="Q55" s="8">
        <f>SUM(Q53,Q41,Q30)</f>
        <v>15922</v>
      </c>
      <c r="R55" s="5"/>
      <c r="S55" s="815">
        <f>SUM(S53,S41,S30)</f>
        <v>48349</v>
      </c>
      <c r="T55" s="5"/>
      <c r="U55" s="8">
        <f>SUM(U53,U41,U30)</f>
        <v>15093</v>
      </c>
      <c r="V55" s="5"/>
      <c r="W55" s="815">
        <f>SUM(W53,W41,W30)</f>
        <v>50701</v>
      </c>
      <c r="X55" s="5"/>
      <c r="Y55" s="8">
        <f>SUM(Y53,Y41,Y30)</f>
        <v>16554</v>
      </c>
      <c r="Z55" s="5"/>
      <c r="AA55" s="8">
        <f>SUM(AA53,AA41,AA30)</f>
        <v>29222</v>
      </c>
      <c r="AB55" s="5"/>
      <c r="AC55" s="29"/>
      <c r="AD55" s="126" t="str">
        <f>A55</f>
        <v>Total Salaries and Benefits</v>
      </c>
      <c r="AF55" s="8">
        <f>SUM(AF53,AF41,AF30)</f>
        <v>1486988</v>
      </c>
    </row>
    <row r="56" spans="1:32" x14ac:dyDescent="0.25">
      <c r="F56" s="36"/>
      <c r="H56" s="36"/>
      <c r="J56" s="36"/>
      <c r="L56" s="36"/>
      <c r="N56" s="36"/>
      <c r="P56" s="36"/>
      <c r="R56" s="36"/>
      <c r="T56" s="36"/>
      <c r="V56" s="36"/>
      <c r="X56" s="36"/>
      <c r="Z56" s="36"/>
      <c r="AB56" s="36"/>
      <c r="AC56" s="66"/>
    </row>
    <row r="57" spans="1:32" x14ac:dyDescent="0.25">
      <c r="F57" s="36"/>
      <c r="H57" s="36"/>
      <c r="J57" s="36"/>
      <c r="L57" s="36"/>
      <c r="N57" s="36"/>
      <c r="P57" s="36"/>
      <c r="R57" s="36"/>
      <c r="T57" s="36"/>
      <c r="V57" s="36"/>
      <c r="X57" s="36"/>
      <c r="Z57" s="36"/>
      <c r="AB57" s="36"/>
      <c r="AC57" s="66"/>
    </row>
    <row r="58" spans="1:32" x14ac:dyDescent="0.25">
      <c r="A58" s="33" t="s">
        <v>25</v>
      </c>
      <c r="B58" s="6"/>
      <c r="F58" s="36"/>
      <c r="H58" s="36"/>
      <c r="J58" s="36"/>
      <c r="L58" s="36"/>
      <c r="N58" s="36"/>
      <c r="P58" s="36"/>
      <c r="R58" s="36"/>
      <c r="T58" s="36"/>
      <c r="V58" s="36"/>
      <c r="X58" s="36"/>
      <c r="Z58" s="36"/>
      <c r="AB58" s="36"/>
      <c r="AC58" s="66"/>
      <c r="AD58" s="33" t="str">
        <f t="shared" ref="AD58:AD65" si="11">A58</f>
        <v>Supplies</v>
      </c>
      <c r="AE58" s="6"/>
    </row>
    <row r="59" spans="1:32" x14ac:dyDescent="0.25">
      <c r="A59" s="130" t="s">
        <v>24</v>
      </c>
      <c r="B59" s="2" t="s">
        <v>23</v>
      </c>
      <c r="C59" s="3">
        <v>4700</v>
      </c>
      <c r="E59" s="2">
        <v>0</v>
      </c>
      <c r="F59" s="36"/>
      <c r="G59" s="2">
        <v>0</v>
      </c>
      <c r="H59" s="36"/>
      <c r="I59" s="161">
        <v>750</v>
      </c>
      <c r="J59" s="36"/>
      <c r="K59" s="2">
        <v>75</v>
      </c>
      <c r="L59" s="36"/>
      <c r="M59" s="2">
        <v>563</v>
      </c>
      <c r="N59" s="36"/>
      <c r="O59" s="2">
        <v>0</v>
      </c>
      <c r="P59" s="36"/>
      <c r="Q59" s="2">
        <v>999</v>
      </c>
      <c r="R59" s="36"/>
      <c r="S59" s="161">
        <v>0</v>
      </c>
      <c r="T59" s="36"/>
      <c r="U59" s="2">
        <v>691</v>
      </c>
      <c r="V59" s="36"/>
      <c r="W59" s="161">
        <v>335</v>
      </c>
      <c r="X59" s="36"/>
      <c r="Y59" s="2">
        <v>0</v>
      </c>
      <c r="Z59" s="36"/>
      <c r="AA59" s="2">
        <v>800</v>
      </c>
      <c r="AB59" s="36"/>
      <c r="AC59" s="66"/>
      <c r="AD59" s="130" t="str">
        <f t="shared" si="11"/>
        <v>4210</v>
      </c>
      <c r="AE59" s="2" t="str">
        <f t="shared" ref="AE59:AE65" si="12">B59</f>
        <v>Other Books</v>
      </c>
      <c r="AF59" s="2">
        <f>SUM(C59,E59,G59,I59,K59,M59,O59,Q59,S59,U59,W59,Y59,AA59)</f>
        <v>8913</v>
      </c>
    </row>
    <row r="60" spans="1:32" x14ac:dyDescent="0.25">
      <c r="A60" s="130" t="s">
        <v>94</v>
      </c>
      <c r="B60" s="2" t="s">
        <v>96</v>
      </c>
      <c r="C60" s="3">
        <v>0</v>
      </c>
      <c r="E60" s="2">
        <v>0</v>
      </c>
      <c r="F60" s="36"/>
      <c r="G60" s="2">
        <v>160</v>
      </c>
      <c r="H60" s="36"/>
      <c r="I60" s="161">
        <v>0</v>
      </c>
      <c r="J60" s="36"/>
      <c r="K60" s="2">
        <v>0</v>
      </c>
      <c r="L60" s="36"/>
      <c r="M60" s="2">
        <v>31580</v>
      </c>
      <c r="N60" s="36"/>
      <c r="O60" s="2">
        <v>0</v>
      </c>
      <c r="P60" s="36"/>
      <c r="Q60" s="2">
        <v>0</v>
      </c>
      <c r="R60" s="36"/>
      <c r="S60" s="161">
        <v>0</v>
      </c>
      <c r="T60" s="36"/>
      <c r="U60" s="2">
        <v>0</v>
      </c>
      <c r="V60" s="36"/>
      <c r="W60" s="161">
        <v>0</v>
      </c>
      <c r="X60" s="36"/>
      <c r="Y60" s="2">
        <v>0</v>
      </c>
      <c r="Z60" s="36"/>
      <c r="AA60" s="2">
        <v>0</v>
      </c>
      <c r="AB60" s="36"/>
      <c r="AC60" s="66"/>
      <c r="AD60" s="130" t="str">
        <f t="shared" si="11"/>
        <v>4211</v>
      </c>
      <c r="AE60" s="2" t="str">
        <f t="shared" si="12"/>
        <v>Reference Books</v>
      </c>
      <c r="AF60" s="2">
        <f t="shared" ref="AF60:AF65" si="13">SUM(C60,E60,G60,I60,K60,M60,O60,Q60,S60,U60,W60,Y60,AA60)</f>
        <v>31740</v>
      </c>
    </row>
    <row r="61" spans="1:32" x14ac:dyDescent="0.25">
      <c r="A61" s="130" t="s">
        <v>95</v>
      </c>
      <c r="B61" s="2" t="s">
        <v>97</v>
      </c>
      <c r="C61" s="3">
        <v>0</v>
      </c>
      <c r="E61" s="2">
        <v>0</v>
      </c>
      <c r="F61" s="36"/>
      <c r="G61" s="2">
        <v>0</v>
      </c>
      <c r="H61" s="36"/>
      <c r="I61" s="161">
        <v>0</v>
      </c>
      <c r="J61" s="36"/>
      <c r="K61" s="2">
        <v>2747</v>
      </c>
      <c r="L61" s="36"/>
      <c r="M61" s="2">
        <v>0</v>
      </c>
      <c r="N61" s="36"/>
      <c r="O61" s="2">
        <v>0</v>
      </c>
      <c r="P61" s="36"/>
      <c r="Q61" s="2">
        <v>0</v>
      </c>
      <c r="R61" s="36"/>
      <c r="S61" s="161">
        <v>0</v>
      </c>
      <c r="T61" s="36"/>
      <c r="U61" s="2">
        <v>0</v>
      </c>
      <c r="V61" s="36"/>
      <c r="W61" s="161">
        <v>0</v>
      </c>
      <c r="X61" s="36"/>
      <c r="Y61" s="2">
        <v>0</v>
      </c>
      <c r="Z61" s="36"/>
      <c r="AA61" s="2">
        <v>0</v>
      </c>
      <c r="AB61" s="36"/>
      <c r="AC61" s="66"/>
      <c r="AD61" s="130" t="str">
        <f t="shared" si="11"/>
        <v>4212</v>
      </c>
      <c r="AE61" s="2" t="str">
        <f t="shared" si="12"/>
        <v>Library Books</v>
      </c>
      <c r="AF61" s="2">
        <f t="shared" si="13"/>
        <v>2747</v>
      </c>
    </row>
    <row r="62" spans="1:32" x14ac:dyDescent="0.25">
      <c r="A62" s="130" t="s">
        <v>22</v>
      </c>
      <c r="B62" s="2" t="s">
        <v>21</v>
      </c>
      <c r="C62" s="3">
        <v>10944</v>
      </c>
      <c r="E62" s="2">
        <v>27172.23</v>
      </c>
      <c r="F62" s="36"/>
      <c r="G62" s="2">
        <f>28979+G135+G151</f>
        <v>50019</v>
      </c>
      <c r="H62" s="36"/>
      <c r="I62" s="161">
        <v>51238</v>
      </c>
      <c r="J62" s="36"/>
      <c r="K62" s="2">
        <f>23641+K135</f>
        <v>48641</v>
      </c>
      <c r="L62" s="36"/>
      <c r="M62" s="2">
        <v>0</v>
      </c>
      <c r="N62" s="36"/>
      <c r="O62" s="2">
        <v>94881</v>
      </c>
      <c r="P62" s="36"/>
      <c r="Q62" s="2">
        <f>34526+Q135+Q138+Q151</f>
        <v>66426</v>
      </c>
      <c r="R62" s="36"/>
      <c r="S62" s="161">
        <v>32648</v>
      </c>
      <c r="T62" s="36"/>
      <c r="U62" s="2">
        <v>38127</v>
      </c>
      <c r="V62" s="36"/>
      <c r="W62" s="161">
        <v>31924</v>
      </c>
      <c r="X62" s="36"/>
      <c r="Y62" s="2">
        <v>25349</v>
      </c>
      <c r="Z62" s="36"/>
      <c r="AA62" s="2">
        <v>22677</v>
      </c>
      <c r="AB62" s="36"/>
      <c r="AC62" s="66"/>
      <c r="AD62" s="130" t="str">
        <f t="shared" si="11"/>
        <v>4310</v>
      </c>
      <c r="AE62" s="2" t="str">
        <f t="shared" si="12"/>
        <v>Inst. Materials</v>
      </c>
      <c r="AF62" s="2">
        <f t="shared" si="13"/>
        <v>500046.23</v>
      </c>
    </row>
    <row r="63" spans="1:32" x14ac:dyDescent="0.25">
      <c r="A63" s="130" t="s">
        <v>20</v>
      </c>
      <c r="B63" s="2" t="s">
        <v>19</v>
      </c>
      <c r="C63" s="3">
        <v>9400</v>
      </c>
      <c r="E63" s="2">
        <v>0</v>
      </c>
      <c r="F63" s="36"/>
      <c r="G63" s="2">
        <v>255</v>
      </c>
      <c r="H63" s="36"/>
      <c r="I63" s="161">
        <v>653</v>
      </c>
      <c r="J63" s="36"/>
      <c r="K63" s="2">
        <v>0</v>
      </c>
      <c r="L63" s="36"/>
      <c r="M63" s="2">
        <v>100</v>
      </c>
      <c r="N63" s="36"/>
      <c r="O63" s="2">
        <v>0</v>
      </c>
      <c r="P63" s="36"/>
      <c r="Q63" s="2">
        <v>1250</v>
      </c>
      <c r="R63" s="36"/>
      <c r="S63" s="161">
        <v>7996</v>
      </c>
      <c r="T63" s="36"/>
      <c r="U63" s="2">
        <v>245</v>
      </c>
      <c r="V63" s="36"/>
      <c r="W63" s="161">
        <v>2000</v>
      </c>
      <c r="X63" s="36"/>
      <c r="Y63" s="2">
        <v>3642</v>
      </c>
      <c r="Z63" s="36"/>
      <c r="AA63" s="2">
        <v>350</v>
      </c>
      <c r="AB63" s="36"/>
      <c r="AC63" s="66"/>
      <c r="AD63" s="130" t="str">
        <f t="shared" si="11"/>
        <v xml:space="preserve">4353 </v>
      </c>
      <c r="AE63" s="2" t="str">
        <f t="shared" si="12"/>
        <v>Non-Inst. Materials</v>
      </c>
      <c r="AF63" s="2">
        <f t="shared" si="13"/>
        <v>25891</v>
      </c>
    </row>
    <row r="64" spans="1:32" x14ac:dyDescent="0.25">
      <c r="A64" s="130" t="s">
        <v>18</v>
      </c>
      <c r="B64" s="2" t="s">
        <v>17</v>
      </c>
      <c r="C64" s="3">
        <v>785</v>
      </c>
      <c r="E64" s="2">
        <v>4707.72</v>
      </c>
      <c r="F64" s="36"/>
      <c r="G64" s="2">
        <f>7216+G136</f>
        <v>10716</v>
      </c>
      <c r="H64" s="36"/>
      <c r="I64" s="161">
        <v>14879</v>
      </c>
      <c r="J64" s="36"/>
      <c r="K64" s="2">
        <f>+K136</f>
        <v>4794</v>
      </c>
      <c r="L64" s="36"/>
      <c r="M64" s="2">
        <v>6198</v>
      </c>
      <c r="N64" s="36"/>
      <c r="O64" s="2">
        <f>+O136</f>
        <v>4397</v>
      </c>
      <c r="P64" s="36"/>
      <c r="Q64" s="2">
        <f>1573+Q136</f>
        <v>4720</v>
      </c>
      <c r="R64" s="36"/>
      <c r="S64" s="161">
        <v>2737</v>
      </c>
      <c r="T64" s="36"/>
      <c r="U64" s="2">
        <v>4989</v>
      </c>
      <c r="V64" s="36"/>
      <c r="W64" s="161">
        <v>3000</v>
      </c>
      <c r="X64" s="36"/>
      <c r="Y64" s="2">
        <v>0</v>
      </c>
      <c r="Z64" s="36"/>
      <c r="AA64" s="2">
        <v>0</v>
      </c>
      <c r="AB64" s="36"/>
      <c r="AC64" s="66"/>
      <c r="AD64" s="130" t="str">
        <f t="shared" si="11"/>
        <v>4400</v>
      </c>
      <c r="AE64" s="2" t="str">
        <f t="shared" si="12"/>
        <v>Non-cap. Equipment</v>
      </c>
      <c r="AF64" s="2">
        <f t="shared" si="13"/>
        <v>61922.720000000001</v>
      </c>
    </row>
    <row r="65" spans="1:32" x14ac:dyDescent="0.25">
      <c r="A65" s="130"/>
      <c r="B65" s="125"/>
      <c r="C65" s="3">
        <v>0</v>
      </c>
      <c r="E65" s="2">
        <v>0</v>
      </c>
      <c r="F65" s="36"/>
      <c r="G65" s="2">
        <v>0</v>
      </c>
      <c r="H65" s="36"/>
      <c r="I65" s="161">
        <v>0</v>
      </c>
      <c r="J65" s="36"/>
      <c r="K65" s="2">
        <v>0</v>
      </c>
      <c r="L65" s="36"/>
      <c r="M65" s="2">
        <v>0</v>
      </c>
      <c r="N65" s="36"/>
      <c r="O65" s="2">
        <v>0</v>
      </c>
      <c r="P65" s="36"/>
      <c r="Q65" s="2">
        <v>0</v>
      </c>
      <c r="R65" s="36"/>
      <c r="S65" s="161">
        <v>0</v>
      </c>
      <c r="T65" s="36"/>
      <c r="U65" s="2">
        <v>0</v>
      </c>
      <c r="V65" s="36"/>
      <c r="W65" s="161">
        <v>0</v>
      </c>
      <c r="X65" s="36"/>
      <c r="Y65" s="2">
        <v>0</v>
      </c>
      <c r="Z65" s="36"/>
      <c r="AA65" s="2">
        <v>0</v>
      </c>
      <c r="AB65" s="36"/>
      <c r="AC65" s="66"/>
      <c r="AD65" s="130">
        <f t="shared" si="11"/>
        <v>0</v>
      </c>
      <c r="AE65" s="125">
        <f t="shared" si="12"/>
        <v>0</v>
      </c>
      <c r="AF65" s="2">
        <f t="shared" si="13"/>
        <v>0</v>
      </c>
    </row>
    <row r="66" spans="1:32" x14ac:dyDescent="0.25">
      <c r="A66" s="2"/>
      <c r="C66" s="8">
        <f>SUM(C59:C65)</f>
        <v>25829</v>
      </c>
      <c r="D66" s="33"/>
      <c r="E66" s="8">
        <f>SUM(E59:E65)</f>
        <v>31879.95</v>
      </c>
      <c r="F66" s="5"/>
      <c r="G66" s="8">
        <f>SUM(G59:G65)</f>
        <v>61150</v>
      </c>
      <c r="H66" s="5"/>
      <c r="I66" s="815">
        <f>SUM(I59:I65)</f>
        <v>67520</v>
      </c>
      <c r="J66" s="5"/>
      <c r="K66" s="8">
        <f>SUM(K59:K65)</f>
        <v>56257</v>
      </c>
      <c r="L66" s="5"/>
      <c r="M66" s="8">
        <f>SUM(M59:M65)</f>
        <v>38441</v>
      </c>
      <c r="N66" s="5"/>
      <c r="O66" s="8">
        <f>SUM(O59:O65)</f>
        <v>99278</v>
      </c>
      <c r="P66" s="5"/>
      <c r="Q66" s="8">
        <f>SUM(Q59:Q65)</f>
        <v>73395</v>
      </c>
      <c r="R66" s="5"/>
      <c r="S66" s="815">
        <f>SUM(S59:S65)</f>
        <v>43381</v>
      </c>
      <c r="T66" s="5"/>
      <c r="U66" s="8">
        <f>SUM(U59:U65)</f>
        <v>44052</v>
      </c>
      <c r="V66" s="5"/>
      <c r="W66" s="815">
        <f>SUM(W59:W65)</f>
        <v>37259</v>
      </c>
      <c r="X66" s="5"/>
      <c r="Y66" s="8">
        <f>SUM(Y59:Y65)</f>
        <v>28991</v>
      </c>
      <c r="Z66" s="5"/>
      <c r="AA66" s="8">
        <f>SUM(AA59:AA65)</f>
        <v>23827</v>
      </c>
      <c r="AB66" s="5"/>
      <c r="AC66" s="29"/>
      <c r="AD66" s="2"/>
      <c r="AF66" s="8">
        <f>SUM(AF59:AF65)</f>
        <v>631259.94999999995</v>
      </c>
    </row>
    <row r="67" spans="1:32" x14ac:dyDescent="0.25">
      <c r="F67" s="36"/>
      <c r="H67" s="36"/>
      <c r="J67" s="36"/>
      <c r="L67" s="36"/>
      <c r="N67" s="36"/>
      <c r="P67" s="36"/>
      <c r="R67" s="36"/>
      <c r="T67" s="36"/>
      <c r="V67" s="36"/>
      <c r="X67" s="36"/>
      <c r="Z67" s="36"/>
      <c r="AB67" s="36"/>
      <c r="AC67" s="66"/>
    </row>
    <row r="68" spans="1:32" s="6" customFormat="1" x14ac:dyDescent="0.25">
      <c r="A68" s="126" t="s">
        <v>16</v>
      </c>
      <c r="D68" s="33"/>
      <c r="I68" s="816"/>
      <c r="S68" s="816"/>
      <c r="W68" s="816"/>
      <c r="AC68" s="57"/>
      <c r="AD68" s="126" t="str">
        <f t="shared" ref="AD68:AD81" si="14">A68</f>
        <v>Services, Other Oprtng Exp.</v>
      </c>
    </row>
    <row r="69" spans="1:32" x14ac:dyDescent="0.25">
      <c r="A69" s="130" t="s">
        <v>15</v>
      </c>
      <c r="B69" s="2" t="s">
        <v>14</v>
      </c>
      <c r="C69" s="3">
        <v>290288</v>
      </c>
      <c r="E69" s="2">
        <v>775.44</v>
      </c>
      <c r="F69" s="36"/>
      <c r="G69" s="2">
        <v>0</v>
      </c>
      <c r="H69" s="36"/>
      <c r="I69" s="161">
        <v>12000</v>
      </c>
      <c r="J69" s="36"/>
      <c r="K69" s="2">
        <v>9000</v>
      </c>
      <c r="L69" s="36"/>
      <c r="M69" s="2">
        <v>7500</v>
      </c>
      <c r="N69" s="36"/>
      <c r="O69" s="2">
        <v>1971</v>
      </c>
      <c r="P69" s="36"/>
      <c r="Q69" s="2">
        <v>6631</v>
      </c>
      <c r="R69" s="36"/>
      <c r="S69" s="161">
        <v>4000</v>
      </c>
      <c r="T69" s="36"/>
      <c r="U69" s="2">
        <v>3526</v>
      </c>
      <c r="V69" s="36"/>
      <c r="W69" s="161">
        <v>6500</v>
      </c>
      <c r="X69" s="36"/>
      <c r="Y69" s="2">
        <v>800</v>
      </c>
      <c r="Z69" s="36"/>
      <c r="AA69" s="2">
        <v>7000</v>
      </c>
      <c r="AB69" s="36"/>
      <c r="AC69" s="66"/>
      <c r="AD69" s="130" t="str">
        <f t="shared" si="14"/>
        <v>5213</v>
      </c>
      <c r="AE69" s="2" t="str">
        <f t="shared" ref="AE69:AE82" si="15">B69</f>
        <v>Conf. &amp; Travel</v>
      </c>
      <c r="AF69" s="2">
        <f>SUM(C69,E69,G69,I69,K69,M69,O69,Q69,S69,U69,W69,Y69,AA69)</f>
        <v>349991.44</v>
      </c>
    </row>
    <row r="70" spans="1:32" x14ac:dyDescent="0.25">
      <c r="A70" s="130" t="s">
        <v>13</v>
      </c>
      <c r="B70" s="2" t="s">
        <v>12</v>
      </c>
      <c r="C70" s="3">
        <v>800</v>
      </c>
      <c r="E70" s="2">
        <v>0</v>
      </c>
      <c r="F70" s="36"/>
      <c r="G70" s="2">
        <v>0</v>
      </c>
      <c r="H70" s="36"/>
      <c r="I70" s="161">
        <v>0</v>
      </c>
      <c r="J70" s="36"/>
      <c r="K70" s="2">
        <v>0</v>
      </c>
      <c r="L70" s="36"/>
      <c r="M70" s="2">
        <v>0</v>
      </c>
      <c r="N70" s="36"/>
      <c r="O70" s="2">
        <v>0</v>
      </c>
      <c r="P70" s="36"/>
      <c r="Q70" s="2">
        <v>0</v>
      </c>
      <c r="R70" s="36"/>
      <c r="S70" s="161">
        <v>0</v>
      </c>
      <c r="T70" s="36"/>
      <c r="U70" s="2">
        <v>0</v>
      </c>
      <c r="V70" s="36"/>
      <c r="W70" s="161">
        <v>0</v>
      </c>
      <c r="X70" s="36"/>
      <c r="Y70" s="2">
        <v>0</v>
      </c>
      <c r="Z70" s="36"/>
      <c r="AA70" s="2">
        <v>0</v>
      </c>
      <c r="AB70" s="36"/>
      <c r="AC70" s="66"/>
      <c r="AD70" s="130" t="str">
        <f t="shared" si="14"/>
        <v>5310</v>
      </c>
      <c r="AE70" s="2" t="str">
        <f t="shared" si="15"/>
        <v>Membership/Dues</v>
      </c>
      <c r="AF70" s="2">
        <f t="shared" ref="AF70:AF81" si="16">SUM(C70,E70,G70,I70,K70,M70,O70,Q70,S70,U70,W70,Y70,AA70)</f>
        <v>800</v>
      </c>
    </row>
    <row r="71" spans="1:32" x14ac:dyDescent="0.25">
      <c r="A71" s="130" t="s">
        <v>128</v>
      </c>
      <c r="B71" s="2" t="s">
        <v>129</v>
      </c>
      <c r="C71" s="3">
        <v>0</v>
      </c>
      <c r="E71" s="2">
        <v>0</v>
      </c>
      <c r="F71" s="36"/>
      <c r="G71" s="2">
        <v>0</v>
      </c>
      <c r="H71" s="36"/>
      <c r="I71" s="161">
        <v>0</v>
      </c>
      <c r="J71" s="36"/>
      <c r="K71" s="2">
        <v>0</v>
      </c>
      <c r="L71" s="36"/>
      <c r="M71" s="2">
        <v>0</v>
      </c>
      <c r="N71" s="36"/>
      <c r="O71" s="2">
        <v>0</v>
      </c>
      <c r="P71" s="36"/>
      <c r="Q71" s="2">
        <v>0</v>
      </c>
      <c r="R71" s="36"/>
      <c r="S71" s="161">
        <v>0</v>
      </c>
      <c r="T71" s="36"/>
      <c r="U71" s="2">
        <v>0</v>
      </c>
      <c r="V71" s="36"/>
      <c r="W71" s="161">
        <v>1500</v>
      </c>
      <c r="X71" s="36"/>
      <c r="Z71" s="36"/>
      <c r="AB71" s="36"/>
      <c r="AC71" s="66"/>
      <c r="AD71" s="130" t="str">
        <f t="shared" si="14"/>
        <v>5607</v>
      </c>
      <c r="AE71" s="2" t="str">
        <f t="shared" si="15"/>
        <v>Repairs-Other</v>
      </c>
      <c r="AF71" s="2">
        <f t="shared" si="16"/>
        <v>1500</v>
      </c>
    </row>
    <row r="72" spans="1:32" x14ac:dyDescent="0.25">
      <c r="A72" s="130" t="s">
        <v>11</v>
      </c>
      <c r="B72" s="2" t="s">
        <v>10</v>
      </c>
      <c r="C72" s="3">
        <v>3199</v>
      </c>
      <c r="E72" s="2">
        <v>0</v>
      </c>
      <c r="F72" s="36"/>
      <c r="G72" s="2">
        <f>+G152</f>
        <v>500</v>
      </c>
      <c r="H72" s="36"/>
      <c r="I72" s="161">
        <v>0</v>
      </c>
      <c r="J72" s="36"/>
      <c r="K72" s="2">
        <v>0</v>
      </c>
      <c r="L72" s="36"/>
      <c r="M72" s="2">
        <v>0</v>
      </c>
      <c r="N72" s="36"/>
      <c r="O72" s="2">
        <v>0</v>
      </c>
      <c r="P72" s="36"/>
      <c r="Q72" s="2">
        <v>1500</v>
      </c>
      <c r="R72" s="36"/>
      <c r="S72" s="161">
        <v>0</v>
      </c>
      <c r="T72" s="36"/>
      <c r="U72" s="2">
        <v>0</v>
      </c>
      <c r="V72" s="36"/>
      <c r="W72" s="161">
        <v>0</v>
      </c>
      <c r="X72" s="36"/>
      <c r="Y72" s="2">
        <v>0</v>
      </c>
      <c r="Z72" s="36"/>
      <c r="AA72" s="2">
        <v>0</v>
      </c>
      <c r="AB72" s="36"/>
      <c r="AC72" s="66"/>
      <c r="AD72" s="130" t="str">
        <f t="shared" si="14"/>
        <v>5725</v>
      </c>
      <c r="AE72" s="2" t="str">
        <f t="shared" si="15"/>
        <v>Field Trip Transp.</v>
      </c>
      <c r="AF72" s="2">
        <f t="shared" si="16"/>
        <v>5199</v>
      </c>
    </row>
    <row r="73" spans="1:32" x14ac:dyDescent="0.25">
      <c r="A73" s="130" t="s">
        <v>120</v>
      </c>
      <c r="B73" s="2" t="s">
        <v>121</v>
      </c>
      <c r="C73" s="3">
        <v>0</v>
      </c>
      <c r="E73" s="2">
        <v>0</v>
      </c>
      <c r="F73" s="36"/>
      <c r="G73" s="2">
        <v>0</v>
      </c>
      <c r="H73" s="36"/>
      <c r="I73" s="161">
        <v>0</v>
      </c>
      <c r="J73" s="36"/>
      <c r="K73" s="2">
        <v>0</v>
      </c>
      <c r="L73" s="36"/>
      <c r="M73" s="2">
        <v>0</v>
      </c>
      <c r="N73" s="36"/>
      <c r="O73" s="2">
        <v>0</v>
      </c>
      <c r="P73" s="36"/>
      <c r="Q73" s="2">
        <v>750</v>
      </c>
      <c r="R73" s="36"/>
      <c r="S73" s="161">
        <v>4000</v>
      </c>
      <c r="T73" s="36"/>
      <c r="U73" s="2">
        <v>0</v>
      </c>
      <c r="V73" s="36"/>
      <c r="X73" s="36"/>
      <c r="Z73" s="36"/>
      <c r="AB73" s="36"/>
      <c r="AC73" s="66"/>
      <c r="AD73" s="130" t="str">
        <f t="shared" si="14"/>
        <v>5752</v>
      </c>
      <c r="AE73" s="2" t="str">
        <f t="shared" si="15"/>
        <v>Direct Srvc-Food Srvc.</v>
      </c>
      <c r="AF73" s="2">
        <f t="shared" si="16"/>
        <v>4750</v>
      </c>
    </row>
    <row r="74" spans="1:32" x14ac:dyDescent="0.25">
      <c r="A74" s="130" t="s">
        <v>126</v>
      </c>
      <c r="B74" s="2" t="s">
        <v>127</v>
      </c>
      <c r="C74" s="3">
        <v>0</v>
      </c>
      <c r="E74" s="2">
        <v>0</v>
      </c>
      <c r="F74" s="36"/>
      <c r="G74" s="2">
        <v>0</v>
      </c>
      <c r="H74" s="36"/>
      <c r="I74" s="161">
        <v>0</v>
      </c>
      <c r="J74" s="36"/>
      <c r="K74" s="2">
        <v>0</v>
      </c>
      <c r="L74" s="36"/>
      <c r="M74" s="2">
        <v>0</v>
      </c>
      <c r="N74" s="36"/>
      <c r="O74" s="2">
        <v>0</v>
      </c>
      <c r="P74" s="36"/>
      <c r="Q74" s="2">
        <v>0</v>
      </c>
      <c r="R74" s="36"/>
      <c r="S74" s="161">
        <v>0</v>
      </c>
      <c r="T74" s="36"/>
      <c r="U74" s="2">
        <v>640</v>
      </c>
      <c r="V74" s="36"/>
      <c r="X74" s="36"/>
      <c r="Z74" s="36"/>
      <c r="AB74" s="36"/>
      <c r="AC74" s="66"/>
      <c r="AD74" s="130" t="str">
        <f t="shared" si="14"/>
        <v>5806</v>
      </c>
      <c r="AE74" s="2" t="str">
        <f t="shared" si="15"/>
        <v>Outside Interpreter</v>
      </c>
      <c r="AF74" s="2">
        <f t="shared" si="16"/>
        <v>640</v>
      </c>
    </row>
    <row r="75" spans="1:32" x14ac:dyDescent="0.25">
      <c r="A75" s="130" t="s">
        <v>9</v>
      </c>
      <c r="B75" s="2" t="s">
        <v>8</v>
      </c>
      <c r="C75" s="3">
        <v>27678.37</v>
      </c>
      <c r="E75" s="2">
        <v>0</v>
      </c>
      <c r="F75" s="36"/>
      <c r="G75" s="2">
        <v>0</v>
      </c>
      <c r="H75" s="36"/>
      <c r="I75" s="161">
        <v>0</v>
      </c>
      <c r="J75" s="36"/>
      <c r="K75" s="2">
        <v>4950</v>
      </c>
      <c r="L75" s="36"/>
      <c r="M75" s="2">
        <v>0</v>
      </c>
      <c r="N75" s="36"/>
      <c r="O75" s="2">
        <v>0</v>
      </c>
      <c r="P75" s="36"/>
      <c r="Q75" s="2">
        <v>0</v>
      </c>
      <c r="R75" s="36"/>
      <c r="S75" s="161">
        <v>0</v>
      </c>
      <c r="T75" s="36"/>
      <c r="U75" s="2">
        <v>0</v>
      </c>
      <c r="V75" s="36"/>
      <c r="W75" s="161">
        <v>500</v>
      </c>
      <c r="X75" s="36"/>
      <c r="Y75" s="2">
        <v>5572</v>
      </c>
      <c r="Z75" s="36"/>
      <c r="AA75" s="2">
        <v>0</v>
      </c>
      <c r="AB75" s="36"/>
      <c r="AC75" s="66"/>
      <c r="AD75" s="130" t="str">
        <f t="shared" si="14"/>
        <v>5807</v>
      </c>
      <c r="AE75" s="2" t="str">
        <f t="shared" si="15"/>
        <v>Consultants</v>
      </c>
      <c r="AF75" s="2">
        <f t="shared" si="16"/>
        <v>38700.369999999995</v>
      </c>
    </row>
    <row r="76" spans="1:32" x14ac:dyDescent="0.25">
      <c r="A76" s="130" t="s">
        <v>122</v>
      </c>
      <c r="B76" s="2" t="s">
        <v>123</v>
      </c>
      <c r="C76" s="3">
        <v>0</v>
      </c>
      <c r="E76" s="2">
        <v>0</v>
      </c>
      <c r="F76" s="36"/>
      <c r="G76" s="2">
        <v>0</v>
      </c>
      <c r="H76" s="36"/>
      <c r="I76" s="161">
        <v>0</v>
      </c>
      <c r="J76" s="36"/>
      <c r="K76" s="2">
        <v>0</v>
      </c>
      <c r="L76" s="36"/>
      <c r="M76" s="2">
        <v>0</v>
      </c>
      <c r="N76" s="36"/>
      <c r="O76" s="2">
        <v>0</v>
      </c>
      <c r="P76" s="36"/>
      <c r="Q76" s="2">
        <v>390</v>
      </c>
      <c r="R76" s="36"/>
      <c r="S76" s="161">
        <v>0</v>
      </c>
      <c r="T76" s="36"/>
      <c r="U76" s="2">
        <v>0</v>
      </c>
      <c r="V76" s="36"/>
      <c r="W76" s="161">
        <v>0</v>
      </c>
      <c r="X76" s="36"/>
      <c r="Y76" s="2">
        <v>0</v>
      </c>
      <c r="Z76" s="36"/>
      <c r="AB76" s="36"/>
      <c r="AC76" s="66"/>
      <c r="AD76" s="130" t="str">
        <f t="shared" si="14"/>
        <v>5809</v>
      </c>
      <c r="AE76" s="2" t="str">
        <f t="shared" si="15"/>
        <v>Fees</v>
      </c>
      <c r="AF76" s="2">
        <f t="shared" si="16"/>
        <v>390</v>
      </c>
    </row>
    <row r="77" spans="1:32" x14ac:dyDescent="0.25">
      <c r="A77" s="130" t="s">
        <v>7</v>
      </c>
      <c r="B77" s="2" t="s">
        <v>6</v>
      </c>
      <c r="C77" s="3">
        <v>16000</v>
      </c>
      <c r="E77" s="2">
        <v>0</v>
      </c>
      <c r="F77" s="36"/>
      <c r="G77" s="2">
        <v>0</v>
      </c>
      <c r="H77" s="36"/>
      <c r="I77" s="161">
        <v>9922</v>
      </c>
      <c r="J77" s="36"/>
      <c r="K77" s="2">
        <v>2000</v>
      </c>
      <c r="L77" s="36"/>
      <c r="M77" s="2">
        <v>3000</v>
      </c>
      <c r="N77" s="36"/>
      <c r="O77" s="2">
        <v>0</v>
      </c>
      <c r="P77" s="36"/>
      <c r="Q77" s="2">
        <v>1000</v>
      </c>
      <c r="R77" s="36"/>
      <c r="S77" s="161">
        <v>4000</v>
      </c>
      <c r="T77" s="36"/>
      <c r="U77" s="2">
        <v>4450</v>
      </c>
      <c r="V77" s="36"/>
      <c r="W77" s="161">
        <v>300</v>
      </c>
      <c r="X77" s="36"/>
      <c r="Y77" s="2">
        <v>500</v>
      </c>
      <c r="Z77" s="36"/>
      <c r="AA77" s="2">
        <v>3500</v>
      </c>
      <c r="AB77" s="36"/>
      <c r="AC77" s="66"/>
      <c r="AD77" s="130" t="str">
        <f t="shared" si="14"/>
        <v>5813</v>
      </c>
      <c r="AE77" s="2" t="str">
        <f t="shared" si="15"/>
        <v>Outside Services</v>
      </c>
      <c r="AF77" s="2">
        <f t="shared" si="16"/>
        <v>44672</v>
      </c>
    </row>
    <row r="78" spans="1:32" x14ac:dyDescent="0.25">
      <c r="A78" s="130" t="s">
        <v>5</v>
      </c>
      <c r="B78" s="2" t="s">
        <v>4</v>
      </c>
      <c r="C78" s="3">
        <v>24998</v>
      </c>
      <c r="E78" s="2">
        <v>0</v>
      </c>
      <c r="F78" s="36"/>
      <c r="G78" s="2">
        <v>0</v>
      </c>
      <c r="H78" s="36"/>
      <c r="I78" s="161">
        <v>0</v>
      </c>
      <c r="J78" s="36"/>
      <c r="K78" s="2">
        <v>1614</v>
      </c>
      <c r="L78" s="36"/>
      <c r="M78" s="2">
        <v>0</v>
      </c>
      <c r="N78" s="36"/>
      <c r="O78" s="2">
        <v>300</v>
      </c>
      <c r="P78" s="36"/>
      <c r="Q78" s="2">
        <v>500</v>
      </c>
      <c r="R78" s="36"/>
      <c r="S78" s="161">
        <v>2689</v>
      </c>
      <c r="T78" s="36"/>
      <c r="U78" s="2">
        <v>0</v>
      </c>
      <c r="V78" s="36"/>
      <c r="W78" s="161">
        <v>4200</v>
      </c>
      <c r="X78" s="36"/>
      <c r="Y78" s="2">
        <v>1554</v>
      </c>
      <c r="Z78" s="36"/>
      <c r="AA78" s="2">
        <v>0</v>
      </c>
      <c r="AB78" s="36"/>
      <c r="AC78" s="66"/>
      <c r="AD78" s="130" t="str">
        <f t="shared" si="14"/>
        <v>5814</v>
      </c>
      <c r="AE78" s="2" t="str">
        <f t="shared" si="15"/>
        <v>Other Services</v>
      </c>
      <c r="AF78" s="2">
        <f t="shared" si="16"/>
        <v>35855</v>
      </c>
    </row>
    <row r="79" spans="1:32" x14ac:dyDescent="0.25">
      <c r="A79" s="130" t="s">
        <v>3</v>
      </c>
      <c r="B79" s="2" t="s">
        <v>2</v>
      </c>
      <c r="C79" s="3">
        <v>2000</v>
      </c>
      <c r="E79" s="2">
        <v>0</v>
      </c>
      <c r="F79" s="36"/>
      <c r="G79" s="2">
        <v>0</v>
      </c>
      <c r="H79" s="36"/>
      <c r="I79" s="161">
        <v>1700</v>
      </c>
      <c r="J79" s="36"/>
      <c r="K79" s="2">
        <v>0</v>
      </c>
      <c r="L79" s="36"/>
      <c r="M79" s="2">
        <v>0</v>
      </c>
      <c r="N79" s="36"/>
      <c r="O79" s="2">
        <v>0</v>
      </c>
      <c r="P79" s="36"/>
      <c r="Q79" s="2">
        <v>0</v>
      </c>
      <c r="R79" s="36"/>
      <c r="S79" s="161">
        <v>0</v>
      </c>
      <c r="T79" s="36"/>
      <c r="U79" s="2">
        <v>0</v>
      </c>
      <c r="V79" s="36"/>
      <c r="W79" s="161">
        <v>0</v>
      </c>
      <c r="X79" s="36"/>
      <c r="Y79" s="2">
        <v>0</v>
      </c>
      <c r="Z79" s="36"/>
      <c r="AA79" s="2">
        <v>0</v>
      </c>
      <c r="AB79" s="36"/>
      <c r="AC79" s="66"/>
      <c r="AD79" s="130" t="str">
        <f t="shared" si="14"/>
        <v>5817</v>
      </c>
      <c r="AE79" s="2" t="str">
        <f t="shared" si="15"/>
        <v>Outside Transp.</v>
      </c>
      <c r="AF79" s="2">
        <f t="shared" si="16"/>
        <v>3700</v>
      </c>
    </row>
    <row r="80" spans="1:32" x14ac:dyDescent="0.25">
      <c r="A80" s="130" t="s">
        <v>124</v>
      </c>
      <c r="B80" s="2" t="s">
        <v>125</v>
      </c>
      <c r="C80" s="3">
        <v>0</v>
      </c>
      <c r="E80" s="2">
        <v>0</v>
      </c>
      <c r="F80" s="36"/>
      <c r="G80" s="2">
        <v>0</v>
      </c>
      <c r="H80" s="36"/>
      <c r="I80" s="161">
        <v>0</v>
      </c>
      <c r="J80" s="36"/>
      <c r="K80" s="2">
        <v>0</v>
      </c>
      <c r="L80" s="36"/>
      <c r="M80" s="2">
        <v>0</v>
      </c>
      <c r="N80" s="36"/>
      <c r="O80" s="2">
        <v>0</v>
      </c>
      <c r="P80" s="36"/>
      <c r="Q80" s="2">
        <v>200</v>
      </c>
      <c r="R80" s="36"/>
      <c r="S80" s="161">
        <v>200</v>
      </c>
      <c r="T80" s="36"/>
      <c r="U80" s="2">
        <v>0</v>
      </c>
      <c r="V80" s="36"/>
      <c r="X80" s="36"/>
      <c r="Y80" s="2">
        <v>1000</v>
      </c>
      <c r="Z80" s="36"/>
      <c r="AB80" s="36"/>
      <c r="AC80" s="66"/>
      <c r="AD80" s="130" t="str">
        <f t="shared" si="14"/>
        <v>5908</v>
      </c>
      <c r="AE80" s="2" t="str">
        <f t="shared" si="15"/>
        <v>Postage</v>
      </c>
      <c r="AF80" s="2">
        <f t="shared" si="16"/>
        <v>1400</v>
      </c>
    </row>
    <row r="81" spans="1:33" x14ac:dyDescent="0.25">
      <c r="A81" s="130" t="s">
        <v>1</v>
      </c>
      <c r="C81" s="3">
        <v>0</v>
      </c>
      <c r="E81" s="2">
        <v>0</v>
      </c>
      <c r="F81" s="36"/>
      <c r="G81" s="2">
        <v>0</v>
      </c>
      <c r="H81" s="36"/>
      <c r="I81" s="161">
        <v>0</v>
      </c>
      <c r="J81" s="36"/>
      <c r="K81" s="2">
        <v>0</v>
      </c>
      <c r="L81" s="36"/>
      <c r="M81" s="2">
        <v>0</v>
      </c>
      <c r="N81" s="36"/>
      <c r="O81" s="2">
        <v>0</v>
      </c>
      <c r="P81" s="36"/>
      <c r="Q81" s="2">
        <v>0</v>
      </c>
      <c r="R81" s="36"/>
      <c r="S81" s="161">
        <v>0</v>
      </c>
      <c r="T81" s="36"/>
      <c r="U81" s="2">
        <v>0</v>
      </c>
      <c r="V81" s="36"/>
      <c r="W81" s="161">
        <v>0</v>
      </c>
      <c r="X81" s="36"/>
      <c r="Y81" s="2">
        <v>0</v>
      </c>
      <c r="Z81" s="36"/>
      <c r="AA81" s="2">
        <v>0</v>
      </c>
      <c r="AB81" s="36"/>
      <c r="AC81" s="66"/>
      <c r="AD81" s="130" t="str">
        <f t="shared" si="14"/>
        <v>5000</v>
      </c>
      <c r="AE81" s="125">
        <f t="shared" si="15"/>
        <v>0</v>
      </c>
      <c r="AF81" s="2">
        <f t="shared" si="16"/>
        <v>0</v>
      </c>
    </row>
    <row r="82" spans="1:33" x14ac:dyDescent="0.25">
      <c r="C82" s="8">
        <f>SUM(C69:C81)</f>
        <v>364963.37</v>
      </c>
      <c r="D82" s="33"/>
      <c r="E82" s="8">
        <f>SUM(E69:E81)</f>
        <v>775.44</v>
      </c>
      <c r="F82" s="5"/>
      <c r="G82" s="8">
        <f>SUM(G69:G81)</f>
        <v>500</v>
      </c>
      <c r="H82" s="5"/>
      <c r="I82" s="815">
        <f>SUM(I69:I81)</f>
        <v>23622</v>
      </c>
      <c r="J82" s="5"/>
      <c r="K82" s="8">
        <f>SUM(K69:K81)</f>
        <v>17564</v>
      </c>
      <c r="L82" s="5"/>
      <c r="M82" s="8">
        <f>SUM(M69:M81)</f>
        <v>10500</v>
      </c>
      <c r="N82" s="5"/>
      <c r="O82" s="8">
        <f>SUM(O69:O81)</f>
        <v>2271</v>
      </c>
      <c r="P82" s="5"/>
      <c r="Q82" s="8">
        <f>SUM(Q69:Q81)</f>
        <v>10971</v>
      </c>
      <c r="R82" s="5"/>
      <c r="S82" s="815">
        <f>SUM(S69:S81)</f>
        <v>14889</v>
      </c>
      <c r="T82" s="5"/>
      <c r="U82" s="8">
        <f>SUM(U69:U81)</f>
        <v>8616</v>
      </c>
      <c r="V82" s="5"/>
      <c r="W82" s="815">
        <f>SUM(W69:W81)</f>
        <v>13000</v>
      </c>
      <c r="X82" s="5"/>
      <c r="Y82" s="8">
        <f>SUM(Y69:Y81)</f>
        <v>9426</v>
      </c>
      <c r="Z82" s="5"/>
      <c r="AA82" s="8">
        <f>SUM(AA69:AA81)</f>
        <v>10500</v>
      </c>
      <c r="AB82" s="5"/>
      <c r="AC82" s="29"/>
      <c r="AE82" s="125">
        <f t="shared" si="15"/>
        <v>0</v>
      </c>
      <c r="AF82" s="8">
        <f>SUM(AF69:AF81)</f>
        <v>487597.81</v>
      </c>
    </row>
    <row r="83" spans="1:33" x14ac:dyDescent="0.25">
      <c r="A83" s="126"/>
      <c r="F83" s="36"/>
      <c r="H83" s="36"/>
      <c r="J83" s="36"/>
      <c r="L83" s="36"/>
      <c r="N83" s="36"/>
      <c r="P83" s="36"/>
      <c r="R83" s="36"/>
      <c r="T83" s="36"/>
      <c r="V83" s="36"/>
      <c r="X83" s="36"/>
      <c r="Z83" s="36"/>
      <c r="AB83" s="36"/>
      <c r="AC83" s="66"/>
      <c r="AD83" s="126"/>
    </row>
    <row r="84" spans="1:33" x14ac:dyDescent="0.25">
      <c r="F84" s="36"/>
      <c r="H84" s="36"/>
      <c r="J84" s="36"/>
      <c r="L84" s="36"/>
      <c r="N84" s="36"/>
      <c r="P84" s="36"/>
      <c r="R84" s="36"/>
      <c r="T84" s="36"/>
      <c r="V84" s="36"/>
      <c r="X84" s="36"/>
      <c r="Z84" s="36"/>
      <c r="AB84" s="36"/>
      <c r="AC84" s="66"/>
    </row>
    <row r="85" spans="1:33" x14ac:dyDescent="0.25">
      <c r="A85" s="126" t="s">
        <v>0</v>
      </c>
      <c r="C85" s="8">
        <f>SUM(C82,C66,C55,C13)</f>
        <v>1647165.37</v>
      </c>
      <c r="D85" s="33"/>
      <c r="E85" s="8">
        <f>SUM(E82,E66,E55)</f>
        <v>40899.39</v>
      </c>
      <c r="F85" s="5"/>
      <c r="G85" s="8">
        <f>SUM(G82,G66,G55)</f>
        <v>92864</v>
      </c>
      <c r="H85" s="5"/>
      <c r="I85" s="815">
        <f>SUM(I82,I66,I55)</f>
        <v>148609</v>
      </c>
      <c r="J85" s="5"/>
      <c r="K85" s="8">
        <f>SUM(K82,K66,K55)</f>
        <v>99051</v>
      </c>
      <c r="L85" s="5"/>
      <c r="M85" s="8">
        <f>SUM(M82,M66,M55)</f>
        <v>65573</v>
      </c>
      <c r="N85" s="5"/>
      <c r="O85" s="8">
        <f>SUM(O82,O66,O55)</f>
        <v>114958</v>
      </c>
      <c r="P85" s="5"/>
      <c r="Q85" s="8">
        <f>SUM(Q82,Q66,Q55)</f>
        <v>100288</v>
      </c>
      <c r="R85" s="5"/>
      <c r="S85" s="815">
        <f>SUM(S82,S66,S55)</f>
        <v>106619</v>
      </c>
      <c r="T85" s="5"/>
      <c r="U85" s="8">
        <f>SUM(U82,U66,U55)</f>
        <v>67761</v>
      </c>
      <c r="V85" s="5"/>
      <c r="W85" s="815">
        <f>SUM(W82,W66,W55)</f>
        <v>100960</v>
      </c>
      <c r="X85" s="5"/>
      <c r="Y85" s="8">
        <f>SUM(Y82,Y66,Y55)</f>
        <v>54971</v>
      </c>
      <c r="Z85" s="5"/>
      <c r="AA85" s="8">
        <f>SUM(AA82,AA66,AA55)</f>
        <v>63549</v>
      </c>
      <c r="AB85" s="5"/>
      <c r="AC85" s="29"/>
      <c r="AD85" s="126" t="str">
        <f>A85</f>
        <v>TOTAL EXPENDITURES</v>
      </c>
      <c r="AF85" s="8">
        <f>SUM(AF82,AF66,AF55,AF13)</f>
        <v>2703267.76</v>
      </c>
      <c r="AG85" s="2">
        <f>+SUM(C85:AA85)</f>
        <v>2703267.76</v>
      </c>
    </row>
    <row r="86" spans="1:33" x14ac:dyDescent="0.25">
      <c r="F86" s="36"/>
      <c r="H86" s="36"/>
      <c r="J86" s="36"/>
      <c r="L86" s="36"/>
      <c r="N86" s="36"/>
      <c r="P86" s="36"/>
      <c r="R86" s="36"/>
      <c r="T86" s="36"/>
      <c r="V86" s="36"/>
      <c r="X86" s="36"/>
      <c r="Z86" s="36"/>
      <c r="AB86" s="36"/>
      <c r="AC86" s="66"/>
    </row>
    <row r="87" spans="1:33" ht="15.75" x14ac:dyDescent="0.25">
      <c r="B87" s="2" t="s">
        <v>717</v>
      </c>
      <c r="F87" s="36"/>
      <c r="G87" s="2">
        <v>63864</v>
      </c>
      <c r="H87" s="36" t="s">
        <v>187</v>
      </c>
      <c r="J87" s="36"/>
      <c r="K87" s="2">
        <v>60043</v>
      </c>
      <c r="L87" s="36" t="s">
        <v>187</v>
      </c>
      <c r="N87" s="36"/>
      <c r="O87" s="2">
        <v>75954</v>
      </c>
      <c r="P87" s="36" t="s">
        <v>187</v>
      </c>
      <c r="Q87" s="2">
        <v>61288</v>
      </c>
      <c r="R87" s="36" t="s">
        <v>187</v>
      </c>
      <c r="T87" s="36"/>
      <c r="V87" s="36"/>
      <c r="X87" s="36"/>
      <c r="Z87" s="36"/>
      <c r="AB87" s="36"/>
      <c r="AC87" s="66"/>
      <c r="AD87" s="126" t="s">
        <v>138</v>
      </c>
      <c r="AF87" s="119">
        <f>AF11-AF85</f>
        <v>27167.610000000335</v>
      </c>
    </row>
    <row r="88" spans="1:33" x14ac:dyDescent="0.25">
      <c r="B88" s="129" t="s">
        <v>181</v>
      </c>
      <c r="C88" s="97">
        <f>+C85</f>
        <v>1647165.37</v>
      </c>
      <c r="G88" s="2">
        <f>+G85-G87</f>
        <v>29000</v>
      </c>
      <c r="H88" s="2" t="s">
        <v>188</v>
      </c>
      <c r="K88" s="2">
        <f>+K85-K87</f>
        <v>39008</v>
      </c>
      <c r="L88" s="2" t="s">
        <v>188</v>
      </c>
      <c r="O88" s="2">
        <f>+O85-O87</f>
        <v>39004</v>
      </c>
      <c r="P88" s="2" t="s">
        <v>188</v>
      </c>
      <c r="Q88" s="2">
        <f>+Q85-Q87</f>
        <v>39000</v>
      </c>
      <c r="R88" s="2" t="s">
        <v>188</v>
      </c>
      <c r="AD88" s="126"/>
      <c r="AE88" s="37"/>
      <c r="AF88" s="3"/>
    </row>
    <row r="89" spans="1:33" ht="15.75" x14ac:dyDescent="0.25">
      <c r="B89" s="129" t="s">
        <v>180</v>
      </c>
      <c r="C89" s="97">
        <f>SUM(E85,G85,I85,K85,M85,O85,Q85,S85,U85,W85,Y85,AA85)</f>
        <v>1056102.3900000001</v>
      </c>
      <c r="AD89" s="126" t="s">
        <v>136</v>
      </c>
      <c r="AE89" s="126"/>
      <c r="AF89" s="119">
        <f>AF7+AF87</f>
        <v>27167.610000000335</v>
      </c>
    </row>
    <row r="90" spans="1:33" x14ac:dyDescent="0.25">
      <c r="B90" s="99"/>
      <c r="C90" s="289">
        <f>SUM(C88:C89)</f>
        <v>2703267.7600000002</v>
      </c>
      <c r="AE90" s="6"/>
    </row>
    <row r="91" spans="1:33" s="107" customFormat="1" x14ac:dyDescent="0.25">
      <c r="A91" s="290"/>
      <c r="B91" s="291"/>
      <c r="C91" s="292">
        <f>+C11-C90</f>
        <v>27167.60999999987</v>
      </c>
      <c r="D91" s="293"/>
      <c r="I91" s="817"/>
      <c r="S91" s="817"/>
      <c r="W91" s="817"/>
      <c r="AC91" s="294"/>
      <c r="AD91" s="295"/>
    </row>
    <row r="92" spans="1:33" s="844" customFormat="1" ht="17.25" x14ac:dyDescent="0.4">
      <c r="C92" s="844" t="str">
        <f>+C19</f>
        <v>200 - DO</v>
      </c>
      <c r="D92" s="35"/>
      <c r="E92" s="844" t="str">
        <f>+E19</f>
        <v>010 - CFB</v>
      </c>
      <c r="G92" s="844" t="str">
        <f>+G19</f>
        <v>020 - SH</v>
      </c>
      <c r="I92" s="844" t="str">
        <f>+I19</f>
        <v>030 - SO</v>
      </c>
      <c r="K92" s="844" t="str">
        <f>+K19</f>
        <v>040 - ST</v>
      </c>
      <c r="M92" s="844" t="str">
        <f>+M19</f>
        <v>050 - SC</v>
      </c>
      <c r="O92" s="844" t="str">
        <f>+O19</f>
        <v>060 - SY</v>
      </c>
      <c r="Q92" s="844" t="str">
        <f>+Q19</f>
        <v>070 - WO</v>
      </c>
      <c r="S92" s="844" t="str">
        <f>+S19</f>
        <v>080 - EU</v>
      </c>
      <c r="U92" s="844" t="str">
        <f>+U19</f>
        <v>090 - OR</v>
      </c>
      <c r="W92" s="844" t="str">
        <f>+W19</f>
        <v>110 - DS</v>
      </c>
      <c r="Y92" s="844" t="str">
        <f>+Y19</f>
        <v>120 - MAS</v>
      </c>
      <c r="AA92" s="844" t="str">
        <f>+AA19</f>
        <v>130 - CR</v>
      </c>
      <c r="AC92" s="845"/>
      <c r="AE92" s="35"/>
    </row>
    <row r="93" spans="1:33" s="535" customFormat="1" x14ac:dyDescent="0.25">
      <c r="A93" s="766"/>
      <c r="B93" s="617" t="str">
        <f>"Actuals as of "&amp;TEXT(C17,"mm/dd/yyyy")</f>
        <v>Actuals as of 04/23/2017</v>
      </c>
      <c r="C93" s="767">
        <v>930477.1</v>
      </c>
      <c r="D93" s="768"/>
      <c r="E93" s="767">
        <v>35714.79</v>
      </c>
      <c r="F93" s="769"/>
      <c r="G93" s="767">
        <v>57236.46</v>
      </c>
      <c r="H93" s="769" t="s">
        <v>745</v>
      </c>
      <c r="I93" s="384">
        <v>73443.199999999997</v>
      </c>
      <c r="J93" s="769"/>
      <c r="K93" s="767">
        <v>38531.620000000003</v>
      </c>
      <c r="L93" s="769" t="s">
        <v>745</v>
      </c>
      <c r="M93" s="767">
        <v>45807.040000000001</v>
      </c>
      <c r="N93" s="769"/>
      <c r="O93" s="767">
        <v>9374.16</v>
      </c>
      <c r="P93" s="769"/>
      <c r="Q93" s="767">
        <v>56854.27</v>
      </c>
      <c r="R93" s="769"/>
      <c r="S93" s="384">
        <v>36133.160000000003</v>
      </c>
      <c r="T93" s="769"/>
      <c r="U93" s="767">
        <v>46611.59</v>
      </c>
      <c r="V93" s="769"/>
      <c r="W93" s="384">
        <v>66249.31</v>
      </c>
      <c r="X93" s="769"/>
      <c r="Y93" s="767">
        <v>28964.639999999999</v>
      </c>
      <c r="Z93" s="769"/>
      <c r="AA93" s="767">
        <v>22021.87</v>
      </c>
      <c r="AB93" s="769"/>
      <c r="AC93" s="770"/>
      <c r="AD93" s="617"/>
      <c r="AE93" s="617" t="str">
        <f>B93</f>
        <v>Actuals as of 04/23/2017</v>
      </c>
      <c r="AF93" s="535">
        <f>SUM(C93,E93,G93,I93,K93,M93,O93,Q93,S93,U93,W93,Y93,AA93)</f>
        <v>1447419.2100000002</v>
      </c>
    </row>
    <row r="94" spans="1:33" s="535" customFormat="1" x14ac:dyDescent="0.25">
      <c r="A94" s="617"/>
      <c r="B94" s="617" t="str">
        <f>"Encumb. as of "&amp;TEXT(C17,"mm/dd/yyyy")</f>
        <v>Encumb. as of 04/23/2017</v>
      </c>
      <c r="C94" s="767">
        <v>327228.25</v>
      </c>
      <c r="D94" s="768"/>
      <c r="E94" s="767">
        <v>0</v>
      </c>
      <c r="F94" s="769"/>
      <c r="G94" s="767">
        <v>35679.75</v>
      </c>
      <c r="H94" s="769" t="s">
        <v>746</v>
      </c>
      <c r="I94" s="384">
        <v>8148.57</v>
      </c>
      <c r="J94" s="769"/>
      <c r="K94" s="767">
        <v>52541.599999999999</v>
      </c>
      <c r="L94" s="769" t="s">
        <v>746</v>
      </c>
      <c r="M94" s="767">
        <v>11354.21</v>
      </c>
      <c r="N94" s="769"/>
      <c r="O94" s="767">
        <v>101715.69</v>
      </c>
      <c r="P94" s="769"/>
      <c r="Q94" s="767">
        <f>11599.44+406.32+95.03</f>
        <v>12100.79</v>
      </c>
      <c r="R94" s="769" t="s">
        <v>767</v>
      </c>
      <c r="S94" s="384">
        <v>25494.69</v>
      </c>
      <c r="T94" s="769"/>
      <c r="U94" s="767">
        <v>4221.18</v>
      </c>
      <c r="V94" s="769"/>
      <c r="W94" s="384">
        <v>16945.87</v>
      </c>
      <c r="X94" s="769"/>
      <c r="Y94" s="767">
        <v>22633.94</v>
      </c>
      <c r="Z94" s="769"/>
      <c r="AA94" s="767">
        <v>18979.060000000001</v>
      </c>
      <c r="AB94" s="769"/>
      <c r="AC94" s="770"/>
      <c r="AD94" s="617"/>
      <c r="AE94" s="617" t="str">
        <f>B94</f>
        <v>Encumb. as of 04/23/2017</v>
      </c>
      <c r="AF94" s="535">
        <f>SUM(C94,E94,G94,I94,K94,M94,O94,Q94,S94,U94,W94,Y94,AA94)</f>
        <v>637043.60000000009</v>
      </c>
    </row>
    <row r="95" spans="1:33" s="535" customFormat="1" ht="15" customHeight="1" x14ac:dyDescent="0.25">
      <c r="A95" s="617"/>
      <c r="B95" s="618" t="s">
        <v>118</v>
      </c>
      <c r="C95" s="771">
        <f>SUM(C93:C94)</f>
        <v>1257705.3500000001</v>
      </c>
      <c r="D95" s="768"/>
      <c r="E95" s="771">
        <f>SUM(E93:E94)</f>
        <v>35714.79</v>
      </c>
      <c r="F95" s="769"/>
      <c r="G95" s="771">
        <f>SUM(G93:G94)</f>
        <v>92916.209999999992</v>
      </c>
      <c r="H95" s="769" t="s">
        <v>747</v>
      </c>
      <c r="I95" s="818">
        <f>SUM(I93:I94)</f>
        <v>81591.76999999999</v>
      </c>
      <c r="J95" s="769"/>
      <c r="K95" s="771">
        <f>SUM(K93:K94)</f>
        <v>91073.22</v>
      </c>
      <c r="L95" s="769" t="s">
        <v>747</v>
      </c>
      <c r="M95" s="771">
        <f>SUM(M93:M94)</f>
        <v>57161.25</v>
      </c>
      <c r="N95" s="769"/>
      <c r="O95" s="771">
        <f>SUM(O93:O94)</f>
        <v>111089.85</v>
      </c>
      <c r="P95" s="769"/>
      <c r="Q95" s="771">
        <f>SUM(Q93:Q94)</f>
        <v>68955.06</v>
      </c>
      <c r="R95" s="769"/>
      <c r="S95" s="818">
        <f>SUM(S93:S94)</f>
        <v>61627.850000000006</v>
      </c>
      <c r="T95" s="769"/>
      <c r="U95" s="771">
        <f>SUM(U93:U94)</f>
        <v>50832.77</v>
      </c>
      <c r="V95" s="769"/>
      <c r="W95" s="818">
        <f>SUM(W93:W94)</f>
        <v>83195.179999999993</v>
      </c>
      <c r="X95" s="769"/>
      <c r="Y95" s="771">
        <f>SUM(Y93:Y94)</f>
        <v>51598.58</v>
      </c>
      <c r="Z95" s="769"/>
      <c r="AA95" s="771">
        <f>SUM(AA93:AA94)</f>
        <v>41000.93</v>
      </c>
      <c r="AB95" s="769"/>
      <c r="AC95" s="770"/>
      <c r="AD95" s="617"/>
      <c r="AE95" s="617" t="str">
        <f>B95</f>
        <v>TOTAL</v>
      </c>
      <c r="AF95" s="772">
        <f>SUM(AF93:AF94)</f>
        <v>2084462.8100000003</v>
      </c>
    </row>
    <row r="96" spans="1:33" x14ac:dyDescent="0.25">
      <c r="E96" s="3"/>
      <c r="F96" s="36"/>
      <c r="G96" s="3"/>
      <c r="H96" s="36"/>
      <c r="I96" s="384"/>
      <c r="J96" s="36"/>
      <c r="K96" s="3"/>
      <c r="L96" s="36"/>
      <c r="M96" s="781"/>
      <c r="N96" s="36"/>
      <c r="O96" s="3"/>
      <c r="P96" s="36"/>
      <c r="Q96" s="3"/>
      <c r="R96" s="36"/>
      <c r="S96" s="384"/>
      <c r="T96" s="36"/>
      <c r="U96" s="3"/>
      <c r="V96" s="36"/>
      <c r="W96" s="384"/>
      <c r="X96" s="36"/>
      <c r="Y96" s="3"/>
      <c r="Z96" s="36"/>
      <c r="AA96" s="3"/>
      <c r="AB96" s="36"/>
      <c r="AC96" s="66"/>
      <c r="AD96" s="296"/>
      <c r="AE96" s="296"/>
    </row>
    <row r="97" spans="1:33" x14ac:dyDescent="0.25">
      <c r="B97" s="617" t="s">
        <v>718</v>
      </c>
      <c r="C97" s="778">
        <f>C85-C95</f>
        <v>389460.02</v>
      </c>
      <c r="D97" s="779"/>
      <c r="E97" s="778">
        <f>E85-E95</f>
        <v>5184.5999999999985</v>
      </c>
      <c r="F97" s="780"/>
      <c r="G97" s="778">
        <f>G85-G95</f>
        <v>-52.209999999991851</v>
      </c>
      <c r="H97" s="780"/>
      <c r="I97" s="819">
        <f>I85-I95</f>
        <v>67017.23000000001</v>
      </c>
      <c r="J97" s="780"/>
      <c r="K97" s="778">
        <f>K85-K95</f>
        <v>7977.7799999999988</v>
      </c>
      <c r="L97" s="780"/>
      <c r="M97" s="778">
        <f>M85-M95</f>
        <v>8411.75</v>
      </c>
      <c r="N97" s="780"/>
      <c r="O97" s="778">
        <f>O85-O95</f>
        <v>3868.1499999999942</v>
      </c>
      <c r="P97" s="780"/>
      <c r="Q97" s="778">
        <f>Q85-Q95</f>
        <v>31332.940000000002</v>
      </c>
      <c r="R97" s="780"/>
      <c r="S97" s="819">
        <f>S85-S95</f>
        <v>44991.149999999994</v>
      </c>
      <c r="T97" s="780"/>
      <c r="U97" s="778">
        <f>U85-U95</f>
        <v>16928.230000000003</v>
      </c>
      <c r="V97" s="780"/>
      <c r="W97" s="819">
        <f>W85-W95</f>
        <v>17764.820000000007</v>
      </c>
      <c r="X97" s="780"/>
      <c r="Y97" s="778">
        <f>Y85-Y95</f>
        <v>3372.4199999999983</v>
      </c>
      <c r="Z97" s="780"/>
      <c r="AA97" s="778">
        <f>AA85-AA95</f>
        <v>22548.07</v>
      </c>
      <c r="AB97" s="36"/>
      <c r="AC97" s="66"/>
      <c r="AE97" s="617" t="str">
        <f>B97</f>
        <v>Balance Available</v>
      </c>
      <c r="AF97" s="778">
        <f>AF85-AF95</f>
        <v>618804.94999999949</v>
      </c>
    </row>
    <row r="98" spans="1:33" x14ac:dyDescent="0.25">
      <c r="L98" s="836" t="s">
        <v>755</v>
      </c>
      <c r="AE98" s="37"/>
    </row>
    <row r="99" spans="1:33" x14ac:dyDescent="0.25">
      <c r="E99" s="389"/>
      <c r="F99" s="389"/>
      <c r="H99" s="836" t="s">
        <v>755</v>
      </c>
      <c r="J99" s="836" t="s">
        <v>755</v>
      </c>
      <c r="L99" s="835" t="s">
        <v>754</v>
      </c>
      <c r="N99" s="836" t="s">
        <v>755</v>
      </c>
      <c r="P99" s="836" t="s">
        <v>755</v>
      </c>
      <c r="AE99" s="37"/>
    </row>
    <row r="100" spans="1:33" ht="15" customHeight="1" x14ac:dyDescent="0.25">
      <c r="B100" s="2210" t="s">
        <v>768</v>
      </c>
      <c r="C100" s="2">
        <v>338000</v>
      </c>
      <c r="D100" s="2" t="s">
        <v>130</v>
      </c>
      <c r="E100" s="389">
        <v>2545.7800000000002</v>
      </c>
      <c r="F100" s="389" t="s">
        <v>543</v>
      </c>
      <c r="G100" s="825">
        <v>1160</v>
      </c>
      <c r="H100" s="825" t="s">
        <v>774</v>
      </c>
      <c r="I100" s="825">
        <v>14749.19</v>
      </c>
      <c r="J100" s="825" t="s">
        <v>741</v>
      </c>
      <c r="K100" s="825">
        <f>1029.42+401.96</f>
        <v>1431.38</v>
      </c>
      <c r="L100" s="825" t="s">
        <v>774</v>
      </c>
      <c r="M100" s="825">
        <v>5444.6</v>
      </c>
      <c r="N100" s="825" t="s">
        <v>741</v>
      </c>
      <c r="O100" s="838">
        <v>833</v>
      </c>
      <c r="P100" s="838" t="s">
        <v>760</v>
      </c>
      <c r="Q100" s="825">
        <v>6858.37</v>
      </c>
      <c r="R100" s="825" t="s">
        <v>749</v>
      </c>
      <c r="S100" s="825">
        <v>14378</v>
      </c>
      <c r="T100" s="825" t="s">
        <v>741</v>
      </c>
      <c r="U100" s="825">
        <v>6660</v>
      </c>
      <c r="V100" s="825" t="s">
        <v>741</v>
      </c>
      <c r="W100" s="825">
        <v>5603.54</v>
      </c>
      <c r="X100" s="825" t="s">
        <v>741</v>
      </c>
      <c r="Y100" s="825">
        <v>1032.5</v>
      </c>
      <c r="Z100" s="825" t="s">
        <v>741</v>
      </c>
      <c r="AA100" s="825">
        <v>13808.99</v>
      </c>
      <c r="AB100" s="825" t="s">
        <v>741</v>
      </c>
      <c r="AE100" s="2213" t="str">
        <f>+B100</f>
        <v>2016-2017 c/o to be expensed in 2017-18 and/or trying to expese by June 30, 2017</v>
      </c>
      <c r="AF100" s="535">
        <f>SUM(C100,E100,G100,I100,K100,M100,O100,Q100,S100,U100,W100,Y100,AA100)</f>
        <v>412505.35</v>
      </c>
      <c r="AG100" s="535" t="s">
        <v>771</v>
      </c>
    </row>
    <row r="101" spans="1:33" x14ac:dyDescent="0.25">
      <c r="A101" s="839"/>
      <c r="B101" s="2210"/>
      <c r="C101" s="2">
        <v>26000</v>
      </c>
      <c r="D101" s="2" t="s">
        <v>131</v>
      </c>
      <c r="E101" s="389">
        <v>108.42</v>
      </c>
      <c r="F101" s="389" t="s">
        <v>35</v>
      </c>
      <c r="G101" s="825">
        <v>1627.47</v>
      </c>
      <c r="H101" s="825" t="s">
        <v>774</v>
      </c>
      <c r="I101" s="825">
        <v>3266.5</v>
      </c>
      <c r="J101" s="825" t="s">
        <v>742</v>
      </c>
      <c r="K101" s="825">
        <v>255.92</v>
      </c>
      <c r="L101" s="825" t="s">
        <v>774</v>
      </c>
      <c r="M101" s="825">
        <v>270.62</v>
      </c>
      <c r="N101" s="825" t="s">
        <v>742</v>
      </c>
      <c r="O101" s="838">
        <v>603</v>
      </c>
      <c r="P101" s="838" t="s">
        <v>761</v>
      </c>
      <c r="Q101" s="825">
        <f>1221-876.73</f>
        <v>344.27</v>
      </c>
      <c r="R101" s="825" t="s">
        <v>762</v>
      </c>
      <c r="S101" s="825">
        <v>5718.97</v>
      </c>
      <c r="T101" s="825" t="s">
        <v>742</v>
      </c>
      <c r="U101" s="825">
        <v>108.14</v>
      </c>
      <c r="V101" s="825" t="s">
        <v>742</v>
      </c>
      <c r="W101" s="825">
        <v>706.64</v>
      </c>
      <c r="X101" s="825" t="s">
        <v>742</v>
      </c>
      <c r="Y101" s="825">
        <v>84.63</v>
      </c>
      <c r="Z101" s="825" t="s">
        <v>742</v>
      </c>
      <c r="AA101" s="825">
        <v>649.42999999999995</v>
      </c>
      <c r="AB101" s="825" t="s">
        <v>742</v>
      </c>
      <c r="AD101" s="841"/>
      <c r="AE101" s="2213"/>
      <c r="AF101" s="535">
        <f>SUM(C101,E101,G101,I101,K101,M101,O101,Q101,S101,U101,W101,Y101,AA101)</f>
        <v>39744.009999999995</v>
      </c>
      <c r="AG101" s="535" t="s">
        <v>772</v>
      </c>
    </row>
    <row r="102" spans="1:33" x14ac:dyDescent="0.25">
      <c r="B102" s="2210"/>
      <c r="C102" s="824">
        <f>+(SUM(C95,E95,G95,I95,K95,M95,O95,Q95,S95,U95,W95,Y95,AA95,E105,G105,I105,K105,O105,Q105,S105,U105,W105,Y105,AA105)*0.037)</f>
        <v>81635.331470000005</v>
      </c>
      <c r="D102" s="30" t="s">
        <v>738</v>
      </c>
      <c r="E102" s="389">
        <v>2530.4</v>
      </c>
      <c r="F102" s="389" t="s">
        <v>27</v>
      </c>
      <c r="G102" s="825">
        <v>1013.24</v>
      </c>
      <c r="H102" s="825" t="s">
        <v>774</v>
      </c>
      <c r="I102" s="825">
        <v>1713.5</v>
      </c>
      <c r="J102" s="825" t="s">
        <v>740</v>
      </c>
      <c r="K102" s="825">
        <v>602.34</v>
      </c>
      <c r="L102" s="825" t="s">
        <v>774</v>
      </c>
      <c r="M102" s="825">
        <v>1297.4100000000001</v>
      </c>
      <c r="N102" s="825" t="s">
        <v>740</v>
      </c>
      <c r="O102" s="825">
        <v>2428.15</v>
      </c>
      <c r="P102" s="843"/>
      <c r="Q102" s="825">
        <f>1738-455.48</f>
        <v>1282.52</v>
      </c>
      <c r="R102" s="825" t="s">
        <v>769</v>
      </c>
      <c r="S102" s="825">
        <v>2952.69</v>
      </c>
      <c r="T102" s="825" t="s">
        <v>740</v>
      </c>
      <c r="U102" s="825">
        <v>3302.96</v>
      </c>
      <c r="V102" s="825" t="s">
        <v>740</v>
      </c>
      <c r="W102" s="825">
        <v>2961.55</v>
      </c>
      <c r="X102" s="825" t="s">
        <v>740</v>
      </c>
      <c r="Y102" s="825">
        <v>274.94</v>
      </c>
      <c r="Z102" s="825" t="s">
        <v>740</v>
      </c>
      <c r="AA102" s="825">
        <v>3035.93</v>
      </c>
      <c r="AB102" s="825" t="s">
        <v>740</v>
      </c>
      <c r="AD102" s="617"/>
      <c r="AE102" s="2213"/>
      <c r="AF102" s="535">
        <f>SUM(C102,E102,G102,I102,K102,M102,O102,Q102,S102,U102,W102,Y102,AA102)</f>
        <v>105030.96147000001</v>
      </c>
      <c r="AG102" s="535" t="s">
        <v>773</v>
      </c>
    </row>
    <row r="103" spans="1:33" ht="15" customHeight="1" x14ac:dyDescent="0.25">
      <c r="B103" s="2210"/>
      <c r="C103" s="2">
        <v>0</v>
      </c>
      <c r="D103" s="825" t="s">
        <v>739</v>
      </c>
      <c r="E103" s="2">
        <v>0</v>
      </c>
      <c r="G103" s="837">
        <f>3203.15+418.11+1289.09-254.13</f>
        <v>4656.22</v>
      </c>
      <c r="H103" s="837" t="s">
        <v>750</v>
      </c>
      <c r="I103" s="161">
        <v>0</v>
      </c>
      <c r="K103" s="837">
        <f>5287.82+794.28-401.96</f>
        <v>5680.1399999999994</v>
      </c>
      <c r="L103" s="837" t="s">
        <v>752</v>
      </c>
      <c r="M103" s="2">
        <v>0</v>
      </c>
      <c r="P103" s="2" t="s">
        <v>775</v>
      </c>
      <c r="Q103" s="837">
        <f>2837.47+428.32</f>
        <v>3265.79</v>
      </c>
      <c r="R103" s="837" t="s">
        <v>763</v>
      </c>
      <c r="S103" s="161">
        <v>0</v>
      </c>
      <c r="U103" s="2">
        <v>0</v>
      </c>
      <c r="W103" s="161">
        <v>0</v>
      </c>
      <c r="Y103" s="2">
        <v>0</v>
      </c>
      <c r="AA103" s="2">
        <v>0</v>
      </c>
      <c r="AD103" s="617"/>
      <c r="AE103" s="2213"/>
      <c r="AF103" s="535">
        <f>SUM(C103,E103,G103,I103,K103,M103,O103,Q103,S103,U103,W103,Y103,AA103)</f>
        <v>13602.150000000001</v>
      </c>
      <c r="AG103" s="535" t="s">
        <v>134</v>
      </c>
    </row>
    <row r="104" spans="1:33" x14ac:dyDescent="0.25">
      <c r="B104" s="2210"/>
      <c r="C104" s="2">
        <v>0</v>
      </c>
      <c r="D104" s="2"/>
      <c r="E104" s="2">
        <v>0</v>
      </c>
      <c r="G104" s="2">
        <v>0</v>
      </c>
      <c r="I104" s="161">
        <v>0</v>
      </c>
      <c r="K104" s="837">
        <v>0</v>
      </c>
      <c r="L104" s="837" t="s">
        <v>753</v>
      </c>
      <c r="M104" s="2">
        <v>0</v>
      </c>
      <c r="O104" s="2">
        <v>0</v>
      </c>
      <c r="Q104" s="837">
        <f>3162.99+500</f>
        <v>3662.99</v>
      </c>
      <c r="R104" s="837" t="s">
        <v>764</v>
      </c>
      <c r="S104" s="161">
        <v>0</v>
      </c>
      <c r="U104" s="2">
        <v>0</v>
      </c>
      <c r="W104" s="161">
        <v>0</v>
      </c>
      <c r="Y104" s="2">
        <v>0</v>
      </c>
      <c r="AA104" s="2">
        <v>0</v>
      </c>
      <c r="AD104" s="617"/>
      <c r="AE104" s="2213"/>
      <c r="AF104" s="535">
        <f>SUM(C104,E104,G104,I104,K104,M104,O104,Q104,S104,U104,W104,Y104,AA104)</f>
        <v>3662.99</v>
      </c>
      <c r="AG104" s="535" t="s">
        <v>134</v>
      </c>
    </row>
    <row r="105" spans="1:33" x14ac:dyDescent="0.25">
      <c r="B105" s="2210"/>
      <c r="C105" s="160">
        <f>SUM(C100:C104)</f>
        <v>445635.33146999998</v>
      </c>
      <c r="D105" s="2" t="s">
        <v>57</v>
      </c>
      <c r="E105" s="160">
        <f>SUM(E100:E104)</f>
        <v>5184.6000000000004</v>
      </c>
      <c r="G105" s="160">
        <f>SUM(G100:G104)</f>
        <v>8456.93</v>
      </c>
      <c r="I105" s="820">
        <f>SUM(I100:I104)</f>
        <v>19729.190000000002</v>
      </c>
      <c r="K105" s="160">
        <f>SUM(K100:K104)</f>
        <v>7969.78</v>
      </c>
      <c r="M105" s="160">
        <f>SUM(M100:M104)</f>
        <v>7012.63</v>
      </c>
      <c r="O105" s="160">
        <f>SUM(O100:O104)</f>
        <v>3864.15</v>
      </c>
      <c r="Q105" s="160">
        <f>SUM(Q100:Q104)</f>
        <v>15413.94</v>
      </c>
      <c r="S105" s="820">
        <f>SUM(S100:S104)</f>
        <v>23049.66</v>
      </c>
      <c r="U105" s="160">
        <f>SUM(U100:U104)</f>
        <v>10071.1</v>
      </c>
      <c r="W105" s="820">
        <f>SUM(W100:W104)</f>
        <v>9271.73</v>
      </c>
      <c r="Y105" s="160">
        <f>SUM(Y100:Y104)</f>
        <v>1392.0700000000002</v>
      </c>
      <c r="AA105" s="160">
        <f>SUM(AA100:AA104)</f>
        <v>17494.349999999999</v>
      </c>
      <c r="AD105" s="617"/>
      <c r="AE105" s="617" t="s">
        <v>702</v>
      </c>
      <c r="AF105" s="619">
        <f>SUM(AF100:AF104)</f>
        <v>574545.46146999998</v>
      </c>
      <c r="AG105" s="535"/>
    </row>
    <row r="106" spans="1:33" x14ac:dyDescent="0.25">
      <c r="C106" s="2"/>
      <c r="D106" s="2"/>
    </row>
    <row r="107" spans="1:33" x14ac:dyDescent="0.25">
      <c r="C107" s="2"/>
      <c r="D107" s="2"/>
    </row>
    <row r="108" spans="1:33" ht="28.5" customHeight="1" x14ac:dyDescent="0.25">
      <c r="A108" s="2210" t="s">
        <v>135</v>
      </c>
      <c r="B108" s="2210"/>
      <c r="C108" s="3">
        <f>C97-C105</f>
        <v>-56175.311469999957</v>
      </c>
      <c r="D108" s="2"/>
      <c r="E108" s="833">
        <f>E97-E105</f>
        <v>0</v>
      </c>
      <c r="F108" s="832"/>
      <c r="G108" s="297">
        <f>G97-G105</f>
        <v>-8509.1399999999921</v>
      </c>
      <c r="H108" s="832" t="s">
        <v>743</v>
      </c>
      <c r="I108" s="821">
        <f>I97-I105</f>
        <v>47288.040000000008</v>
      </c>
      <c r="J108" s="832" t="s">
        <v>743</v>
      </c>
      <c r="K108" s="3">
        <f>K97-K105</f>
        <v>7.9999999999990905</v>
      </c>
      <c r="L108" s="832"/>
      <c r="M108" s="3">
        <f>M97-M105</f>
        <v>1399.12</v>
      </c>
      <c r="N108" s="832" t="s">
        <v>743</v>
      </c>
      <c r="O108" s="3">
        <f>O97-O105</f>
        <v>3.9999999999940883</v>
      </c>
      <c r="P108" s="832"/>
      <c r="Q108" s="3">
        <f>Q97-Q105</f>
        <v>15919.000000000002</v>
      </c>
      <c r="R108" s="832" t="s">
        <v>743</v>
      </c>
      <c r="S108" s="384">
        <f>S97-S105</f>
        <v>21941.489999999994</v>
      </c>
      <c r="T108" s="832" t="s">
        <v>743</v>
      </c>
      <c r="U108" s="3">
        <f>U97-U105</f>
        <v>6857.1300000000028</v>
      </c>
      <c r="V108" s="832" t="s">
        <v>743</v>
      </c>
      <c r="W108" s="384">
        <f>W97-W105</f>
        <v>8493.0900000000074</v>
      </c>
      <c r="X108" s="832" t="s">
        <v>743</v>
      </c>
      <c r="Y108" s="3">
        <f>Y97-Y105</f>
        <v>1980.3499999999981</v>
      </c>
      <c r="Z108" s="832" t="s">
        <v>743</v>
      </c>
      <c r="AA108" s="3">
        <f>AA97-AA105</f>
        <v>5053.7200000000012</v>
      </c>
      <c r="AB108" s="832" t="s">
        <v>743</v>
      </c>
      <c r="AD108" s="2211" t="s">
        <v>135</v>
      </c>
      <c r="AE108" s="2211"/>
      <c r="AF108" s="620">
        <f>AF97-AF105</f>
        <v>44259.488529999508</v>
      </c>
      <c r="AG108" s="773">
        <f>SUM(C108,E108,G108,I108,K108,M108,O108,Q108,S108,U108,W108,Y108,AA108)</f>
        <v>44259.488530000053</v>
      </c>
    </row>
    <row r="109" spans="1:33" ht="10.5" customHeight="1" x14ac:dyDescent="0.25">
      <c r="A109" s="764"/>
      <c r="B109" s="764"/>
      <c r="D109" s="2"/>
      <c r="E109" s="297"/>
      <c r="F109" s="108"/>
      <c r="G109" s="297"/>
      <c r="H109" s="108"/>
      <c r="I109" s="821"/>
      <c r="J109" s="108"/>
      <c r="K109" s="3"/>
      <c r="M109" s="3"/>
      <c r="O109" s="3"/>
      <c r="Q109" s="3"/>
      <c r="S109" s="384"/>
      <c r="U109" s="3"/>
      <c r="W109" s="384"/>
      <c r="Y109" s="3"/>
      <c r="AA109" s="3"/>
      <c r="AD109" s="765"/>
      <c r="AE109" s="765"/>
      <c r="AF109" s="620"/>
      <c r="AG109" s="773">
        <f>AF108-AG108</f>
        <v>-5.4569682106375694E-10</v>
      </c>
    </row>
    <row r="110" spans="1:33" s="108" customFormat="1" x14ac:dyDescent="0.25">
      <c r="A110" s="298"/>
      <c r="B110" s="298"/>
      <c r="C110" s="297"/>
      <c r="D110" s="299"/>
      <c r="E110" s="297">
        <v>0</v>
      </c>
      <c r="G110" s="297">
        <v>1490.86</v>
      </c>
      <c r="H110" s="108" t="s">
        <v>25</v>
      </c>
      <c r="I110" s="390">
        <v>25241</v>
      </c>
      <c r="J110" s="108" t="s">
        <v>25</v>
      </c>
      <c r="K110" s="297"/>
      <c r="M110" s="390">
        <v>584.55999999999995</v>
      </c>
      <c r="N110" s="108" t="s">
        <v>25</v>
      </c>
      <c r="O110" s="390">
        <v>0</v>
      </c>
      <c r="P110" s="108" t="s">
        <v>25</v>
      </c>
      <c r="Q110" s="297">
        <v>7721.11</v>
      </c>
      <c r="R110" s="108" t="s">
        <v>744</v>
      </c>
      <c r="S110" s="840">
        <v>12502.24</v>
      </c>
      <c r="T110" s="108" t="s">
        <v>25</v>
      </c>
      <c r="U110" s="840">
        <v>2915.06</v>
      </c>
      <c r="V110" s="108" t="s">
        <v>25</v>
      </c>
      <c r="W110" s="840">
        <v>5105.3100000000004</v>
      </c>
      <c r="X110" s="108" t="s">
        <v>25</v>
      </c>
      <c r="Y110" s="840">
        <v>128.09</v>
      </c>
      <c r="Z110" s="108" t="s">
        <v>25</v>
      </c>
      <c r="AA110" s="840">
        <v>1760.35</v>
      </c>
      <c r="AB110" s="108" t="s">
        <v>25</v>
      </c>
      <c r="AD110" s="621"/>
      <c r="AE110" s="774" t="s">
        <v>716</v>
      </c>
      <c r="AF110" s="775">
        <f>SUM(E108:AA108)</f>
        <v>100434.80000000002</v>
      </c>
    </row>
    <row r="111" spans="1:33" x14ac:dyDescent="0.25">
      <c r="A111" s="296"/>
      <c r="B111" s="296"/>
      <c r="C111" s="2"/>
      <c r="D111" s="2"/>
      <c r="E111" s="2">
        <v>0</v>
      </c>
      <c r="G111" s="2">
        <v>0</v>
      </c>
      <c r="I111" s="390">
        <v>22047.040000000001</v>
      </c>
      <c r="J111" s="2" t="s">
        <v>751</v>
      </c>
      <c r="M111" s="390">
        <v>814.56</v>
      </c>
      <c r="N111" s="2" t="s">
        <v>751</v>
      </c>
      <c r="O111" s="390">
        <v>0</v>
      </c>
      <c r="P111" s="2" t="s">
        <v>751</v>
      </c>
      <c r="Q111" s="2">
        <v>8197.89</v>
      </c>
      <c r="R111" s="2" t="s">
        <v>765</v>
      </c>
      <c r="S111" s="390">
        <v>9439.25</v>
      </c>
      <c r="T111" s="2" t="s">
        <v>770</v>
      </c>
      <c r="U111" s="390">
        <v>3942.07</v>
      </c>
      <c r="V111" s="2" t="s">
        <v>770</v>
      </c>
      <c r="W111" s="390">
        <v>3387.78</v>
      </c>
      <c r="X111" s="2" t="s">
        <v>770</v>
      </c>
      <c r="Y111" s="390">
        <v>1852.26</v>
      </c>
      <c r="Z111" s="2" t="s">
        <v>770</v>
      </c>
      <c r="AA111" s="390">
        <v>3293.37</v>
      </c>
      <c r="AB111" s="2" t="s">
        <v>770</v>
      </c>
      <c r="AD111" s="622"/>
      <c r="AE111" s="776" t="s">
        <v>57</v>
      </c>
      <c r="AF111" s="777">
        <f>+C108</f>
        <v>-56175.311469999957</v>
      </c>
      <c r="AG111" s="2">
        <f>+AF110+AF111</f>
        <v>44259.488530000061</v>
      </c>
    </row>
    <row r="112" spans="1:33" x14ac:dyDescent="0.25">
      <c r="A112" s="822"/>
      <c r="B112" s="822"/>
      <c r="C112" s="2"/>
      <c r="D112" s="2"/>
      <c r="E112" s="112">
        <f>+E110+E111</f>
        <v>0</v>
      </c>
      <c r="G112" s="112">
        <f>+G110+G111</f>
        <v>1490.86</v>
      </c>
      <c r="I112" s="834">
        <f>+I110+I111</f>
        <v>47288.04</v>
      </c>
      <c r="M112" s="834">
        <f>+M110+M111</f>
        <v>1399.12</v>
      </c>
      <c r="O112" s="834">
        <f>+O110+O111</f>
        <v>0</v>
      </c>
      <c r="Q112" s="112">
        <f>+Q110+Q111</f>
        <v>15919</v>
      </c>
      <c r="S112" s="112">
        <f>+S110+S111</f>
        <v>21941.489999999998</v>
      </c>
      <c r="U112" s="112">
        <f>+U110+U111</f>
        <v>6857.13</v>
      </c>
      <c r="W112" s="112">
        <f>+W110+W111</f>
        <v>8493.09</v>
      </c>
      <c r="Y112" s="112">
        <f>+Y110+Y111</f>
        <v>1980.35</v>
      </c>
      <c r="AA112" s="112">
        <f>+AA110+AA111</f>
        <v>5053.7199999999993</v>
      </c>
      <c r="AD112" s="823"/>
      <c r="AE112" s="826"/>
      <c r="AF112" s="827"/>
    </row>
    <row r="113" spans="1:32" x14ac:dyDescent="0.25">
      <c r="A113" s="822"/>
      <c r="B113" s="822"/>
      <c r="C113" s="2"/>
      <c r="D113" s="2"/>
      <c r="Q113" s="2">
        <f>+Q108-Q112</f>
        <v>0</v>
      </c>
      <c r="S113" s="2">
        <f>+S108-S112</f>
        <v>0</v>
      </c>
      <c r="U113" s="2">
        <f>+U108-U112</f>
        <v>0</v>
      </c>
      <c r="W113" s="2">
        <f>+W108-W112</f>
        <v>0</v>
      </c>
      <c r="Y113" s="2">
        <f>+Y108-Y112</f>
        <v>-1.8189894035458565E-12</v>
      </c>
      <c r="AA113" s="2">
        <f>+AA108-AA112</f>
        <v>0</v>
      </c>
      <c r="AD113" s="823"/>
      <c r="AE113" s="826"/>
      <c r="AF113" s="144">
        <f>+AF110+AF111</f>
        <v>44259.488530000061</v>
      </c>
    </row>
    <row r="114" spans="1:32" s="107" customFormat="1" x14ac:dyDescent="0.25">
      <c r="A114" s="828"/>
      <c r="B114" s="828"/>
      <c r="I114" s="817"/>
      <c r="S114" s="817"/>
      <c r="W114" s="817"/>
      <c r="AC114" s="294"/>
      <c r="AD114" s="829"/>
      <c r="AE114" s="829"/>
      <c r="AF114" s="830"/>
    </row>
    <row r="115" spans="1:32" x14ac:dyDescent="0.25">
      <c r="A115" s="822"/>
      <c r="B115" s="822"/>
      <c r="C115" s="2"/>
      <c r="D115" s="2"/>
      <c r="AD115" s="823"/>
      <c r="AE115" s="826"/>
      <c r="AF115" s="827"/>
    </row>
    <row r="116" spans="1:32" x14ac:dyDescent="0.25">
      <c r="A116" s="822"/>
      <c r="B116" s="822"/>
      <c r="C116" s="2"/>
      <c r="D116" s="2"/>
      <c r="G116" s="831" t="s">
        <v>191</v>
      </c>
      <c r="K116" s="831" t="s">
        <v>191</v>
      </c>
      <c r="O116" s="831" t="s">
        <v>191</v>
      </c>
      <c r="Q116" s="831" t="s">
        <v>191</v>
      </c>
      <c r="AD116" s="823"/>
      <c r="AE116" s="826"/>
      <c r="AF116" s="827"/>
    </row>
    <row r="117" spans="1:32" x14ac:dyDescent="0.25">
      <c r="A117" s="822"/>
      <c r="B117" s="822"/>
      <c r="C117" s="2"/>
      <c r="D117" s="2"/>
      <c r="G117" s="2">
        <v>39000</v>
      </c>
      <c r="H117" s="2" t="s">
        <v>183</v>
      </c>
      <c r="K117" s="2">
        <v>39000</v>
      </c>
      <c r="L117" s="2" t="s">
        <v>183</v>
      </c>
      <c r="O117" s="2">
        <v>39000</v>
      </c>
      <c r="P117" s="2" t="s">
        <v>183</v>
      </c>
      <c r="Q117" s="2">
        <v>39000</v>
      </c>
      <c r="R117" s="2" t="s">
        <v>183</v>
      </c>
      <c r="AD117" s="823"/>
      <c r="AE117" s="826"/>
      <c r="AF117" s="827"/>
    </row>
    <row r="118" spans="1:32" x14ac:dyDescent="0.25">
      <c r="A118" s="822"/>
      <c r="B118" s="822"/>
      <c r="C118" s="2"/>
      <c r="D118" s="2"/>
      <c r="AD118" s="823"/>
      <c r="AE118" s="826"/>
      <c r="AF118" s="827"/>
    </row>
    <row r="119" spans="1:32" x14ac:dyDescent="0.25">
      <c r="A119" s="822"/>
      <c r="B119" s="822"/>
      <c r="C119" s="2"/>
      <c r="D119" s="2"/>
      <c r="G119" s="10" t="str">
        <f>"Actuals/Encumb. as of "&amp;TEXT($C$17,"mm/dd/yyyy")</f>
        <v>Actuals/Encumb. as of 04/23/2017</v>
      </c>
      <c r="K119" s="10" t="str">
        <f>"Actuals/Encumb. as of "&amp;TEXT($C$17,"mm/dd/yyyy")</f>
        <v>Actuals/Encumb. as of 04/23/2017</v>
      </c>
      <c r="O119" s="10" t="str">
        <f>"Actuals/Encumb. as of "&amp;TEXT($C$17,"mm/dd/yyyy")</f>
        <v>Actuals/Encumb. as of 04/23/2017</v>
      </c>
      <c r="Q119" s="10" t="str">
        <f>"Actuals/Encumb. as of "&amp;TEXT($C$17,"mm/dd/yyyy")</f>
        <v>Actuals/Encumb. as of 04/23/2017</v>
      </c>
      <c r="AD119" s="823"/>
      <c r="AE119" s="826"/>
      <c r="AF119" s="827"/>
    </row>
    <row r="120" spans="1:32" x14ac:dyDescent="0.25">
      <c r="A120" s="822"/>
      <c r="B120" s="822"/>
      <c r="C120" s="2"/>
      <c r="D120" s="2"/>
      <c r="G120" s="2">
        <v>4296.8500000000004</v>
      </c>
      <c r="H120" s="2" t="s">
        <v>543</v>
      </c>
      <c r="K120" s="2">
        <v>2712.18</v>
      </c>
      <c r="L120" s="2" t="s">
        <v>543</v>
      </c>
      <c r="O120" s="2">
        <v>0</v>
      </c>
      <c r="P120" s="2" t="s">
        <v>543</v>
      </c>
      <c r="Q120" s="2">
        <v>162.53</v>
      </c>
      <c r="R120" s="2" t="s">
        <v>543</v>
      </c>
      <c r="AD120" s="823"/>
      <c r="AE120" s="826"/>
      <c r="AF120" s="827"/>
    </row>
    <row r="121" spans="1:32" x14ac:dyDescent="0.25">
      <c r="A121" s="822"/>
      <c r="B121" s="822"/>
      <c r="C121" s="2"/>
      <c r="D121" s="2"/>
      <c r="G121" s="2">
        <v>81.89</v>
      </c>
      <c r="H121" s="2" t="s">
        <v>35</v>
      </c>
      <c r="K121" s="2">
        <v>0</v>
      </c>
      <c r="L121" s="2" t="s">
        <v>35</v>
      </c>
      <c r="O121" s="2">
        <v>0</v>
      </c>
      <c r="P121" s="2" t="s">
        <v>35</v>
      </c>
      <c r="Q121" s="2">
        <v>0</v>
      </c>
      <c r="R121" s="2" t="s">
        <v>35</v>
      </c>
      <c r="AD121" s="823"/>
      <c r="AE121" s="826"/>
      <c r="AF121" s="827"/>
    </row>
    <row r="122" spans="1:32" x14ac:dyDescent="0.25">
      <c r="A122" s="822"/>
      <c r="B122" s="822"/>
      <c r="C122" s="2"/>
      <c r="D122" s="2"/>
      <c r="G122" s="2">
        <v>670.91</v>
      </c>
      <c r="H122" s="2" t="s">
        <v>27</v>
      </c>
      <c r="K122" s="2">
        <v>411.72</v>
      </c>
      <c r="L122" s="2" t="s">
        <v>27</v>
      </c>
      <c r="O122" s="2">
        <v>36973.58</v>
      </c>
      <c r="P122" s="2" t="s">
        <v>748</v>
      </c>
      <c r="Q122" s="2">
        <v>24.68</v>
      </c>
      <c r="R122" s="2" t="s">
        <v>27</v>
      </c>
      <c r="AD122" s="823"/>
      <c r="AE122" s="826"/>
      <c r="AF122" s="827"/>
    </row>
    <row r="123" spans="1:32" x14ac:dyDescent="0.25">
      <c r="A123" s="822"/>
      <c r="B123" s="822"/>
      <c r="C123" s="2"/>
      <c r="D123" s="2"/>
      <c r="G123" s="2">
        <v>29294.13</v>
      </c>
      <c r="H123" s="2" t="s">
        <v>748</v>
      </c>
      <c r="K123" s="2">
        <v>30195.96</v>
      </c>
      <c r="L123" s="2" t="s">
        <v>748</v>
      </c>
      <c r="O123" s="2">
        <v>483.19</v>
      </c>
      <c r="P123" s="2" t="s">
        <v>4</v>
      </c>
      <c r="Q123" s="2">
        <f>22845.31+9038.7</f>
        <v>31884.010000000002</v>
      </c>
      <c r="R123" s="2" t="s">
        <v>748</v>
      </c>
      <c r="AD123" s="823"/>
      <c r="AE123" s="826"/>
      <c r="AF123" s="827"/>
    </row>
    <row r="124" spans="1:32" x14ac:dyDescent="0.25">
      <c r="A124" s="822"/>
      <c r="B124" s="822"/>
      <c r="C124" s="2"/>
      <c r="D124" s="2"/>
      <c r="G124" s="112">
        <f>SUM(G120:G123)</f>
        <v>34343.78</v>
      </c>
      <c r="K124" s="112">
        <f>SUM(K120:K123)</f>
        <v>33319.86</v>
      </c>
      <c r="O124" s="112">
        <f>SUM(O120:O123)</f>
        <v>37456.770000000004</v>
      </c>
      <c r="Q124" s="112">
        <f>SUM(Q120:Q123)</f>
        <v>32071.22</v>
      </c>
      <c r="AD124" s="823"/>
      <c r="AE124" s="826"/>
      <c r="AF124" s="827"/>
    </row>
    <row r="125" spans="1:32" x14ac:dyDescent="0.25">
      <c r="A125" s="822"/>
      <c r="B125" s="822"/>
      <c r="C125" s="2"/>
      <c r="D125" s="2"/>
      <c r="AD125" s="823"/>
      <c r="AE125" s="826"/>
      <c r="AF125" s="827"/>
    </row>
    <row r="126" spans="1:32" x14ac:dyDescent="0.25">
      <c r="A126" s="822"/>
      <c r="B126" s="822"/>
      <c r="C126" s="2"/>
      <c r="D126" s="2"/>
      <c r="G126" s="837">
        <f>+G117-G124</f>
        <v>4656.2200000000012</v>
      </c>
      <c r="H126" s="837" t="s">
        <v>759</v>
      </c>
      <c r="K126" s="837">
        <f>+K117-K124</f>
        <v>5680.1399999999994</v>
      </c>
      <c r="L126" s="837" t="s">
        <v>759</v>
      </c>
      <c r="O126" s="837">
        <f>+O117-O124</f>
        <v>1543.2299999999959</v>
      </c>
      <c r="P126" s="837" t="s">
        <v>759</v>
      </c>
      <c r="Q126" s="837">
        <f>+Q117-Q124</f>
        <v>6928.7799999999988</v>
      </c>
      <c r="R126" s="837" t="s">
        <v>766</v>
      </c>
      <c r="AD126" s="823"/>
      <c r="AE126" s="826"/>
      <c r="AF126" s="827"/>
    </row>
    <row r="127" spans="1:32" x14ac:dyDescent="0.25">
      <c r="A127" s="822"/>
      <c r="B127" s="822"/>
      <c r="C127" s="2"/>
      <c r="D127" s="2"/>
      <c r="G127" s="2">
        <f>+G126-G103-G104</f>
        <v>9.0949470177292824E-13</v>
      </c>
      <c r="K127" s="2">
        <f>+K126-K103-K104</f>
        <v>0</v>
      </c>
      <c r="O127" s="2">
        <f>+O126-O100-O101</f>
        <v>107.22999999999593</v>
      </c>
      <c r="P127" s="835" t="s">
        <v>754</v>
      </c>
      <c r="Q127" s="2">
        <f>+Q126-Q103-Q104</f>
        <v>0</v>
      </c>
      <c r="AD127" s="823"/>
      <c r="AE127" s="826"/>
      <c r="AF127" s="827"/>
    </row>
    <row r="128" spans="1:32" x14ac:dyDescent="0.25">
      <c r="A128" s="822"/>
      <c r="B128" s="822"/>
      <c r="C128" s="2"/>
      <c r="D128" s="2"/>
      <c r="AD128" s="823"/>
      <c r="AE128" s="826"/>
      <c r="AF128" s="827"/>
    </row>
    <row r="129" spans="1:32" s="107" customFormat="1" x14ac:dyDescent="0.25">
      <c r="A129" s="828"/>
      <c r="B129" s="828"/>
      <c r="I129" s="817"/>
      <c r="S129" s="817"/>
      <c r="W129" s="817"/>
      <c r="AC129" s="294"/>
      <c r="AD129" s="829"/>
      <c r="AE129" s="829"/>
      <c r="AF129" s="830"/>
    </row>
    <row r="130" spans="1:32" x14ac:dyDescent="0.25">
      <c r="A130" s="822"/>
      <c r="B130" s="822"/>
      <c r="C130" s="2"/>
      <c r="D130" s="2"/>
      <c r="AD130" s="823"/>
      <c r="AE130" s="826"/>
      <c r="AF130" s="827"/>
    </row>
    <row r="131" spans="1:32" ht="17.25" x14ac:dyDescent="0.4">
      <c r="C131" s="300" t="str">
        <f>+C19</f>
        <v>200 - DO</v>
      </c>
      <c r="D131" s="2"/>
      <c r="G131" s="300" t="str">
        <f>+G19</f>
        <v>020 - SH</v>
      </c>
      <c r="H131" s="2" t="s">
        <v>197</v>
      </c>
      <c r="K131" s="300" t="str">
        <f>+K19</f>
        <v>040 - ST</v>
      </c>
      <c r="L131" s="2" t="s">
        <v>194</v>
      </c>
      <c r="M131" s="301"/>
      <c r="N131" s="36"/>
      <c r="O131" s="300" t="str">
        <f>+O19</f>
        <v>060 - SY</v>
      </c>
      <c r="P131" s="2" t="s">
        <v>195</v>
      </c>
      <c r="Q131" s="300" t="str">
        <f>+Q19</f>
        <v>070 - WO</v>
      </c>
      <c r="R131" s="2" t="s">
        <v>196</v>
      </c>
      <c r="AD131" s="615"/>
      <c r="AE131" s="616"/>
    </row>
    <row r="132" spans="1:32" x14ac:dyDescent="0.25">
      <c r="C132" s="2">
        <v>10000</v>
      </c>
      <c r="D132" s="30" t="s">
        <v>203</v>
      </c>
      <c r="G132" s="10" t="s">
        <v>191</v>
      </c>
      <c r="K132" s="10" t="s">
        <v>191</v>
      </c>
      <c r="M132" s="6"/>
      <c r="N132" s="36"/>
      <c r="O132" s="10" t="s">
        <v>191</v>
      </c>
      <c r="Q132" s="10" t="s">
        <v>191</v>
      </c>
      <c r="AE132" s="10"/>
    </row>
    <row r="133" spans="1:32" x14ac:dyDescent="0.25">
      <c r="C133" s="108">
        <f>ROUND(+C132*(LEFT('MYP Assumptions'!$D$55,6)),0)</f>
        <v>1258</v>
      </c>
      <c r="D133" s="108" t="s">
        <v>76</v>
      </c>
      <c r="G133" s="2">
        <v>39000</v>
      </c>
      <c r="H133" s="2" t="s">
        <v>183</v>
      </c>
      <c r="K133" s="2">
        <v>39000</v>
      </c>
      <c r="L133" s="2" t="s">
        <v>183</v>
      </c>
      <c r="M133" s="36"/>
      <c r="N133" s="36"/>
      <c r="O133" s="2">
        <v>39000</v>
      </c>
      <c r="P133" s="2" t="s">
        <v>183</v>
      </c>
      <c r="Q133" s="2">
        <v>39000</v>
      </c>
      <c r="R133" s="2" t="s">
        <v>183</v>
      </c>
      <c r="AE133" s="10"/>
    </row>
    <row r="134" spans="1:32" x14ac:dyDescent="0.25">
      <c r="C134" s="108">
        <f>ROUND(+C132*(LEFT('MYP Assumptions'!$D$58,6)),0)</f>
        <v>145</v>
      </c>
      <c r="D134" s="108" t="s">
        <v>79</v>
      </c>
      <c r="M134" s="36"/>
      <c r="N134" s="36"/>
      <c r="AE134" s="10"/>
    </row>
    <row r="135" spans="1:32" x14ac:dyDescent="0.25">
      <c r="C135" s="108">
        <f>ROUND(+C132*(LEFT('MYP Assumptions'!$D$59,6)),0)</f>
        <v>5</v>
      </c>
      <c r="D135" s="108" t="s">
        <v>81</v>
      </c>
      <c r="G135" s="2">
        <v>20000</v>
      </c>
      <c r="H135" s="2" t="s">
        <v>184</v>
      </c>
      <c r="K135" s="2">
        <v>25000</v>
      </c>
      <c r="L135" s="2" t="s">
        <v>184</v>
      </c>
      <c r="M135" s="36"/>
      <c r="N135" s="36"/>
      <c r="O135" s="2">
        <v>30000</v>
      </c>
      <c r="P135" s="2" t="s">
        <v>184</v>
      </c>
      <c r="Q135" s="2">
        <v>19272</v>
      </c>
      <c r="R135" s="2" t="s">
        <v>184</v>
      </c>
      <c r="AE135" s="10"/>
    </row>
    <row r="136" spans="1:32" x14ac:dyDescent="0.25">
      <c r="C136" s="108">
        <f>+C132*(LEFT('MYP Assumptions'!$D$60,5))</f>
        <v>110</v>
      </c>
      <c r="D136" s="108" t="s">
        <v>82</v>
      </c>
      <c r="G136" s="2">
        <v>3500</v>
      </c>
      <c r="H136" s="2" t="s">
        <v>185</v>
      </c>
      <c r="K136" s="2">
        <v>4794</v>
      </c>
      <c r="L136" s="2" t="s">
        <v>185</v>
      </c>
      <c r="M136" s="36"/>
      <c r="N136" s="36"/>
      <c r="O136" s="2">
        <v>4397</v>
      </c>
      <c r="P136" s="2" t="s">
        <v>185</v>
      </c>
      <c r="Q136" s="2">
        <v>3147</v>
      </c>
      <c r="R136" s="2" t="s">
        <v>185</v>
      </c>
      <c r="AE136" s="10"/>
    </row>
    <row r="137" spans="1:32" x14ac:dyDescent="0.25">
      <c r="C137" s="112">
        <f>SUM(C132:C136)</f>
        <v>11518</v>
      </c>
      <c r="D137" s="2"/>
      <c r="M137" s="36"/>
      <c r="N137" s="36"/>
      <c r="AE137" s="10"/>
    </row>
    <row r="138" spans="1:32" x14ac:dyDescent="0.25">
      <c r="C138" s="2"/>
      <c r="D138" s="2"/>
      <c r="G138" s="2">
        <v>10000</v>
      </c>
      <c r="H138" s="2" t="s">
        <v>192</v>
      </c>
      <c r="K138" s="2">
        <v>8000</v>
      </c>
      <c r="L138" s="2" t="s">
        <v>193</v>
      </c>
      <c r="M138" s="36"/>
      <c r="N138" s="36"/>
      <c r="O138" s="2">
        <v>4000</v>
      </c>
      <c r="P138" s="2" t="s">
        <v>193</v>
      </c>
      <c r="Q138" s="2">
        <v>3000</v>
      </c>
      <c r="R138" s="2" t="s">
        <v>198</v>
      </c>
      <c r="AE138" s="10"/>
    </row>
    <row r="139" spans="1:32" x14ac:dyDescent="0.25">
      <c r="C139" s="2"/>
      <c r="D139" s="2"/>
      <c r="G139" s="108">
        <f>ROUND(+G138*(LEFT('MYP Assumptions'!$D$55,6)),0)</f>
        <v>1258</v>
      </c>
      <c r="H139" s="108" t="s">
        <v>76</v>
      </c>
      <c r="K139" s="108">
        <f>ROUND(+K138*(LEFT('MYP Assumptions'!$D$55,6)),0)</f>
        <v>1006</v>
      </c>
      <c r="L139" s="2" t="s">
        <v>76</v>
      </c>
      <c r="M139" s="36"/>
      <c r="N139" s="36"/>
      <c r="O139" s="108">
        <f>ROUND(+O138*(LEFT('MYP Assumptions'!$D$55,6)),0)</f>
        <v>503</v>
      </c>
      <c r="P139" s="2" t="s">
        <v>76</v>
      </c>
      <c r="Q139" s="108">
        <f>ROUND(+Q138*(LEFT('MYP Assumptions'!$D$55,6)),0)</f>
        <v>377</v>
      </c>
      <c r="R139" s="2" t="s">
        <v>76</v>
      </c>
    </row>
    <row r="140" spans="1:32" x14ac:dyDescent="0.25">
      <c r="C140" s="2"/>
      <c r="D140" s="2"/>
      <c r="G140" s="108">
        <f>ROUND(+G138*(LEFT('MYP Assumptions'!$D$58,6)),0)</f>
        <v>145</v>
      </c>
      <c r="H140" s="108" t="s">
        <v>79</v>
      </c>
      <c r="K140" s="108">
        <f>ROUND(+K138*(LEFT('MYP Assumptions'!$D$58,6)),0)</f>
        <v>116</v>
      </c>
      <c r="L140" s="2" t="s">
        <v>79</v>
      </c>
      <c r="M140" s="36"/>
      <c r="N140" s="36"/>
      <c r="O140" s="108">
        <f>ROUND(+O138*(LEFT('MYP Assumptions'!$D$58,6)),0)</f>
        <v>58</v>
      </c>
      <c r="P140" s="2" t="s">
        <v>79</v>
      </c>
      <c r="Q140" s="108">
        <f>ROUND(+Q138*(LEFT('MYP Assumptions'!$D$58,6)),0)</f>
        <v>44</v>
      </c>
      <c r="R140" s="2" t="s">
        <v>79</v>
      </c>
    </row>
    <row r="141" spans="1:32" x14ac:dyDescent="0.25">
      <c r="C141" s="2"/>
      <c r="D141" s="2"/>
      <c r="G141" s="108">
        <f>ROUND(+G138*(LEFT('MYP Assumptions'!$D$59,6)),0)</f>
        <v>5</v>
      </c>
      <c r="H141" s="108" t="s">
        <v>81</v>
      </c>
      <c r="K141" s="108">
        <f>ROUND(+K138*(LEFT('MYP Assumptions'!$D$59,6)),0)</f>
        <v>4</v>
      </c>
      <c r="L141" s="2" t="s">
        <v>81</v>
      </c>
      <c r="M141" s="36"/>
      <c r="N141" s="36"/>
      <c r="O141" s="108">
        <f>ROUND(+O138*(LEFT('MYP Assumptions'!$D$59,6)),0)</f>
        <v>2</v>
      </c>
      <c r="P141" s="2" t="s">
        <v>81</v>
      </c>
      <c r="Q141" s="108">
        <f>ROUND(+Q138*(LEFT('MYP Assumptions'!$D$59,6)),0)</f>
        <v>2</v>
      </c>
      <c r="R141" s="2" t="s">
        <v>81</v>
      </c>
    </row>
    <row r="142" spans="1:32" x14ac:dyDescent="0.25">
      <c r="C142" s="2"/>
      <c r="D142" s="2"/>
      <c r="G142" s="108">
        <f>+G138*(LEFT('MYP Assumptions'!$D$60,5))</f>
        <v>110</v>
      </c>
      <c r="H142" s="108" t="s">
        <v>82</v>
      </c>
      <c r="K142" s="108">
        <f>+K138*(LEFT('MYP Assumptions'!$D$60,5))</f>
        <v>88</v>
      </c>
      <c r="L142" s="2" t="s">
        <v>82</v>
      </c>
      <c r="M142" s="36"/>
      <c r="N142" s="36"/>
      <c r="O142" s="108">
        <f>+O138*(LEFT('MYP Assumptions'!$D$60,5))</f>
        <v>44</v>
      </c>
      <c r="P142" s="2" t="s">
        <v>82</v>
      </c>
      <c r="Q142" s="108">
        <f>+Q138*(LEFT('MYP Assumptions'!$D$60,5))</f>
        <v>33</v>
      </c>
      <c r="R142" s="2" t="s">
        <v>82</v>
      </c>
    </row>
    <row r="143" spans="1:32" x14ac:dyDescent="0.25">
      <c r="M143" s="36"/>
      <c r="N143" s="36"/>
      <c r="Q143" s="2">
        <v>3000</v>
      </c>
      <c r="R143" s="2" t="s">
        <v>186</v>
      </c>
    </row>
    <row r="144" spans="1:32" x14ac:dyDescent="0.25">
      <c r="G144" s="2">
        <v>2000</v>
      </c>
      <c r="H144" s="2" t="s">
        <v>199</v>
      </c>
      <c r="K144" s="2">
        <v>0</v>
      </c>
      <c r="L144" s="2" t="s">
        <v>200</v>
      </c>
      <c r="M144" s="36"/>
      <c r="N144" s="36"/>
      <c r="O144" s="2">
        <v>0</v>
      </c>
      <c r="P144" s="2" t="s">
        <v>200</v>
      </c>
      <c r="Q144" s="2">
        <v>0</v>
      </c>
      <c r="R144" s="2" t="s">
        <v>200</v>
      </c>
    </row>
    <row r="145" spans="7:18" x14ac:dyDescent="0.25">
      <c r="G145" s="108">
        <f>ROUND(+G144*(LEFT('MYP Assumptions'!$D$56,6)),0)</f>
        <v>278</v>
      </c>
      <c r="H145" s="2" t="s">
        <v>77</v>
      </c>
      <c r="K145" s="108">
        <f>ROUND(+K144*(LEFT('MYP Assumptions'!$D$56,6)),0)</f>
        <v>0</v>
      </c>
      <c r="L145" s="2" t="s">
        <v>77</v>
      </c>
      <c r="M145" s="36"/>
      <c r="N145" s="36"/>
      <c r="O145" s="108">
        <f>ROUND(+O144*(LEFT('MYP Assumptions'!$D$56,6)),0)</f>
        <v>0</v>
      </c>
      <c r="P145" s="2" t="s">
        <v>77</v>
      </c>
      <c r="Q145" s="108">
        <f>ROUND(+Q144*(LEFT('MYP Assumptions'!$D$56,6)),0)</f>
        <v>0</v>
      </c>
      <c r="R145" s="2" t="s">
        <v>77</v>
      </c>
    </row>
    <row r="146" spans="7:18" x14ac:dyDescent="0.25">
      <c r="G146" s="108">
        <f>ROUND(+G144*(LEFT('MYP Assumptions'!$D$57,6)),0)</f>
        <v>124</v>
      </c>
      <c r="H146" s="2" t="s">
        <v>78</v>
      </c>
      <c r="K146" s="108">
        <f>ROUND(+K144*(LEFT('MYP Assumptions'!$D$57,6)),0)</f>
        <v>0</v>
      </c>
      <c r="L146" s="2" t="s">
        <v>78</v>
      </c>
      <c r="M146" s="36"/>
      <c r="N146" s="36"/>
      <c r="O146" s="108">
        <f>ROUND(+O144*(LEFT('MYP Assumptions'!$D$57,6)),0)</f>
        <v>0</v>
      </c>
      <c r="P146" s="2" t="s">
        <v>78</v>
      </c>
      <c r="Q146" s="108">
        <f>ROUND(+Q144*(LEFT('MYP Assumptions'!$D$57,6)),0)</f>
        <v>0</v>
      </c>
      <c r="R146" s="2" t="s">
        <v>78</v>
      </c>
    </row>
    <row r="147" spans="7:18" x14ac:dyDescent="0.25">
      <c r="G147" s="108">
        <f>ROUND(+G144*(LEFT('MYP Assumptions'!$D$58,6)),0)</f>
        <v>29</v>
      </c>
      <c r="H147" s="108" t="s">
        <v>79</v>
      </c>
      <c r="K147" s="108">
        <f>ROUND(+K144*(LEFT('MYP Assumptions'!$D$58,6)),0)</f>
        <v>0</v>
      </c>
      <c r="L147" s="108" t="s">
        <v>79</v>
      </c>
      <c r="M147" s="36"/>
      <c r="N147" s="36"/>
      <c r="O147" s="108">
        <f>ROUND(+O144*(LEFT('MYP Assumptions'!$D$58,6)),0)</f>
        <v>0</v>
      </c>
      <c r="P147" s="108" t="s">
        <v>79</v>
      </c>
      <c r="Q147" s="108">
        <f>ROUND(+Q144*(LEFT('MYP Assumptions'!$D$58,6)),0)</f>
        <v>0</v>
      </c>
      <c r="R147" s="108" t="s">
        <v>79</v>
      </c>
    </row>
    <row r="148" spans="7:18" x14ac:dyDescent="0.25">
      <c r="G148" s="108">
        <f>ROUND(+G144*(LEFT('MYP Assumptions'!$D$59,6)),0)</f>
        <v>1</v>
      </c>
      <c r="H148" s="108" t="s">
        <v>81</v>
      </c>
      <c r="K148" s="108">
        <f>ROUND(+K144*(LEFT('MYP Assumptions'!$D$59,6)),0)</f>
        <v>0</v>
      </c>
      <c r="L148" s="108" t="s">
        <v>81</v>
      </c>
      <c r="M148" s="36"/>
      <c r="N148" s="36"/>
      <c r="O148" s="108">
        <f>ROUND(+O144*(LEFT('MYP Assumptions'!$D$59,6)),0)</f>
        <v>0</v>
      </c>
      <c r="P148" s="108" t="s">
        <v>81</v>
      </c>
      <c r="Q148" s="108">
        <f>ROUND(+Q144*(LEFT('MYP Assumptions'!$D$59,6)),0)</f>
        <v>0</v>
      </c>
      <c r="R148" s="108" t="s">
        <v>81</v>
      </c>
    </row>
    <row r="149" spans="7:18" x14ac:dyDescent="0.25">
      <c r="G149" s="108">
        <f>+G144*(LEFT('MYP Assumptions'!$D$60,5))</f>
        <v>22</v>
      </c>
      <c r="H149" s="108" t="s">
        <v>82</v>
      </c>
      <c r="K149" s="108">
        <f>+K144*(LEFT('MYP Assumptions'!$D$60,5))</f>
        <v>0</v>
      </c>
      <c r="L149" s="108" t="s">
        <v>82</v>
      </c>
      <c r="M149" s="36"/>
      <c r="N149" s="36"/>
      <c r="O149" s="108">
        <f>+O144*(LEFT('MYP Assumptions'!$D$60,5))</f>
        <v>0</v>
      </c>
      <c r="P149" s="108" t="s">
        <v>82</v>
      </c>
      <c r="Q149" s="108">
        <f>+Q144*(LEFT('MYP Assumptions'!$D$60,5))</f>
        <v>0</v>
      </c>
      <c r="R149" s="108" t="s">
        <v>82</v>
      </c>
    </row>
    <row r="150" spans="7:18" x14ac:dyDescent="0.25">
      <c r="M150" s="36"/>
      <c r="N150" s="36"/>
    </row>
    <row r="151" spans="7:18" x14ac:dyDescent="0.25">
      <c r="G151" s="2">
        <v>1040</v>
      </c>
      <c r="H151" s="2" t="s">
        <v>190</v>
      </c>
      <c r="K151" s="2">
        <v>0</v>
      </c>
      <c r="L151" s="2" t="s">
        <v>190</v>
      </c>
      <c r="M151" s="36"/>
      <c r="N151" s="36"/>
      <c r="O151" s="2">
        <f>+M151</f>
        <v>0</v>
      </c>
      <c r="P151" s="2" t="s">
        <v>190</v>
      </c>
      <c r="Q151" s="2">
        <v>9628</v>
      </c>
      <c r="R151" s="2" t="s">
        <v>190</v>
      </c>
    </row>
    <row r="152" spans="7:18" x14ac:dyDescent="0.25">
      <c r="G152" s="2">
        <v>500</v>
      </c>
      <c r="H152" s="2" t="s">
        <v>189</v>
      </c>
      <c r="K152" s="2">
        <v>0</v>
      </c>
      <c r="L152" s="2" t="s">
        <v>189</v>
      </c>
      <c r="M152" s="36"/>
      <c r="N152" s="36"/>
      <c r="O152" s="2">
        <f>+M152</f>
        <v>0</v>
      </c>
      <c r="P152" s="2" t="s">
        <v>189</v>
      </c>
      <c r="Q152" s="2">
        <v>500</v>
      </c>
      <c r="R152" s="2" t="s">
        <v>189</v>
      </c>
    </row>
    <row r="153" spans="7:18" x14ac:dyDescent="0.25">
      <c r="G153" s="112">
        <f>SUM(G135:G152)</f>
        <v>39012</v>
      </c>
      <c r="K153" s="112">
        <f>SUM(K135:K152)</f>
        <v>39008</v>
      </c>
      <c r="M153" s="36"/>
      <c r="N153" s="36"/>
      <c r="O153" s="112">
        <f>SUM(O135:O152)</f>
        <v>39004</v>
      </c>
      <c r="Q153" s="112">
        <f>SUM(Q135:Q152)</f>
        <v>39003</v>
      </c>
    </row>
    <row r="154" spans="7:18" x14ac:dyDescent="0.25">
      <c r="M154" s="36"/>
      <c r="N154" s="36"/>
    </row>
    <row r="155" spans="7:18" x14ac:dyDescent="0.25">
      <c r="G155" s="2">
        <f>+G133-G153</f>
        <v>-12</v>
      </c>
      <c r="H155" s="2" t="s">
        <v>49</v>
      </c>
      <c r="K155" s="2">
        <f>+K133-K153</f>
        <v>-8</v>
      </c>
      <c r="L155" s="2" t="s">
        <v>49</v>
      </c>
      <c r="M155" s="36"/>
      <c r="N155" s="36"/>
      <c r="O155" s="2">
        <f>+O133-O153</f>
        <v>-4</v>
      </c>
      <c r="P155" s="2" t="s">
        <v>49</v>
      </c>
      <c r="Q155" s="2">
        <f>+Q133-Q153</f>
        <v>-3</v>
      </c>
      <c r="R155" s="2" t="s">
        <v>49</v>
      </c>
    </row>
  </sheetData>
  <mergeCells count="7">
    <mergeCell ref="A108:B108"/>
    <mergeCell ref="AD108:AE108"/>
    <mergeCell ref="H6:N6"/>
    <mergeCell ref="O6:U6"/>
    <mergeCell ref="V6:AB6"/>
    <mergeCell ref="B100:B105"/>
    <mergeCell ref="AE100:AE104"/>
  </mergeCells>
  <conditionalFormatting sqref="C108:E109 AH108:XFD109 G109:AF109 G108 I108 K108 M108 O108 Q108 S108 U108 W108 Y108 AA108 AC108:AF108">
    <cfRule type="cellIs" dxfId="27" priority="14" operator="greaterThan">
      <formula>1000</formula>
    </cfRule>
  </conditionalFormatting>
  <conditionalFormatting sqref="AF110:AF112 AF114:AF130">
    <cfRule type="cellIs" dxfId="26" priority="13" operator="greaterThan">
      <formula>1000</formula>
    </cfRule>
  </conditionalFormatting>
  <conditionalFormatting sqref="F108">
    <cfRule type="cellIs" dxfId="25" priority="12" operator="greaterThan">
      <formula>1000</formula>
    </cfRule>
  </conditionalFormatting>
  <conditionalFormatting sqref="H108">
    <cfRule type="cellIs" dxfId="24" priority="11" operator="greaterThan">
      <formula>1000</formula>
    </cfRule>
  </conditionalFormatting>
  <conditionalFormatting sqref="J108">
    <cfRule type="cellIs" dxfId="23" priority="10" operator="greaterThan">
      <formula>1000</formula>
    </cfRule>
  </conditionalFormatting>
  <conditionalFormatting sqref="L108">
    <cfRule type="cellIs" dxfId="22" priority="9" operator="greaterThan">
      <formula>1000</formula>
    </cfRule>
  </conditionalFormatting>
  <conditionalFormatting sqref="N108">
    <cfRule type="cellIs" dxfId="21" priority="8" operator="greaterThan">
      <formula>1000</formula>
    </cfRule>
  </conditionalFormatting>
  <conditionalFormatting sqref="P108">
    <cfRule type="cellIs" dxfId="20" priority="7" operator="greaterThan">
      <formula>1000</formula>
    </cfRule>
  </conditionalFormatting>
  <conditionalFormatting sqref="R108">
    <cfRule type="cellIs" dxfId="19" priority="6" operator="greaterThan">
      <formula>1000</formula>
    </cfRule>
  </conditionalFormatting>
  <conditionalFormatting sqref="T108">
    <cfRule type="cellIs" dxfId="18" priority="5" operator="greaterThan">
      <formula>1000</formula>
    </cfRule>
  </conditionalFormatting>
  <conditionalFormatting sqref="V108">
    <cfRule type="cellIs" dxfId="17" priority="4" operator="greaterThan">
      <formula>1000</formula>
    </cfRule>
  </conditionalFormatting>
  <conditionalFormatting sqref="X108">
    <cfRule type="cellIs" dxfId="16" priority="3" operator="greaterThan">
      <formula>1000</formula>
    </cfRule>
  </conditionalFormatting>
  <conditionalFormatting sqref="Z108">
    <cfRule type="cellIs" dxfId="15" priority="2" operator="greaterThan">
      <formula>1000</formula>
    </cfRule>
  </conditionalFormatting>
  <conditionalFormatting sqref="AB108">
    <cfRule type="cellIs" dxfId="14" priority="1" operator="greaterThan">
      <formula>1000</formula>
    </cfRule>
  </conditionalFormatting>
  <pageMargins left="0.25" right="0.25" top="0.25" bottom="0.25" header="0.25" footer="0.25"/>
  <pageSetup paperSize="5" scale="71" fitToWidth="4" orientation="landscape" cellComments="asDisplayed" r:id="rId1"/>
  <headerFooter>
    <oddHeader>&amp;R&amp;A</oddHeader>
    <oddFooter>&amp;L&amp;F&amp;CPage &amp;P of &amp;N&amp;R&amp;A</oddFooter>
  </headerFooter>
  <colBreaks count="4" manualBreakCount="4">
    <brk id="8" max="127" man="1"/>
    <brk id="16" max="127" man="1"/>
    <brk id="22" max="127" man="1"/>
    <brk id="28" max="127"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09"/>
  <sheetViews>
    <sheetView zoomScaleNormal="100" workbookViewId="0"/>
  </sheetViews>
  <sheetFormatPr defaultRowHeight="15" x14ac:dyDescent="0.25"/>
  <cols>
    <col min="1" max="1" width="8.5703125" style="20" customWidth="1"/>
    <col min="2" max="2" width="15.7109375" style="39" customWidth="1"/>
    <col min="3" max="3" width="16" style="44" customWidth="1"/>
    <col min="4" max="4" width="41.28515625" style="43" bestFit="1" customWidth="1"/>
    <col min="5" max="5" width="16" style="39" customWidth="1"/>
    <col min="6" max="6" width="10.5703125" style="39" bestFit="1" customWidth="1"/>
    <col min="7" max="7" width="16" style="39" customWidth="1"/>
    <col min="8" max="8" width="9.85546875" style="39" bestFit="1" customWidth="1"/>
    <col min="9" max="9" width="16" style="2" customWidth="1"/>
    <col min="10" max="10" width="7.7109375" style="39" bestFit="1" customWidth="1"/>
    <col min="11" max="11" width="16" style="39" customWidth="1"/>
    <col min="12" max="12" width="7.7109375" style="39" bestFit="1" customWidth="1"/>
    <col min="13" max="13" width="16" style="39" customWidth="1"/>
    <col min="14" max="14" width="7.7109375" style="39" bestFit="1" customWidth="1"/>
    <col min="15" max="15" width="16" style="39" customWidth="1"/>
    <col min="16" max="16" width="10.5703125" style="39" bestFit="1" customWidth="1"/>
    <col min="17" max="17" width="16" style="39" customWidth="1"/>
    <col min="18" max="18" width="9.85546875" style="39" bestFit="1" customWidth="1"/>
    <col min="19" max="19" width="16" style="39" customWidth="1"/>
    <col min="20" max="20" width="7.7109375" style="39" bestFit="1" customWidth="1"/>
    <col min="21" max="21" width="16" style="39" customWidth="1"/>
    <col min="22" max="22" width="7.7109375" style="39" bestFit="1" customWidth="1"/>
    <col min="23" max="23" width="16" style="39" customWidth="1"/>
    <col min="24" max="24" width="7.7109375" style="39" bestFit="1" customWidth="1"/>
    <col min="25" max="25" width="16" style="39" customWidth="1"/>
    <col min="26" max="26" width="7.7109375" style="39" bestFit="1" customWidth="1"/>
    <col min="27" max="27" width="16" style="39" customWidth="1"/>
    <col min="28" max="28" width="7.7109375" style="39" bestFit="1" customWidth="1"/>
    <col min="29" max="29" width="7.7109375" style="56" customWidth="1"/>
    <col min="30" max="30" width="8.5703125" style="20" customWidth="1"/>
    <col min="31" max="31" width="18.28515625" style="39" customWidth="1"/>
    <col min="32" max="32" width="16" style="39" customWidth="1"/>
    <col min="33" max="33" width="6" style="39" customWidth="1"/>
    <col min="34" max="34" width="9.42578125" style="46" bestFit="1" customWidth="1"/>
    <col min="35" max="35" width="13.85546875" style="75" bestFit="1" customWidth="1"/>
    <col min="36" max="36" width="26" style="51" bestFit="1" customWidth="1"/>
    <col min="37" max="37" width="5.7109375" style="59" customWidth="1"/>
    <col min="38" max="38" width="8.7109375" style="39" bestFit="1" customWidth="1"/>
    <col min="39" max="39" width="14" style="73" bestFit="1" customWidth="1"/>
    <col min="40" max="40" width="26" style="39" bestFit="1" customWidth="1"/>
    <col min="41" max="41" width="5.7109375" style="39" customWidth="1"/>
    <col min="42" max="42" width="9.42578125" style="39" bestFit="1" customWidth="1"/>
    <col min="43" max="43" width="14" style="39" bestFit="1" customWidth="1"/>
    <col min="44" max="44" width="24.85546875" style="39" bestFit="1" customWidth="1"/>
    <col min="45" max="45" width="5.7109375" style="39" customWidth="1"/>
    <col min="46" max="46" width="9.42578125" style="39" bestFit="1" customWidth="1"/>
    <col min="47" max="47" width="14" style="39" bestFit="1" customWidth="1"/>
    <col min="48" max="48" width="24.85546875" style="39" bestFit="1" customWidth="1"/>
    <col min="49" max="49" width="5.7109375" style="39" customWidth="1"/>
    <col min="50" max="50" width="9.42578125" style="39" bestFit="1" customWidth="1"/>
    <col min="51" max="51" width="14" style="39" bestFit="1" customWidth="1"/>
    <col min="52" max="52" width="24.85546875" style="39" bestFit="1" customWidth="1"/>
    <col min="53" max="53" width="5.7109375" style="39" customWidth="1"/>
    <col min="54" max="54" width="9.42578125" style="39" bestFit="1" customWidth="1"/>
    <col min="55" max="55" width="14" style="39" bestFit="1" customWidth="1"/>
    <col min="56" max="56" width="24.85546875" style="39" bestFit="1" customWidth="1"/>
    <col min="57" max="16384" width="9.140625" style="39"/>
  </cols>
  <sheetData>
    <row r="1" spans="1:56" x14ac:dyDescent="0.25">
      <c r="A1" s="20" t="s">
        <v>61</v>
      </c>
      <c r="B1" s="40" t="s">
        <v>60</v>
      </c>
      <c r="C1" s="41"/>
      <c r="D1" s="26" t="s">
        <v>59</v>
      </c>
      <c r="E1" s="42">
        <v>3010</v>
      </c>
      <c r="AD1" s="55" t="s">
        <v>56</v>
      </c>
      <c r="AE1" s="51"/>
      <c r="AI1" s="86">
        <f>E8*0.9</f>
        <v>1766198.7</v>
      </c>
      <c r="AJ1" s="51" t="s">
        <v>168</v>
      </c>
      <c r="AM1" s="86">
        <f>AI1*0.95</f>
        <v>1677888.7649999999</v>
      </c>
      <c r="AN1" s="51" t="s">
        <v>171</v>
      </c>
      <c r="AQ1" s="86">
        <f>AM1</f>
        <v>1677888.7649999999</v>
      </c>
      <c r="AR1" s="51" t="s">
        <v>173</v>
      </c>
      <c r="AU1" s="86">
        <f>AQ1</f>
        <v>1677888.7649999999</v>
      </c>
      <c r="AV1" s="51" t="s">
        <v>173</v>
      </c>
      <c r="AY1" s="86">
        <f>AU1</f>
        <v>1677888.7649999999</v>
      </c>
      <c r="AZ1" s="51" t="s">
        <v>173</v>
      </c>
      <c r="BC1" s="86">
        <f>AY1</f>
        <v>1677888.7649999999</v>
      </c>
      <c r="BD1" s="51" t="s">
        <v>173</v>
      </c>
    </row>
    <row r="2" spans="1:56" ht="17.25" x14ac:dyDescent="0.4">
      <c r="A2" s="20" t="s">
        <v>58</v>
      </c>
      <c r="B2" s="40" t="s">
        <v>57</v>
      </c>
      <c r="C2" s="41"/>
      <c r="AE2" s="51"/>
      <c r="AI2" s="87">
        <f>-AI1*0.15</f>
        <v>-264929.80499999999</v>
      </c>
      <c r="AJ2" s="51" t="s">
        <v>169</v>
      </c>
      <c r="AM2" s="87">
        <v>0</v>
      </c>
      <c r="AN2" s="51" t="s">
        <v>170</v>
      </c>
      <c r="AQ2" s="87">
        <v>0</v>
      </c>
      <c r="AR2" s="51"/>
      <c r="AU2" s="87">
        <v>0</v>
      </c>
      <c r="AV2" s="51"/>
      <c r="AY2" s="87">
        <v>0</v>
      </c>
      <c r="AZ2" s="51"/>
      <c r="BC2" s="87">
        <v>0</v>
      </c>
      <c r="BD2" s="51"/>
    </row>
    <row r="3" spans="1:56" x14ac:dyDescent="0.25">
      <c r="AI3" s="86">
        <f>SUM(AI1:AI2)</f>
        <v>1501268.895</v>
      </c>
      <c r="AM3" s="86">
        <f>SUM(AM1:AM2)</f>
        <v>1677888.7649999999</v>
      </c>
      <c r="AN3" s="51"/>
      <c r="AQ3" s="86">
        <f>SUM(AQ1:AQ2)</f>
        <v>1677888.7649999999</v>
      </c>
      <c r="AR3" s="51"/>
      <c r="AU3" s="86">
        <f>SUM(AU1:AU2)</f>
        <v>1677888.7649999999</v>
      </c>
      <c r="AV3" s="51"/>
      <c r="AY3" s="86">
        <f>SUM(AY1:AY2)</f>
        <v>1677888.7649999999</v>
      </c>
      <c r="AZ3" s="51"/>
      <c r="BC3" s="86">
        <f>SUM(BC1:BC2)</f>
        <v>1677888.7649999999</v>
      </c>
      <c r="BD3" s="51"/>
    </row>
    <row r="4" spans="1:56" x14ac:dyDescent="0.25">
      <c r="AI4" s="86"/>
      <c r="AM4" s="86"/>
      <c r="AN4" s="51"/>
      <c r="AQ4" s="86"/>
      <c r="AR4" s="51"/>
      <c r="AU4" s="86"/>
      <c r="AV4" s="51"/>
      <c r="AY4" s="86"/>
      <c r="AZ4" s="51"/>
      <c r="BC4" s="86"/>
      <c r="BD4" s="51"/>
    </row>
    <row r="5" spans="1:56" x14ac:dyDescent="0.25">
      <c r="AQ5" s="73"/>
      <c r="AU5" s="73"/>
      <c r="AY5" s="73"/>
      <c r="BC5" s="73"/>
    </row>
    <row r="6" spans="1:56" s="89" customFormat="1" ht="15.75" x14ac:dyDescent="0.25">
      <c r="A6" s="2188" t="s">
        <v>55</v>
      </c>
      <c r="B6" s="2188"/>
      <c r="C6" s="2188"/>
      <c r="D6" s="2188"/>
      <c r="E6" s="2188"/>
      <c r="F6" s="2188"/>
      <c r="G6" s="2188"/>
      <c r="H6" s="2188" t="s">
        <v>55</v>
      </c>
      <c r="I6" s="2188"/>
      <c r="J6" s="2188"/>
      <c r="K6" s="2188"/>
      <c r="L6" s="2188"/>
      <c r="M6" s="2188"/>
      <c r="N6" s="2188"/>
      <c r="O6" s="2188" t="s">
        <v>55</v>
      </c>
      <c r="P6" s="2188"/>
      <c r="Q6" s="2188"/>
      <c r="R6" s="2188"/>
      <c r="S6" s="2188"/>
      <c r="T6" s="2188"/>
      <c r="U6" s="2188"/>
      <c r="V6" s="2188" t="s">
        <v>55</v>
      </c>
      <c r="W6" s="2188"/>
      <c r="X6" s="2188"/>
      <c r="Y6" s="2188"/>
      <c r="Z6" s="2188"/>
      <c r="AA6" s="2188"/>
      <c r="AB6" s="2188"/>
      <c r="AC6" s="88"/>
      <c r="AF6" s="90" t="s">
        <v>55</v>
      </c>
      <c r="AH6" s="91"/>
      <c r="AI6" s="91" t="str">
        <f>LEFT(AF6,4)+1&amp;"-"&amp;RIGHT(AF6,4)+1</f>
        <v>2017-2018</v>
      </c>
      <c r="AJ6" s="92"/>
      <c r="AK6" s="93"/>
      <c r="AL6" s="94"/>
      <c r="AM6" s="95" t="str">
        <f>LEFT(AI6,4)+1&amp;"-"&amp;RIGHT(AI6,4)+1</f>
        <v>2018-2019</v>
      </c>
      <c r="AN6" s="95"/>
      <c r="AO6" s="96"/>
      <c r="AP6" s="95"/>
      <c r="AQ6" s="95" t="str">
        <f>LEFT(AM6,4)+1&amp;"-"&amp;RIGHT(AM6,4)+1</f>
        <v>2019-2020</v>
      </c>
      <c r="AR6" s="95"/>
      <c r="AS6" s="96"/>
      <c r="AT6" s="95"/>
      <c r="AU6" s="95" t="str">
        <f>LEFT(AQ6,4)+1&amp;"-"&amp;RIGHT(AQ6,4)+1</f>
        <v>2020-2021</v>
      </c>
      <c r="AV6" s="95"/>
      <c r="AW6" s="96"/>
      <c r="AX6" s="95"/>
      <c r="AY6" s="95" t="str">
        <f>LEFT(AU6,4)+1&amp;"-"&amp;RIGHT(AU6,4)+1</f>
        <v>2021-2022</v>
      </c>
      <c r="AZ6" s="95"/>
      <c r="BA6" s="96"/>
      <c r="BB6" s="95"/>
      <c r="BC6" s="95" t="str">
        <f>LEFT(AY6,4)+1&amp;"-"&amp;RIGHT(AY6,4)+1</f>
        <v>2022-2023</v>
      </c>
      <c r="BD6" s="95"/>
    </row>
    <row r="7" spans="1:56" x14ac:dyDescent="0.25">
      <c r="A7" s="21" t="s">
        <v>54</v>
      </c>
      <c r="C7" s="3">
        <v>0</v>
      </c>
      <c r="AD7" s="21" t="s">
        <v>54</v>
      </c>
      <c r="AF7" s="45">
        <f>C7</f>
        <v>0</v>
      </c>
      <c r="AI7" s="45">
        <f>AF88</f>
        <v>135963</v>
      </c>
      <c r="AJ7" s="67"/>
      <c r="AK7" s="60"/>
      <c r="AM7" s="2">
        <f>AI88</f>
        <v>-389865.10499999998</v>
      </c>
      <c r="AN7" s="73"/>
      <c r="AQ7" s="2">
        <f>AM88</f>
        <v>-1231752.5350000001</v>
      </c>
      <c r="AR7" s="73"/>
      <c r="AU7" s="2">
        <f>AQ88</f>
        <v>-2437804.7700000005</v>
      </c>
      <c r="AV7" s="73"/>
      <c r="AY7" s="2">
        <f>AU88</f>
        <v>-3732897.0050000008</v>
      </c>
      <c r="AZ7" s="73"/>
      <c r="BC7" s="2">
        <f>AY88</f>
        <v>-5105588.2400000012</v>
      </c>
      <c r="BD7" s="73"/>
    </row>
    <row r="8" spans="1:56" x14ac:dyDescent="0.25">
      <c r="D8" s="1" t="s">
        <v>113</v>
      </c>
      <c r="E8" s="3">
        <v>1962443</v>
      </c>
      <c r="G8" s="37" t="s">
        <v>112</v>
      </c>
      <c r="AI8" s="39"/>
      <c r="AM8" s="39"/>
      <c r="AN8" s="73"/>
      <c r="AR8" s="73"/>
      <c r="AV8" s="73"/>
      <c r="AZ8" s="73"/>
      <c r="BD8" s="73"/>
    </row>
    <row r="9" spans="1:56" x14ac:dyDescent="0.25">
      <c r="A9" s="20" t="s">
        <v>52</v>
      </c>
      <c r="B9" s="39" t="s">
        <v>53</v>
      </c>
      <c r="C9" s="3">
        <f>+E10</f>
        <v>1668077</v>
      </c>
      <c r="D9" s="1" t="s">
        <v>111</v>
      </c>
      <c r="E9" s="2">
        <f>ROUND(+E8*0.15,0)</f>
        <v>294366</v>
      </c>
      <c r="F9" s="46" t="s">
        <v>62</v>
      </c>
      <c r="G9" s="2">
        <v>400423.37</v>
      </c>
      <c r="AD9" s="20" t="s">
        <v>52</v>
      </c>
      <c r="AE9" s="39" t="s">
        <v>53</v>
      </c>
      <c r="AF9" s="45">
        <f>C9</f>
        <v>1668077</v>
      </c>
      <c r="AH9" s="84">
        <f>IF(AF9=0," ",(AI9-AF9)/AF9)</f>
        <v>-0.10000024279454724</v>
      </c>
      <c r="AI9" s="3">
        <f>AI3</f>
        <v>1501268.895</v>
      </c>
      <c r="AJ9" s="75" t="s">
        <v>139</v>
      </c>
      <c r="AK9" s="61"/>
      <c r="AL9" s="83">
        <f>IF(AI9=0,"0.00%",(AM9-AI9)/AI9)</f>
        <v>0.11764705882352933</v>
      </c>
      <c r="AM9" s="3">
        <f>AM3</f>
        <v>1677888.7649999999</v>
      </c>
      <c r="AN9" s="80" t="s">
        <v>172</v>
      </c>
      <c r="AP9" s="83">
        <f>IF(AM9=0,"0.00%",(AQ9-AM9)/AM9)</f>
        <v>0</v>
      </c>
      <c r="AQ9" s="3">
        <f>AQ3</f>
        <v>1677888.7649999999</v>
      </c>
      <c r="AR9" s="80" t="s">
        <v>174</v>
      </c>
      <c r="AT9" s="83">
        <f>IF(AQ9=0,"0.00%",(AU9-AQ9)/AQ9)</f>
        <v>0</v>
      </c>
      <c r="AU9" s="3">
        <f>AU3</f>
        <v>1677888.7649999999</v>
      </c>
      <c r="AV9" s="80" t="s">
        <v>174</v>
      </c>
      <c r="AX9" s="83">
        <f>IF(AU9=0,"0.00%",(AY9-AU9)/AU9)</f>
        <v>0</v>
      </c>
      <c r="AY9" s="3">
        <f>AY3</f>
        <v>1677888.7649999999</v>
      </c>
      <c r="AZ9" s="80" t="s">
        <v>174</v>
      </c>
      <c r="BB9" s="83">
        <f>IF(AY9=0,"0.00%",(BC9-AY9)/AY9)</f>
        <v>0</v>
      </c>
      <c r="BC9" s="3">
        <f>BC3</f>
        <v>1677888.7649999999</v>
      </c>
      <c r="BD9" s="80" t="s">
        <v>174</v>
      </c>
    </row>
    <row r="10" spans="1:56" x14ac:dyDescent="0.25">
      <c r="B10" s="39" t="s">
        <v>51</v>
      </c>
      <c r="C10" s="3">
        <v>1062358.3700000001</v>
      </c>
      <c r="E10" s="38">
        <f>+E8-E9</f>
        <v>1668077</v>
      </c>
      <c r="F10" s="46" t="s">
        <v>62</v>
      </c>
      <c r="G10" s="2">
        <v>449954</v>
      </c>
      <c r="AE10" s="39" t="s">
        <v>51</v>
      </c>
      <c r="AF10" s="45">
        <f>C10</f>
        <v>1062358.3700000001</v>
      </c>
      <c r="AH10" s="84">
        <f>IF(AF10=0," ",(AI10-AF10)/AF10)</f>
        <v>-0.38027880365831734</v>
      </c>
      <c r="AI10" s="3">
        <f>E9+C99+C100</f>
        <v>658366</v>
      </c>
      <c r="AJ10" s="25"/>
      <c r="AK10" s="61"/>
      <c r="AL10" s="83">
        <f>IF(AI10=0,"0.00%",(AM10-AI10)/AI10)</f>
        <v>-0.59759494718743067</v>
      </c>
      <c r="AM10" s="3">
        <f>(E8*0.9)*0.15</f>
        <v>264929.80499999999</v>
      </c>
      <c r="AN10" s="73"/>
      <c r="AP10" s="83">
        <f>IF(AM10=0,"0.00%",(AQ10-AM10)/AM10)</f>
        <v>-1</v>
      </c>
      <c r="AQ10" s="3">
        <f>(I8*0.9)*0.15</f>
        <v>0</v>
      </c>
      <c r="AR10" s="73"/>
      <c r="AT10" s="83" t="str">
        <f>IF(AQ10=0,"0.00%",(AU10-AQ10)/AQ10)</f>
        <v>0.00%</v>
      </c>
      <c r="AU10" s="3">
        <f>(M8*0.9)*0.15</f>
        <v>0</v>
      </c>
      <c r="AV10" s="73"/>
      <c r="AX10" s="83" t="str">
        <f>IF(AU10=0,"0.00%",(AY10-AU10)/AU10)</f>
        <v>0.00%</v>
      </c>
      <c r="AY10" s="3">
        <f>(Q8*0.9)*0.15</f>
        <v>0</v>
      </c>
      <c r="AZ10" s="73"/>
      <c r="BB10" s="83" t="str">
        <f>IF(AY10=0,"0.00%",(BC10-AY10)/AY10)</f>
        <v>0.00%</v>
      </c>
      <c r="BC10" s="3">
        <f>(U8*0.9)*0.15</f>
        <v>0</v>
      </c>
      <c r="BD10" s="73"/>
    </row>
    <row r="11" spans="1:56" x14ac:dyDescent="0.25">
      <c r="C11" s="47">
        <f>SUM(C9:C10)</f>
        <v>2730435.37</v>
      </c>
      <c r="F11" s="46" t="s">
        <v>63</v>
      </c>
      <c r="G11" s="17">
        <v>211981</v>
      </c>
      <c r="AD11" s="21" t="s">
        <v>137</v>
      </c>
      <c r="AF11" s="78">
        <f>SUM(AF9:AF10)</f>
        <v>2730435.37</v>
      </c>
      <c r="AH11" s="84">
        <f>IF(AF11=0," ",(AI11-AF11)/AF11)</f>
        <v>-0.20905108440636705</v>
      </c>
      <c r="AI11" s="78">
        <f>SUM(AI9:AI10)</f>
        <v>2159634.895</v>
      </c>
      <c r="AJ11" s="68"/>
      <c r="AK11" s="62"/>
      <c r="AL11" s="83">
        <f>IF(AI11=0,"0.00%",(AM11-AI11)/AI11)</f>
        <v>-0.10039489799964553</v>
      </c>
      <c r="AM11" s="78">
        <f>SUM(AM9:AM10)</f>
        <v>1942818.5699999998</v>
      </c>
      <c r="AN11" s="73"/>
      <c r="AP11" s="83">
        <f>IF(AM11=0,"0.00%",(AQ11-AM11)/AM11)</f>
        <v>-0.13636363636363635</v>
      </c>
      <c r="AQ11" s="78">
        <f>SUM(AQ9:AQ10)</f>
        <v>1677888.7649999999</v>
      </c>
      <c r="AR11" s="73"/>
      <c r="AT11" s="83">
        <f>IF(AQ11=0,"0.00%",(AU11-AQ11)/AQ11)</f>
        <v>0</v>
      </c>
      <c r="AU11" s="78">
        <f>SUM(AU9:AU10)</f>
        <v>1677888.7649999999</v>
      </c>
      <c r="AV11" s="73"/>
      <c r="AX11" s="83">
        <f>IF(AU11=0,"0.00%",(AY11-AU11)/AU11)</f>
        <v>0</v>
      </c>
      <c r="AY11" s="78">
        <f>SUM(AY9:AY10)</f>
        <v>1677888.7649999999</v>
      </c>
      <c r="AZ11" s="73"/>
      <c r="BB11" s="83">
        <f>IF(AY11=0,"0.00%",(BC11-AY11)/AY11)</f>
        <v>0</v>
      </c>
      <c r="BC11" s="78">
        <f>SUM(BC9:BC10)</f>
        <v>1677888.7649999999</v>
      </c>
      <c r="BD11" s="73"/>
    </row>
    <row r="12" spans="1:56" x14ac:dyDescent="0.25">
      <c r="F12" s="46"/>
      <c r="G12" s="10">
        <f>SUM(G9:G11)</f>
        <v>1062358.3700000001</v>
      </c>
      <c r="AI12" s="44"/>
      <c r="AJ12" s="69"/>
      <c r="AK12" s="63"/>
      <c r="AL12" s="46"/>
      <c r="AM12" s="44"/>
      <c r="AN12" s="73"/>
      <c r="AP12" s="46"/>
      <c r="AQ12" s="44"/>
      <c r="AR12" s="73"/>
      <c r="AT12" s="46"/>
      <c r="AU12" s="44"/>
      <c r="AV12" s="73"/>
      <c r="AX12" s="46"/>
      <c r="AY12" s="44"/>
      <c r="AZ12" s="73"/>
      <c r="BB12" s="46"/>
      <c r="BC12" s="44"/>
      <c r="BD12" s="73"/>
    </row>
    <row r="13" spans="1:56" x14ac:dyDescent="0.25">
      <c r="A13" s="52">
        <v>3.6999999999999998E-2</v>
      </c>
      <c r="B13" s="39" t="s">
        <v>64</v>
      </c>
      <c r="C13" s="18">
        <f>ROUND(C11-(C11/(1+A13)),0)</f>
        <v>97422</v>
      </c>
      <c r="G13" s="2"/>
      <c r="AD13" s="52">
        <v>3.6999999999999998E-2</v>
      </c>
      <c r="AE13" s="13" t="s">
        <v>64</v>
      </c>
      <c r="AF13" s="53">
        <f>C13</f>
        <v>97422</v>
      </c>
      <c r="AH13" s="84">
        <f>IF(AF13=0," ",(AI13-AF13)/AF13)</f>
        <v>-0.20905955533657694</v>
      </c>
      <c r="AI13" s="77">
        <f>ROUND(AI11-(AI11/(1+AD13)),0)</f>
        <v>77055</v>
      </c>
      <c r="AJ13" s="27"/>
      <c r="AK13" s="64"/>
      <c r="AL13" s="83">
        <f>IF(AI13=0,"0.00%",(AM13-AI13)/AI13)</f>
        <v>-0.10039582116669911</v>
      </c>
      <c r="AM13" s="77">
        <f>ROUND(AM11-(AM11/(1+AD13)),0)</f>
        <v>69319</v>
      </c>
      <c r="AN13" s="73"/>
      <c r="AP13" s="83">
        <f>IF(AM13=0,"0.00%",(AQ13-AM13)/AM13)</f>
        <v>-0.13635511187408936</v>
      </c>
      <c r="AQ13" s="77">
        <f>ROUND(AQ11-(AQ11/(1+AD13)),0)</f>
        <v>59867</v>
      </c>
      <c r="AR13" s="73"/>
      <c r="AT13" s="83">
        <f>IF(AQ13=0,"0.00%",(AU13-AQ13)/AQ13)</f>
        <v>0</v>
      </c>
      <c r="AU13" s="77">
        <f>ROUND(AU11-(AU11/(1+AD13)),0)</f>
        <v>59867</v>
      </c>
      <c r="AV13" s="73"/>
      <c r="AX13" s="83">
        <f>IF(AU13=0,"0.00%",(AY13-AU13)/AU13)</f>
        <v>0</v>
      </c>
      <c r="AY13" s="77">
        <f>ROUND(AY11-(AY11/(1+AD13)),0)</f>
        <v>59867</v>
      </c>
      <c r="AZ13" s="73"/>
      <c r="BB13" s="83">
        <f>IF(AY13=0,"0.00%",(BC13-AY13)/AY13)</f>
        <v>-8.4080211134681875</v>
      </c>
      <c r="BC13" s="77">
        <f>ROUND(BC11-(BC11/(1+AH13)),0)</f>
        <v>-443496</v>
      </c>
      <c r="BD13" s="73"/>
    </row>
    <row r="14" spans="1:56" x14ac:dyDescent="0.25">
      <c r="AI14" s="44"/>
      <c r="AJ14" s="69"/>
      <c r="AK14" s="63"/>
      <c r="AL14" s="46"/>
      <c r="AM14" s="44"/>
      <c r="AN14" s="73"/>
      <c r="AP14" s="46"/>
      <c r="AQ14" s="44"/>
      <c r="AR14" s="73"/>
      <c r="AT14" s="46"/>
      <c r="AU14" s="44"/>
      <c r="AV14" s="73"/>
      <c r="AX14" s="46"/>
      <c r="AY14" s="44"/>
      <c r="AZ14" s="73"/>
      <c r="BB14" s="46"/>
      <c r="BC14" s="44"/>
      <c r="BD14" s="73"/>
    </row>
    <row r="15" spans="1:56" x14ac:dyDescent="0.25">
      <c r="A15" s="21" t="s">
        <v>50</v>
      </c>
      <c r="C15" s="19">
        <f>SUM(C7,C11)-C13</f>
        <v>2633013.37</v>
      </c>
      <c r="D15" s="31"/>
      <c r="AD15" s="21" t="s">
        <v>50</v>
      </c>
      <c r="AF15" s="53">
        <f>AF11-AF13</f>
        <v>2633013.37</v>
      </c>
      <c r="AH15" s="84">
        <f>IF(AF15=0," ",(AI15-AF15)/AF15)</f>
        <v>-0.2090507709803236</v>
      </c>
      <c r="AI15" s="19">
        <f>AI11-AI13</f>
        <v>2082579.895</v>
      </c>
      <c r="AJ15" s="68"/>
      <c r="AK15" s="62"/>
      <c r="AL15" s="83">
        <f>IF(AI15=0,"0.00%",(AM15-AI15)/AI15)</f>
        <v>-0.10039486384266673</v>
      </c>
      <c r="AM15" s="19">
        <f>AM11-AM13</f>
        <v>1873499.5699999998</v>
      </c>
      <c r="AN15" s="73"/>
      <c r="AP15" s="83">
        <f>IF(AM15=0,"0.00%",(AQ15-AM15)/AM15)</f>
        <v>-0.13636395176754695</v>
      </c>
      <c r="AQ15" s="19">
        <f>AQ11-AQ13</f>
        <v>1618021.7649999999</v>
      </c>
      <c r="AR15" s="73"/>
      <c r="AT15" s="83">
        <f>IF(AQ15=0,"0.00%",(AU15-AQ15)/AQ15)</f>
        <v>0</v>
      </c>
      <c r="AU15" s="19">
        <f>AU11-AU13</f>
        <v>1618021.7649999999</v>
      </c>
      <c r="AV15" s="73"/>
      <c r="AX15" s="83">
        <f>IF(AU15=0,"0.00%",(AY15-AU15)/AU15)</f>
        <v>0</v>
      </c>
      <c r="AY15" s="19">
        <f>AY11-AY13</f>
        <v>1618021.7649999999</v>
      </c>
      <c r="AZ15" s="73"/>
      <c r="BB15" s="83">
        <f>IF(AY15=0,"0.00%",(BC15-AY15)/AY15)</f>
        <v>0.31109779292740219</v>
      </c>
      <c r="BC15" s="19">
        <f>BC11-BC13</f>
        <v>2121384.7649999997</v>
      </c>
      <c r="BD15" s="73"/>
    </row>
    <row r="16" spans="1:56" x14ac:dyDescent="0.25">
      <c r="D16" s="48"/>
      <c r="AI16" s="49"/>
      <c r="AJ16" s="68"/>
      <c r="AK16" s="62"/>
      <c r="AM16" s="49"/>
      <c r="AN16" s="73"/>
      <c r="AQ16" s="49"/>
      <c r="AR16" s="73"/>
      <c r="AU16" s="49"/>
      <c r="AV16" s="73"/>
      <c r="AY16" s="49"/>
      <c r="AZ16" s="73"/>
      <c r="BC16" s="49"/>
      <c r="BD16" s="73"/>
    </row>
    <row r="17" spans="1:56" x14ac:dyDescent="0.25">
      <c r="B17" s="20" t="s">
        <v>98</v>
      </c>
      <c r="C17" s="23">
        <v>42782</v>
      </c>
      <c r="D17" s="28"/>
      <c r="AE17" s="20"/>
      <c r="AI17" s="44"/>
      <c r="AJ17" s="69"/>
      <c r="AK17" s="63"/>
      <c r="AM17" s="44"/>
      <c r="AN17" s="73"/>
      <c r="AQ17" s="44"/>
      <c r="AR17" s="73"/>
      <c r="AU17" s="44"/>
      <c r="AV17" s="73"/>
      <c r="AY17" s="44"/>
      <c r="AZ17" s="73"/>
      <c r="BC17" s="44"/>
      <c r="BD17" s="73"/>
    </row>
    <row r="18" spans="1:56" x14ac:dyDescent="0.25">
      <c r="C18" s="9"/>
      <c r="D18" s="32"/>
      <c r="E18" s="9"/>
      <c r="F18" s="32"/>
      <c r="G18" s="9"/>
      <c r="H18" s="32"/>
      <c r="I18" s="9"/>
      <c r="J18" s="32"/>
      <c r="K18" s="9"/>
      <c r="L18" s="32"/>
      <c r="M18" s="32"/>
      <c r="N18" s="32"/>
      <c r="O18" s="32"/>
      <c r="P18" s="32"/>
      <c r="Q18" s="32"/>
      <c r="R18" s="32"/>
      <c r="S18" s="32"/>
      <c r="T18" s="32"/>
      <c r="U18" s="32"/>
      <c r="V18" s="32"/>
      <c r="W18" s="32"/>
      <c r="X18" s="32"/>
      <c r="Y18" s="32"/>
      <c r="Z18" s="32"/>
      <c r="AA18" s="32"/>
      <c r="AB18" s="32"/>
      <c r="AC18" s="32"/>
      <c r="AF18" s="32"/>
      <c r="AG18" s="32"/>
      <c r="AI18" s="15">
        <v>0.02</v>
      </c>
      <c r="AJ18" s="70"/>
      <c r="AK18" s="65"/>
      <c r="AM18" s="15">
        <v>0.02</v>
      </c>
      <c r="AN18" s="73"/>
      <c r="AQ18" s="15">
        <v>0.02</v>
      </c>
      <c r="AR18" s="73"/>
      <c r="AU18" s="15">
        <v>0.02</v>
      </c>
      <c r="AV18" s="73"/>
      <c r="AY18" s="15">
        <v>0.02</v>
      </c>
      <c r="AZ18" s="73"/>
      <c r="BC18" s="15">
        <v>0.02</v>
      </c>
      <c r="BD18" s="73"/>
    </row>
    <row r="19" spans="1:56" ht="17.25" x14ac:dyDescent="0.4">
      <c r="C19" s="35" t="s">
        <v>75</v>
      </c>
      <c r="D19" s="34" t="s">
        <v>47</v>
      </c>
      <c r="E19" s="35" t="s">
        <v>99</v>
      </c>
      <c r="F19" s="34" t="s">
        <v>47</v>
      </c>
      <c r="G19" s="35" t="s">
        <v>100</v>
      </c>
      <c r="H19" s="34" t="s">
        <v>47</v>
      </c>
      <c r="I19" s="35" t="s">
        <v>101</v>
      </c>
      <c r="J19" s="34" t="s">
        <v>47</v>
      </c>
      <c r="K19" s="35" t="s">
        <v>102</v>
      </c>
      <c r="L19" s="34" t="s">
        <v>47</v>
      </c>
      <c r="M19" s="35" t="s">
        <v>103</v>
      </c>
      <c r="N19" s="34" t="s">
        <v>47</v>
      </c>
      <c r="O19" s="35" t="s">
        <v>104</v>
      </c>
      <c r="P19" s="34" t="s">
        <v>47</v>
      </c>
      <c r="Q19" s="35" t="s">
        <v>105</v>
      </c>
      <c r="R19" s="34" t="s">
        <v>47</v>
      </c>
      <c r="S19" s="35" t="s">
        <v>106</v>
      </c>
      <c r="T19" s="34" t="s">
        <v>47</v>
      </c>
      <c r="U19" s="35" t="s">
        <v>107</v>
      </c>
      <c r="V19" s="34" t="s">
        <v>47</v>
      </c>
      <c r="W19" s="35" t="s">
        <v>108</v>
      </c>
      <c r="X19" s="34" t="s">
        <v>47</v>
      </c>
      <c r="Y19" s="35" t="s">
        <v>109</v>
      </c>
      <c r="Z19" s="34" t="s">
        <v>47</v>
      </c>
      <c r="AA19" s="35" t="s">
        <v>110</v>
      </c>
      <c r="AB19" s="34" t="s">
        <v>47</v>
      </c>
      <c r="AC19" s="79"/>
      <c r="AF19" s="35" t="s">
        <v>118</v>
      </c>
      <c r="AG19" s="34"/>
      <c r="AI19" s="14" t="s">
        <v>48</v>
      </c>
      <c r="AJ19" s="5"/>
      <c r="AK19" s="29"/>
      <c r="AM19" s="14" t="s">
        <v>48</v>
      </c>
      <c r="AN19" s="72"/>
      <c r="AQ19" s="14" t="s">
        <v>48</v>
      </c>
      <c r="AR19" s="72"/>
      <c r="AU19" s="14" t="s">
        <v>48</v>
      </c>
      <c r="AV19" s="72"/>
      <c r="AY19" s="14" t="s">
        <v>48</v>
      </c>
      <c r="AZ19" s="72"/>
      <c r="BC19" s="14" t="s">
        <v>48</v>
      </c>
      <c r="BD19" s="72"/>
    </row>
    <row r="20" spans="1:56" s="13" customFormat="1" x14ac:dyDescent="0.25">
      <c r="A20" s="21" t="s">
        <v>46</v>
      </c>
      <c r="D20" s="7"/>
      <c r="F20" s="4"/>
      <c r="H20" s="4"/>
      <c r="J20" s="4"/>
      <c r="L20" s="4"/>
      <c r="N20" s="4"/>
      <c r="P20" s="4"/>
      <c r="R20" s="4"/>
      <c r="T20" s="4"/>
      <c r="V20" s="4"/>
      <c r="X20" s="4"/>
      <c r="Z20" s="4"/>
      <c r="AB20" s="4"/>
      <c r="AC20" s="58"/>
      <c r="AD20" s="21" t="str">
        <f t="shared" ref="AD20:AD27" si="0">A20</f>
        <v xml:space="preserve">Certificated </v>
      </c>
      <c r="AF20" s="10"/>
      <c r="AG20" s="10"/>
      <c r="AH20" s="1"/>
      <c r="AI20" s="10"/>
      <c r="AJ20" s="6"/>
      <c r="AK20" s="57"/>
      <c r="AM20" s="10"/>
      <c r="AN20" s="74"/>
      <c r="AQ20" s="10"/>
      <c r="AR20" s="74"/>
      <c r="AU20" s="10"/>
      <c r="AV20" s="74"/>
      <c r="AY20" s="10"/>
      <c r="AZ20" s="74"/>
      <c r="BC20" s="10"/>
      <c r="BD20" s="74"/>
    </row>
    <row r="21" spans="1:56" x14ac:dyDescent="0.25">
      <c r="A21" s="12" t="s">
        <v>65</v>
      </c>
      <c r="B21" s="39" t="s">
        <v>66</v>
      </c>
      <c r="C21" s="25">
        <v>0</v>
      </c>
      <c r="D21" s="30"/>
      <c r="E21" s="25">
        <v>7250</v>
      </c>
      <c r="F21" s="25"/>
      <c r="G21" s="25">
        <v>1000</v>
      </c>
      <c r="H21" s="25"/>
      <c r="I21" s="25">
        <v>7313</v>
      </c>
      <c r="J21" s="25"/>
      <c r="K21" s="25">
        <v>3657</v>
      </c>
      <c r="L21" s="25"/>
      <c r="M21" s="25">
        <v>2600</v>
      </c>
      <c r="N21" s="25"/>
      <c r="O21" s="25">
        <v>3741</v>
      </c>
      <c r="P21" s="25"/>
      <c r="Q21" s="25">
        <v>4307</v>
      </c>
      <c r="R21" s="25"/>
      <c r="S21" s="25">
        <v>8207</v>
      </c>
      <c r="T21" s="25"/>
      <c r="U21" s="25">
        <v>3605</v>
      </c>
      <c r="V21" s="25"/>
      <c r="W21" s="25">
        <v>4662</v>
      </c>
      <c r="X21" s="25"/>
      <c r="Y21" s="25">
        <v>7800</v>
      </c>
      <c r="Z21" s="25"/>
      <c r="AA21" s="25">
        <v>8778</v>
      </c>
      <c r="AB21" s="25"/>
      <c r="AC21" s="61"/>
      <c r="AD21" s="12" t="str">
        <f t="shared" si="0"/>
        <v>1110</v>
      </c>
      <c r="AE21" s="39" t="str">
        <f t="shared" ref="AE21:AE27" si="1">B21</f>
        <v>Intervention Tchr.</v>
      </c>
      <c r="AF21" s="2">
        <f>SUM(C21,E21,G21,I21,K21,M21,O21,Q21,S21,U21,W21,Y21,AA21)</f>
        <v>62920</v>
      </c>
      <c r="AG21" s="2"/>
      <c r="AH21" s="83">
        <f t="shared" ref="AH21:AH29" si="2">IF(AF21=0,"0.00%",(AI21-AF21)/AF21)</f>
        <v>1.9993642720915448E-2</v>
      </c>
      <c r="AI21" s="2">
        <f t="shared" ref="AI21:AI27" si="3">ROUND(AF21*(1+$AI$18),0)</f>
        <v>64178</v>
      </c>
      <c r="AJ21" s="36" t="str">
        <f t="shared" ref="AJ21:AJ26" si="4">TEXT($AI$18,"0.0%")&amp;" = Est. S &amp; C"</f>
        <v>2.0% = Est. S &amp; C</v>
      </c>
      <c r="AK21" s="66"/>
      <c r="AL21" s="83">
        <f t="shared" ref="AL21:AL27" si="5">IF(AI21=0,"0.00%",(AM21-AI21)/AI21)</f>
        <v>2.0006855931939294E-2</v>
      </c>
      <c r="AM21" s="2">
        <f>ROUND(AI21*(1+AM18),0)</f>
        <v>65462</v>
      </c>
      <c r="AN21" s="36" t="str">
        <f>TEXT(AM18,"0.0%")&amp;" = Est. S &amp; C"</f>
        <v>2.0% = Est. S &amp; C</v>
      </c>
      <c r="AP21" s="83">
        <f t="shared" ref="AP21:AP27" si="6">IF(AM21=0,"0.00%",(AQ21-AM21)/AM21)</f>
        <v>1.9996333750878371E-2</v>
      </c>
      <c r="AQ21" s="2">
        <f>ROUND(AM21*(1+AQ18),0)</f>
        <v>66771</v>
      </c>
      <c r="AR21" s="36" t="str">
        <f>TEXT(AQ18,"0.0%")&amp;" = Est. S &amp; C"</f>
        <v>2.0% = Est. S &amp; C</v>
      </c>
      <c r="AT21" s="83">
        <f t="shared" ref="AT21:AT27" si="7">IF(AQ21=0,"0.00%",(AU21-AQ21)/AQ21)</f>
        <v>1.9993709844093994E-2</v>
      </c>
      <c r="AU21" s="2">
        <f>ROUND(AQ21*(1+AU18),0)</f>
        <v>68106</v>
      </c>
      <c r="AV21" s="36" t="str">
        <f>TEXT(AU18,"0.0%")&amp;" = Est. S &amp; C"</f>
        <v>2.0% = Est. S &amp; C</v>
      </c>
      <c r="AX21" s="83">
        <f t="shared" ref="AX21:AX27" si="8">IF(AU21=0,"0.00%",(AY21-AU21)/AU21)</f>
        <v>1.999823804070126E-2</v>
      </c>
      <c r="AY21" s="2">
        <f>ROUND(AU21*(1+AY18),0)</f>
        <v>69468</v>
      </c>
      <c r="AZ21" s="36" t="str">
        <f>TEXT(AY18,"0.0%")&amp;" = Est. S &amp; C"</f>
        <v>2.0% = Est. S &amp; C</v>
      </c>
      <c r="BB21" s="83">
        <f t="shared" ref="BB21:BB27" si="9">IF(AY21=0,"0.00%",(BC21-AY21)/AY21)</f>
        <v>1.9994817757816547E-2</v>
      </c>
      <c r="BC21" s="2">
        <f>ROUND(AY21*(1+BC18),0)</f>
        <v>70857</v>
      </c>
      <c r="BD21" s="36" t="str">
        <f>TEXT(BC18,"0.0%")&amp;" = Est. S &amp; C"</f>
        <v>2.0% = Est. S &amp; C</v>
      </c>
    </row>
    <row r="22" spans="1:56" x14ac:dyDescent="0.25">
      <c r="A22" s="12" t="s">
        <v>45</v>
      </c>
      <c r="B22" s="39" t="s">
        <v>44</v>
      </c>
      <c r="C22" s="3">
        <v>9089</v>
      </c>
      <c r="D22" s="30"/>
      <c r="E22" s="2">
        <v>0</v>
      </c>
      <c r="F22" s="36"/>
      <c r="G22" s="2">
        <v>0</v>
      </c>
      <c r="H22" s="36"/>
      <c r="I22" s="2">
        <v>0</v>
      </c>
      <c r="J22" s="36"/>
      <c r="K22" s="2">
        <v>0</v>
      </c>
      <c r="L22" s="36"/>
      <c r="M22" s="2">
        <v>1050</v>
      </c>
      <c r="N22" s="36"/>
      <c r="O22" s="2">
        <v>0</v>
      </c>
      <c r="P22" s="36"/>
      <c r="Q22" s="2">
        <v>0</v>
      </c>
      <c r="R22" s="36"/>
      <c r="S22" s="2">
        <v>150</v>
      </c>
      <c r="T22" s="36"/>
      <c r="U22" s="2">
        <v>0</v>
      </c>
      <c r="V22" s="36"/>
      <c r="W22" s="2">
        <v>0</v>
      </c>
      <c r="X22" s="36"/>
      <c r="Y22" s="2">
        <v>0</v>
      </c>
      <c r="Z22" s="36"/>
      <c r="AA22" s="2">
        <v>0</v>
      </c>
      <c r="AB22" s="36"/>
      <c r="AC22" s="66"/>
      <c r="AD22" s="12" t="str">
        <f t="shared" si="0"/>
        <v>1112</v>
      </c>
      <c r="AE22" s="39" t="str">
        <f t="shared" si="1"/>
        <v>Supplemental Tchr.</v>
      </c>
      <c r="AF22" s="2">
        <f t="shared" ref="AF22:AF27" si="10">SUM(C22,E22,G22,I22,K22,M22,O22,Q22,S22,U22,W22,Y22,AA22)</f>
        <v>10289</v>
      </c>
      <c r="AG22" s="2"/>
      <c r="AH22" s="83">
        <f t="shared" si="2"/>
        <v>2.0021382058509087E-2</v>
      </c>
      <c r="AI22" s="2">
        <f t="shared" si="3"/>
        <v>10495</v>
      </c>
      <c r="AJ22" s="36" t="str">
        <f t="shared" si="4"/>
        <v>2.0% = Est. S &amp; C</v>
      </c>
      <c r="AK22" s="66"/>
      <c r="AL22" s="83">
        <f t="shared" si="5"/>
        <v>2.0009528346831826E-2</v>
      </c>
      <c r="AM22" s="2">
        <f>ROUND(AI22*(1+AM18),0)</f>
        <v>10705</v>
      </c>
      <c r="AN22" s="36" t="str">
        <f>TEXT(AM18,"0.0%")&amp;" = Est. S &amp; C"</f>
        <v>2.0% = Est. S &amp; C</v>
      </c>
      <c r="AP22" s="83">
        <f t="shared" si="6"/>
        <v>1.9990658570761325E-2</v>
      </c>
      <c r="AQ22" s="2">
        <f>ROUND(AM22*(1+AQ18),0)</f>
        <v>10919</v>
      </c>
      <c r="AR22" s="36" t="str">
        <f>TEXT(AQ18,"0.0%")&amp;" = Est. S &amp; C"</f>
        <v>2.0% = Est. S &amp; C</v>
      </c>
      <c r="AT22" s="83">
        <f t="shared" si="7"/>
        <v>1.9965198278230609E-2</v>
      </c>
      <c r="AU22" s="2">
        <f>ROUND(AQ22*(1+AU18),0)</f>
        <v>11137</v>
      </c>
      <c r="AV22" s="36" t="str">
        <f>TEXT(AU18,"0.0%")&amp;" = Est. S &amp; C"</f>
        <v>2.0% = Est. S &amp; C</v>
      </c>
      <c r="AX22" s="83">
        <f t="shared" si="8"/>
        <v>2.0023345604740953E-2</v>
      </c>
      <c r="AY22" s="2">
        <f>ROUND(AU22*(1+AY18),0)</f>
        <v>11360</v>
      </c>
      <c r="AZ22" s="36" t="str">
        <f>TEXT(AY18,"0.0%")&amp;" = Est. S &amp; C"</f>
        <v>2.0% = Est. S &amp; C</v>
      </c>
      <c r="BB22" s="83">
        <f t="shared" si="9"/>
        <v>1.9982394366197184E-2</v>
      </c>
      <c r="BC22" s="2">
        <f>ROUND(AY22*(1+BC18),0)</f>
        <v>11587</v>
      </c>
      <c r="BD22" s="36" t="str">
        <f>TEXT(BC18,"0.0%")&amp;" = Est. S &amp; C"</f>
        <v>2.0% = Est. S &amp; C</v>
      </c>
    </row>
    <row r="23" spans="1:56" x14ac:dyDescent="0.25">
      <c r="A23" s="12" t="s">
        <v>43</v>
      </c>
      <c r="B23" s="39" t="s">
        <v>42</v>
      </c>
      <c r="C23" s="3">
        <v>69521</v>
      </c>
      <c r="D23" s="30"/>
      <c r="E23" s="2">
        <v>8400</v>
      </c>
      <c r="F23" s="36"/>
      <c r="G23" s="2">
        <v>4175</v>
      </c>
      <c r="H23" s="36"/>
      <c r="I23" s="2">
        <v>12600</v>
      </c>
      <c r="J23" s="36"/>
      <c r="K23" s="2">
        <v>9672</v>
      </c>
      <c r="L23" s="36"/>
      <c r="M23" s="2">
        <v>9310</v>
      </c>
      <c r="N23" s="36"/>
      <c r="O23" s="2">
        <v>1050</v>
      </c>
      <c r="P23" s="36"/>
      <c r="Q23" s="2">
        <v>4340</v>
      </c>
      <c r="R23" s="36"/>
      <c r="S23" s="2">
        <v>6591</v>
      </c>
      <c r="T23" s="36"/>
      <c r="U23" s="2">
        <v>7280</v>
      </c>
      <c r="V23" s="36"/>
      <c r="W23" s="2">
        <v>3310</v>
      </c>
      <c r="X23" s="36"/>
      <c r="Y23" s="2">
        <v>6300</v>
      </c>
      <c r="Z23" s="36"/>
      <c r="AA23" s="2">
        <v>10000</v>
      </c>
      <c r="AB23" s="36"/>
      <c r="AC23" s="66"/>
      <c r="AD23" s="12" t="str">
        <f t="shared" si="0"/>
        <v>1181</v>
      </c>
      <c r="AE23" s="39" t="str">
        <f t="shared" si="1"/>
        <v>Subs</v>
      </c>
      <c r="AF23" s="2">
        <f t="shared" si="10"/>
        <v>152549</v>
      </c>
      <c r="AG23" s="2"/>
      <c r="AH23" s="83">
        <f t="shared" si="2"/>
        <v>2.0000131105415309E-2</v>
      </c>
      <c r="AI23" s="2">
        <f t="shared" si="3"/>
        <v>155600</v>
      </c>
      <c r="AJ23" s="36" t="str">
        <f t="shared" si="4"/>
        <v>2.0% = Est. S &amp; C</v>
      </c>
      <c r="AK23" s="66"/>
      <c r="AL23" s="83">
        <f t="shared" si="5"/>
        <v>0.02</v>
      </c>
      <c r="AM23" s="2">
        <f>ROUND(AI23*(1+AM18),0)</f>
        <v>158712</v>
      </c>
      <c r="AN23" s="36" t="str">
        <f>TEXT(AM18,"0.0%")&amp;" = Est. S &amp; C"</f>
        <v>2.0% = Est. S &amp; C</v>
      </c>
      <c r="AP23" s="83">
        <f t="shared" si="6"/>
        <v>1.9998487827007409E-2</v>
      </c>
      <c r="AQ23" s="2">
        <f>ROUND(AM23*(1+AQ18),0)</f>
        <v>161886</v>
      </c>
      <c r="AR23" s="36" t="str">
        <f>TEXT(AQ18,"0.0%")&amp;" = Est. S &amp; C"</f>
        <v>2.0% = Est. S &amp; C</v>
      </c>
      <c r="AT23" s="83">
        <f t="shared" si="7"/>
        <v>2.0001729612196237E-2</v>
      </c>
      <c r="AU23" s="2">
        <f>ROUND(AQ23*(1+AU18),0)</f>
        <v>165124</v>
      </c>
      <c r="AV23" s="36" t="str">
        <f>TEXT(AU18,"0.0%")&amp;" = Est. S &amp; C"</f>
        <v>2.0% = Est. S &amp; C</v>
      </c>
      <c r="AX23" s="83">
        <f t="shared" si="8"/>
        <v>1.9997093093675058E-2</v>
      </c>
      <c r="AY23" s="2">
        <f>ROUND(AU23*(1+AY18),0)</f>
        <v>168426</v>
      </c>
      <c r="AZ23" s="36" t="str">
        <f>TEXT(AY18,"0.0%")&amp;" = Est. S &amp; C"</f>
        <v>2.0% = Est. S &amp; C</v>
      </c>
      <c r="BB23" s="83">
        <f t="shared" si="9"/>
        <v>2.0002849916283708E-2</v>
      </c>
      <c r="BC23" s="2">
        <f>ROUND(AY23*(1+BC18),0)</f>
        <v>171795</v>
      </c>
      <c r="BD23" s="36" t="str">
        <f>TEXT(BC18,"0.0%")&amp;" = Est. S &amp; C"</f>
        <v>2.0% = Est. S &amp; C</v>
      </c>
    </row>
    <row r="24" spans="1:56" x14ac:dyDescent="0.25">
      <c r="A24" s="12" t="s">
        <v>41</v>
      </c>
      <c r="B24" s="39" t="s">
        <v>40</v>
      </c>
      <c r="C24" s="3">
        <v>250203</v>
      </c>
      <c r="D24" s="30" t="s">
        <v>119</v>
      </c>
      <c r="E24" s="2">
        <v>0</v>
      </c>
      <c r="F24" s="36"/>
      <c r="G24" s="2">
        <v>0</v>
      </c>
      <c r="H24" s="36"/>
      <c r="I24" s="2">
        <v>0</v>
      </c>
      <c r="J24" s="36"/>
      <c r="K24" s="2">
        <v>0</v>
      </c>
      <c r="L24" s="36"/>
      <c r="M24" s="2">
        <v>0</v>
      </c>
      <c r="N24" s="36"/>
      <c r="O24" s="2">
        <v>0</v>
      </c>
      <c r="P24" s="36"/>
      <c r="Q24" s="2">
        <v>0</v>
      </c>
      <c r="R24" s="36"/>
      <c r="S24" s="2">
        <v>0</v>
      </c>
      <c r="T24" s="36"/>
      <c r="U24" s="2">
        <v>0</v>
      </c>
      <c r="V24" s="36"/>
      <c r="W24" s="2">
        <v>0</v>
      </c>
      <c r="X24" s="36"/>
      <c r="Y24" s="2">
        <v>0</v>
      </c>
      <c r="Z24" s="36"/>
      <c r="AA24" s="2">
        <v>0</v>
      </c>
      <c r="AB24" s="36"/>
      <c r="AC24" s="66"/>
      <c r="AD24" s="12" t="str">
        <f t="shared" si="0"/>
        <v>1204</v>
      </c>
      <c r="AE24" s="39" t="str">
        <f t="shared" si="1"/>
        <v>Counselor</v>
      </c>
      <c r="AF24" s="2">
        <f t="shared" si="10"/>
        <v>250203</v>
      </c>
      <c r="AG24" s="2"/>
      <c r="AH24" s="83">
        <f t="shared" si="2"/>
        <v>1.9999760194721886E-2</v>
      </c>
      <c r="AI24" s="2">
        <f t="shared" si="3"/>
        <v>255207</v>
      </c>
      <c r="AJ24" s="36" t="str">
        <f t="shared" si="4"/>
        <v>2.0% = Est. S &amp; C</v>
      </c>
      <c r="AK24" s="66"/>
      <c r="AL24" s="83">
        <f t="shared" si="5"/>
        <v>1.9999451425705406E-2</v>
      </c>
      <c r="AM24" s="2">
        <f>ROUND(AI24*(1+AM18),0)</f>
        <v>260311</v>
      </c>
      <c r="AN24" s="36" t="str">
        <f>TEXT(AM18,"0.0%")&amp;" = Est. S &amp; C"</f>
        <v>2.0% = Est. S &amp; C</v>
      </c>
      <c r="AP24" s="83">
        <f t="shared" si="6"/>
        <v>1.9999154857074805E-2</v>
      </c>
      <c r="AQ24" s="2">
        <f>ROUND(AM24*(1+AQ18),0)</f>
        <v>265517</v>
      </c>
      <c r="AR24" s="36" t="str">
        <f>TEXT(AQ18,"0.0%")&amp;" = Est. S &amp; C"</f>
        <v>2.0% = Est. S &amp; C</v>
      </c>
      <c r="AT24" s="83">
        <f t="shared" si="7"/>
        <v>1.999871947935537E-2</v>
      </c>
      <c r="AU24" s="2">
        <f>ROUND(AQ24*(1+AU18),0)</f>
        <v>270827</v>
      </c>
      <c r="AV24" s="36" t="str">
        <f>TEXT(AU18,"0.0%")&amp;" = Est. S &amp; C"</f>
        <v>2.0% = Est. S &amp; C</v>
      </c>
      <c r="AX24" s="83">
        <f t="shared" si="8"/>
        <v>2.000169850125726E-2</v>
      </c>
      <c r="AY24" s="2">
        <f>ROUND(AU24*(1+AY18),0)</f>
        <v>276244</v>
      </c>
      <c r="AZ24" s="36" t="str">
        <f>TEXT(AY18,"0.0%")&amp;" = Est. S &amp; C"</f>
        <v>2.0% = Est. S &amp; C</v>
      </c>
      <c r="BB24" s="83">
        <f t="shared" si="9"/>
        <v>2.0000434398575174E-2</v>
      </c>
      <c r="BC24" s="2">
        <f>ROUND(AY24*(1+BC18),0)</f>
        <v>281769</v>
      </c>
      <c r="BD24" s="36" t="str">
        <f>TEXT(BC18,"0.0%")&amp;" = Est. S &amp; C"</f>
        <v>2.0% = Est. S &amp; C</v>
      </c>
    </row>
    <row r="25" spans="1:56" x14ac:dyDescent="0.25">
      <c r="A25" s="12" t="s">
        <v>67</v>
      </c>
      <c r="B25" s="39" t="s">
        <v>68</v>
      </c>
      <c r="C25" s="3">
        <v>0</v>
      </c>
      <c r="D25" s="30"/>
      <c r="E25" s="2">
        <v>1219</v>
      </c>
      <c r="F25" s="36"/>
      <c r="G25" s="2">
        <v>0</v>
      </c>
      <c r="H25" s="36"/>
      <c r="I25" s="2">
        <v>457</v>
      </c>
      <c r="J25" s="36"/>
      <c r="K25" s="2">
        <v>0</v>
      </c>
      <c r="L25" s="36"/>
      <c r="M25" s="2">
        <v>0</v>
      </c>
      <c r="N25" s="36"/>
      <c r="O25" s="2">
        <v>1016</v>
      </c>
      <c r="P25" s="36"/>
      <c r="Q25" s="2">
        <v>863</v>
      </c>
      <c r="R25" s="36"/>
      <c r="S25" s="2">
        <v>0</v>
      </c>
      <c r="T25" s="36"/>
      <c r="U25" s="2">
        <v>0</v>
      </c>
      <c r="V25" s="36"/>
      <c r="W25" s="2">
        <v>609</v>
      </c>
      <c r="X25" s="36"/>
      <c r="Y25" s="2">
        <v>0</v>
      </c>
      <c r="Z25" s="36"/>
      <c r="AA25" s="2">
        <v>1016</v>
      </c>
      <c r="AB25" s="36"/>
      <c r="AC25" s="66"/>
      <c r="AD25" s="12" t="str">
        <f t="shared" si="0"/>
        <v>1208</v>
      </c>
      <c r="AE25" s="39" t="str">
        <f t="shared" si="1"/>
        <v>Parent Instruction</v>
      </c>
      <c r="AF25" s="2">
        <f t="shared" si="10"/>
        <v>5180</v>
      </c>
      <c r="AG25" s="2"/>
      <c r="AH25" s="83">
        <f t="shared" si="2"/>
        <v>2.0077220077220077E-2</v>
      </c>
      <c r="AI25" s="2">
        <f t="shared" si="3"/>
        <v>5284</v>
      </c>
      <c r="AJ25" s="36" t="str">
        <f t="shared" si="4"/>
        <v>2.0% = Est. S &amp; C</v>
      </c>
      <c r="AK25" s="66"/>
      <c r="AL25" s="83">
        <f t="shared" si="5"/>
        <v>2.0060560181680544E-2</v>
      </c>
      <c r="AM25" s="2">
        <f>ROUND(AI25*(1+AM18),0)</f>
        <v>5390</v>
      </c>
      <c r="AN25" s="36" t="str">
        <f>TEXT(AM18,"0.0%")&amp;" = Est. S &amp; C"</f>
        <v>2.0% = Est. S &amp; C</v>
      </c>
      <c r="AP25" s="83">
        <f t="shared" si="6"/>
        <v>2.0037105751391466E-2</v>
      </c>
      <c r="AQ25" s="2">
        <f>ROUND(AM25*(1+AQ18),0)</f>
        <v>5498</v>
      </c>
      <c r="AR25" s="36" t="str">
        <f>TEXT(AQ18,"0.0%")&amp;" = Est. S &amp; C"</f>
        <v>2.0% = Est. S &amp; C</v>
      </c>
      <c r="AT25" s="83">
        <f t="shared" si="7"/>
        <v>2.000727537286286E-2</v>
      </c>
      <c r="AU25" s="2">
        <f>ROUND(AQ25*(1+AU18),0)</f>
        <v>5608</v>
      </c>
      <c r="AV25" s="36" t="str">
        <f>TEXT(AU18,"0.0%")&amp;" = Est. S &amp; C"</f>
        <v>2.0% = Est. S &amp; C</v>
      </c>
      <c r="AX25" s="83">
        <f t="shared" si="8"/>
        <v>1.9971469329529243E-2</v>
      </c>
      <c r="AY25" s="2">
        <f>ROUND(AU25*(1+AY18),0)</f>
        <v>5720</v>
      </c>
      <c r="AZ25" s="36" t="str">
        <f>TEXT(AY18,"0.0%")&amp;" = Est. S &amp; C"</f>
        <v>2.0% = Est. S &amp; C</v>
      </c>
      <c r="BB25" s="83">
        <f t="shared" si="9"/>
        <v>1.9930069930069929E-2</v>
      </c>
      <c r="BC25" s="2">
        <f>ROUND(AY25*(1+BC18),0)</f>
        <v>5834</v>
      </c>
      <c r="BD25" s="36" t="str">
        <f>TEXT(BC18,"0.0%")&amp;" = Est. S &amp; C"</f>
        <v>2.0% = Est. S &amp; C</v>
      </c>
    </row>
    <row r="26" spans="1:56" x14ac:dyDescent="0.25">
      <c r="A26" s="12" t="s">
        <v>39</v>
      </c>
      <c r="B26" s="39" t="s">
        <v>38</v>
      </c>
      <c r="C26" s="3">
        <v>60345</v>
      </c>
      <c r="D26" s="30" t="s">
        <v>116</v>
      </c>
      <c r="E26" s="2">
        <v>0</v>
      </c>
      <c r="F26" s="36"/>
      <c r="G26" s="2">
        <v>0</v>
      </c>
      <c r="H26" s="36"/>
      <c r="I26" s="2">
        <v>0</v>
      </c>
      <c r="J26" s="36"/>
      <c r="K26" s="2">
        <v>0</v>
      </c>
      <c r="L26" s="36"/>
      <c r="M26" s="2">
        <v>0</v>
      </c>
      <c r="N26" s="36"/>
      <c r="O26" s="2">
        <v>0</v>
      </c>
      <c r="P26" s="36"/>
      <c r="Q26" s="2">
        <v>0</v>
      </c>
      <c r="R26" s="36"/>
      <c r="S26" s="2">
        <v>0</v>
      </c>
      <c r="T26" s="36"/>
      <c r="U26" s="2">
        <v>0</v>
      </c>
      <c r="V26" s="36"/>
      <c r="W26" s="2">
        <v>0</v>
      </c>
      <c r="X26" s="36"/>
      <c r="Y26" s="2">
        <v>0</v>
      </c>
      <c r="Z26" s="36"/>
      <c r="AA26" s="2">
        <v>0</v>
      </c>
      <c r="AB26" s="36"/>
      <c r="AC26" s="66"/>
      <c r="AD26" s="12" t="str">
        <f t="shared" si="0"/>
        <v>1305</v>
      </c>
      <c r="AE26" s="39" t="str">
        <f t="shared" si="1"/>
        <v>Director</v>
      </c>
      <c r="AF26" s="2">
        <f t="shared" si="10"/>
        <v>60345</v>
      </c>
      <c r="AG26" s="2"/>
      <c r="AH26" s="83">
        <f t="shared" si="2"/>
        <v>2.0001657138122464E-2</v>
      </c>
      <c r="AI26" s="2">
        <f t="shared" si="3"/>
        <v>61552</v>
      </c>
      <c r="AJ26" s="36" t="str">
        <f t="shared" si="4"/>
        <v>2.0% = Est. S &amp; C</v>
      </c>
      <c r="AK26" s="66"/>
      <c r="AL26" s="83">
        <f t="shared" si="5"/>
        <v>1.9999350142968546E-2</v>
      </c>
      <c r="AM26" s="2">
        <f>ROUND(AI26*(1+AM18),0)</f>
        <v>62783</v>
      </c>
      <c r="AN26" s="36" t="str">
        <f>TEXT(AM18,"0.0%")&amp;" = Est. S &amp; C"</f>
        <v>2.0% = Est. S &amp; C</v>
      </c>
      <c r="AP26" s="83">
        <f t="shared" si="6"/>
        <v>2.0005415478712391E-2</v>
      </c>
      <c r="AQ26" s="2">
        <f>ROUND(AM26*(1+AQ18),0)</f>
        <v>64039</v>
      </c>
      <c r="AR26" s="36" t="str">
        <f>TEXT(AQ18,"0.0%")&amp;" = Est. S &amp; C"</f>
        <v>2.0% = Est. S &amp; C</v>
      </c>
      <c r="AT26" s="83">
        <f t="shared" si="7"/>
        <v>2.0003435406549135E-2</v>
      </c>
      <c r="AU26" s="2">
        <f>ROUND(AQ26*(1+AU18),0)</f>
        <v>65320</v>
      </c>
      <c r="AV26" s="36" t="str">
        <f>TEXT(AU18,"0.0%")&amp;" = Est. S &amp; C"</f>
        <v>2.0% = Est. S &amp; C</v>
      </c>
      <c r="AX26" s="83">
        <f t="shared" si="8"/>
        <v>1.9993876301285976E-2</v>
      </c>
      <c r="AY26" s="2">
        <f>ROUND(AU26*(1+AY18),0)</f>
        <v>66626</v>
      </c>
      <c r="AZ26" s="36" t="str">
        <f>TEXT(AY18,"0.0%")&amp;" = Est. S &amp; C"</f>
        <v>2.0% = Est. S &amp; C</v>
      </c>
      <c r="BB26" s="83">
        <f t="shared" si="9"/>
        <v>2.0007204394680754E-2</v>
      </c>
      <c r="BC26" s="2">
        <f>ROUND(AY26*(1+BC18),0)</f>
        <v>67959</v>
      </c>
      <c r="BD26" s="36" t="str">
        <f>TEXT(BC18,"0.0%")&amp;" = Est. S &amp; C"</f>
        <v>2.0% = Est. S &amp; C</v>
      </c>
    </row>
    <row r="27" spans="1:56" x14ac:dyDescent="0.25">
      <c r="A27" s="12" t="s">
        <v>37</v>
      </c>
      <c r="B27" s="39" t="s">
        <v>36</v>
      </c>
      <c r="C27" s="25">
        <v>578217</v>
      </c>
      <c r="D27" s="50"/>
      <c r="E27" s="36">
        <v>0</v>
      </c>
      <c r="F27" s="36"/>
      <c r="G27" s="36">
        <v>0</v>
      </c>
      <c r="H27" s="36"/>
      <c r="I27" s="36">
        <v>0</v>
      </c>
      <c r="J27" s="36"/>
      <c r="K27" s="36">
        <v>0</v>
      </c>
      <c r="L27" s="36"/>
      <c r="M27" s="36">
        <v>0</v>
      </c>
      <c r="N27" s="36"/>
      <c r="O27" s="36">
        <v>0</v>
      </c>
      <c r="P27" s="36"/>
      <c r="Q27" s="36">
        <v>0</v>
      </c>
      <c r="R27" s="36"/>
      <c r="S27" s="36">
        <v>0</v>
      </c>
      <c r="T27" s="36"/>
      <c r="U27" s="36">
        <v>0</v>
      </c>
      <c r="V27" s="36"/>
      <c r="W27" s="36">
        <v>0</v>
      </c>
      <c r="X27" s="36"/>
      <c r="Y27" s="36">
        <v>0</v>
      </c>
      <c r="Z27" s="36"/>
      <c r="AA27" s="36">
        <v>0</v>
      </c>
      <c r="AB27" s="36"/>
      <c r="AC27" s="66"/>
      <c r="AD27" s="12" t="str">
        <f t="shared" si="0"/>
        <v>1901</v>
      </c>
      <c r="AE27" s="39" t="str">
        <f t="shared" si="1"/>
        <v>Inst. Coaches</v>
      </c>
      <c r="AF27" s="2">
        <f t="shared" si="10"/>
        <v>578217</v>
      </c>
      <c r="AG27" s="2"/>
      <c r="AH27" s="83">
        <f t="shared" si="2"/>
        <v>1.9999411985465666E-2</v>
      </c>
      <c r="AI27" s="2">
        <f t="shared" si="3"/>
        <v>589781</v>
      </c>
      <c r="AJ27" s="36" t="str">
        <f>TEXT($AI$18,"0.0%")&amp;" = Est. S &amp; C"</f>
        <v>2.0% = Est. S &amp; C</v>
      </c>
      <c r="AK27" s="66"/>
      <c r="AL27" s="83">
        <f t="shared" si="5"/>
        <v>2.0000644306954616E-2</v>
      </c>
      <c r="AM27" s="2">
        <f>ROUND(AI27*(1+AM18),0)</f>
        <v>601577</v>
      </c>
      <c r="AN27" s="36" t="str">
        <f>TEXT(AM18,"0.0%")&amp;" = Est. S &amp; C"</f>
        <v>2.0% = Est. S &amp; C</v>
      </c>
      <c r="AP27" s="83">
        <f t="shared" si="6"/>
        <v>2.0000764656893464E-2</v>
      </c>
      <c r="AQ27" s="2">
        <f>ROUND(AM27*(1+AQ18),0)</f>
        <v>613609</v>
      </c>
      <c r="AR27" s="36" t="str">
        <f>TEXT(AQ18,"0.0%")&amp;" = Est. S &amp; C"</f>
        <v>2.0% = Est. S &amp; C</v>
      </c>
      <c r="AT27" s="83">
        <f t="shared" si="7"/>
        <v>1.9999706653585591E-2</v>
      </c>
      <c r="AU27" s="2">
        <f>ROUND(AQ27*(1+AU18),0)</f>
        <v>625881</v>
      </c>
      <c r="AV27" s="36" t="str">
        <f>TEXT(AU18,"0.0%")&amp;" = Est. S &amp; C"</f>
        <v>2.0% = Est. S &amp; C</v>
      </c>
      <c r="AX27" s="83">
        <f t="shared" si="8"/>
        <v>2.0000607144169579E-2</v>
      </c>
      <c r="AY27" s="2">
        <f>ROUND(AU27*(1+AY18),0)</f>
        <v>638399</v>
      </c>
      <c r="AZ27" s="36" t="str">
        <f>TEXT(AY18,"0.0%")&amp;" = Est. S &amp; C"</f>
        <v>2.0% = Est. S &amp; C</v>
      </c>
      <c r="BB27" s="83">
        <f t="shared" si="9"/>
        <v>2.0000031328369874E-2</v>
      </c>
      <c r="BC27" s="2">
        <f>ROUND(AY27*(1+BC18),0)</f>
        <v>651167</v>
      </c>
      <c r="BD27" s="36" t="str">
        <f>TEXT(BC18,"0.0%")&amp;" = Est. S &amp; C"</f>
        <v>2.0% = Est. S &amp; C</v>
      </c>
    </row>
    <row r="28" spans="1:56" ht="6" customHeight="1" x14ac:dyDescent="0.25">
      <c r="A28" s="12"/>
      <c r="C28" s="25"/>
      <c r="D28" s="30"/>
      <c r="E28" s="36"/>
      <c r="F28" s="36"/>
      <c r="G28" s="36"/>
      <c r="H28" s="36"/>
      <c r="I28" s="36"/>
      <c r="J28" s="36"/>
      <c r="K28" s="36"/>
      <c r="L28" s="36"/>
      <c r="M28" s="36"/>
      <c r="N28" s="36"/>
      <c r="O28" s="36"/>
      <c r="P28" s="36"/>
      <c r="Q28" s="36"/>
      <c r="R28" s="36"/>
      <c r="S28" s="36"/>
      <c r="T28" s="36"/>
      <c r="U28" s="36"/>
      <c r="V28" s="36"/>
      <c r="W28" s="36"/>
      <c r="X28" s="36"/>
      <c r="Y28" s="36"/>
      <c r="Z28" s="36"/>
      <c r="AA28" s="36"/>
      <c r="AB28" s="36"/>
      <c r="AC28" s="66"/>
      <c r="AD28" s="12"/>
      <c r="AF28" s="2"/>
      <c r="AG28" s="2"/>
      <c r="AH28" s="83"/>
      <c r="AI28" s="2"/>
      <c r="AJ28" s="36"/>
      <c r="AK28" s="66"/>
      <c r="AM28" s="2"/>
      <c r="AN28" s="73"/>
      <c r="AQ28" s="2"/>
      <c r="AR28" s="73"/>
      <c r="AU28" s="2"/>
      <c r="AV28" s="73"/>
      <c r="AY28" s="2"/>
      <c r="AZ28" s="73"/>
      <c r="BC28" s="2"/>
      <c r="BD28" s="73"/>
    </row>
    <row r="29" spans="1:56" x14ac:dyDescent="0.25">
      <c r="A29" s="12"/>
      <c r="C29" s="8">
        <f>SUM(C21:C28)</f>
        <v>967375</v>
      </c>
      <c r="D29" s="33"/>
      <c r="E29" s="8">
        <f>SUM(E21:E28)</f>
        <v>16869</v>
      </c>
      <c r="F29" s="5"/>
      <c r="G29" s="8">
        <f>SUM(G21:G28)</f>
        <v>5175</v>
      </c>
      <c r="H29" s="5"/>
      <c r="I29" s="8">
        <f>SUM(I21:I28)</f>
        <v>20370</v>
      </c>
      <c r="J29" s="5"/>
      <c r="K29" s="8">
        <f>SUM(K21:K28)</f>
        <v>13329</v>
      </c>
      <c r="L29" s="5"/>
      <c r="M29" s="8">
        <f>SUM(M21:M28)</f>
        <v>12960</v>
      </c>
      <c r="N29" s="5"/>
      <c r="O29" s="8">
        <f>SUM(O21:O28)</f>
        <v>5807</v>
      </c>
      <c r="P29" s="5"/>
      <c r="Q29" s="8">
        <f>SUM(Q21:Q28)</f>
        <v>9510</v>
      </c>
      <c r="R29" s="5"/>
      <c r="S29" s="8">
        <f>SUM(S21:S28)</f>
        <v>14948</v>
      </c>
      <c r="T29" s="5"/>
      <c r="U29" s="8">
        <f>SUM(U21:U28)</f>
        <v>10885</v>
      </c>
      <c r="V29" s="5"/>
      <c r="W29" s="8">
        <f>SUM(W21:W28)</f>
        <v>8581</v>
      </c>
      <c r="X29" s="5"/>
      <c r="Y29" s="8">
        <f>SUM(Y21:Y28)</f>
        <v>14100</v>
      </c>
      <c r="Z29" s="5"/>
      <c r="AA29" s="8">
        <f>SUM(AA21:AA28)</f>
        <v>19794</v>
      </c>
      <c r="AB29" s="5"/>
      <c r="AC29" s="29"/>
      <c r="AD29" s="12"/>
      <c r="AF29" s="8">
        <f>SUM(AF21:AF28)</f>
        <v>1119703</v>
      </c>
      <c r="AG29" s="2"/>
      <c r="AH29" s="83">
        <f t="shared" si="2"/>
        <v>1.9999946414361664E-2</v>
      </c>
      <c r="AI29" s="8">
        <f>SUM(AI21:AI28)</f>
        <v>1142097</v>
      </c>
      <c r="AJ29" s="5"/>
      <c r="AK29" s="29"/>
      <c r="AL29" s="83">
        <f>IF(AI29=0,"0.00%",(AM29-AI29)/AI29)</f>
        <v>2.0000928117314028E-2</v>
      </c>
      <c r="AM29" s="8">
        <f>SUM(AM21:AM28)</f>
        <v>1164940</v>
      </c>
      <c r="AN29" s="73"/>
      <c r="AP29" s="83">
        <f>IF(AM29=0,"0.00%",(AQ29-AM29)/AM29)</f>
        <v>2.0000171682661768E-2</v>
      </c>
      <c r="AQ29" s="8">
        <f>SUM(AQ21:AQ28)</f>
        <v>1188239</v>
      </c>
      <c r="AR29" s="73"/>
      <c r="AT29" s="83">
        <f>IF(AQ29=0,"0.00%",(AU29-AQ29)/AQ29)</f>
        <v>1.9999343566403729E-2</v>
      </c>
      <c r="AU29" s="8">
        <f>SUM(AU21:AU28)</f>
        <v>1212003</v>
      </c>
      <c r="AV29" s="73"/>
      <c r="AX29" s="83">
        <f>IF(AU29=0,"0.00%",(AY29-AU29)/AU29)</f>
        <v>1.9999950495172041E-2</v>
      </c>
      <c r="AY29" s="8">
        <f>SUM(AY21:AY28)</f>
        <v>1236243</v>
      </c>
      <c r="AZ29" s="73"/>
      <c r="BB29" s="83">
        <f>IF(AY29=0,"0.00%",(BC29-AY29)/AY29)</f>
        <v>2.0000113246343963E-2</v>
      </c>
      <c r="BC29" s="8">
        <f>SUM(BC21:BC28)</f>
        <v>1260968</v>
      </c>
      <c r="BD29" s="73"/>
    </row>
    <row r="30" spans="1:56" x14ac:dyDescent="0.25">
      <c r="C30" s="3"/>
      <c r="D30" s="30"/>
      <c r="E30" s="2"/>
      <c r="F30" s="36"/>
      <c r="G30" s="2"/>
      <c r="H30" s="36"/>
      <c r="J30" s="36"/>
      <c r="K30" s="2"/>
      <c r="L30" s="36"/>
      <c r="M30" s="2"/>
      <c r="N30" s="36"/>
      <c r="O30" s="2"/>
      <c r="P30" s="36"/>
      <c r="Q30" s="2"/>
      <c r="R30" s="36"/>
      <c r="S30" s="2"/>
      <c r="T30" s="36"/>
      <c r="U30" s="2"/>
      <c r="V30" s="36"/>
      <c r="W30" s="2"/>
      <c r="X30" s="36"/>
      <c r="Y30" s="2"/>
      <c r="Z30" s="36"/>
      <c r="AA30" s="2"/>
      <c r="AB30" s="36"/>
      <c r="AC30" s="66"/>
      <c r="AF30" s="2"/>
      <c r="AG30" s="2"/>
      <c r="AI30" s="2"/>
      <c r="AJ30" s="36"/>
      <c r="AK30" s="66"/>
      <c r="AM30" s="2"/>
      <c r="AN30" s="73"/>
      <c r="AQ30" s="2"/>
      <c r="AR30" s="73"/>
      <c r="AU30" s="2"/>
      <c r="AV30" s="73"/>
      <c r="AY30" s="2"/>
      <c r="AZ30" s="73"/>
      <c r="BC30" s="2"/>
      <c r="BD30" s="73"/>
    </row>
    <row r="31" spans="1:56" s="4" customFormat="1" x14ac:dyDescent="0.25">
      <c r="A31" s="22" t="s">
        <v>35</v>
      </c>
      <c r="D31" s="7"/>
      <c r="AC31" s="58"/>
      <c r="AD31" s="22" t="str">
        <f t="shared" ref="AD31:AD38" si="11">A31</f>
        <v>Classified</v>
      </c>
      <c r="AF31" s="6"/>
      <c r="AG31" s="6"/>
      <c r="AH31" s="26"/>
      <c r="AI31" s="6"/>
      <c r="AJ31" s="6"/>
      <c r="AK31" s="57"/>
      <c r="AM31" s="6"/>
      <c r="AN31" s="71"/>
      <c r="AQ31" s="6"/>
      <c r="AR31" s="71"/>
      <c r="AU31" s="6"/>
      <c r="AV31" s="71"/>
      <c r="AY31" s="6"/>
      <c r="AZ31" s="71"/>
      <c r="BC31" s="6"/>
      <c r="BD31" s="71"/>
    </row>
    <row r="32" spans="1:56" x14ac:dyDescent="0.25">
      <c r="A32" s="12" t="s">
        <v>69</v>
      </c>
      <c r="B32" s="39" t="s">
        <v>70</v>
      </c>
      <c r="C32" s="3">
        <v>0</v>
      </c>
      <c r="D32" s="30"/>
      <c r="E32" s="2">
        <v>0</v>
      </c>
      <c r="F32" s="36"/>
      <c r="G32" s="2">
        <v>16243</v>
      </c>
      <c r="H32" s="36"/>
      <c r="I32" s="2">
        <v>28486</v>
      </c>
      <c r="J32" s="36"/>
      <c r="K32" s="2">
        <v>0</v>
      </c>
      <c r="L32" s="36"/>
      <c r="M32" s="2">
        <v>0</v>
      </c>
      <c r="N32" s="36"/>
      <c r="O32" s="2">
        <v>0</v>
      </c>
      <c r="P32" s="36"/>
      <c r="Q32" s="2">
        <v>0</v>
      </c>
      <c r="R32" s="36"/>
      <c r="S32" s="2">
        <v>25204</v>
      </c>
      <c r="T32" s="36"/>
      <c r="U32" s="2">
        <v>0</v>
      </c>
      <c r="V32" s="36"/>
      <c r="W32" s="2">
        <v>27270</v>
      </c>
      <c r="X32" s="36"/>
      <c r="Y32" s="2">
        <v>0</v>
      </c>
      <c r="Z32" s="36"/>
      <c r="AA32" s="2">
        <v>0</v>
      </c>
      <c r="AB32" s="36"/>
      <c r="AC32" s="66"/>
      <c r="AD32" s="12" t="str">
        <f t="shared" si="11"/>
        <v>2101</v>
      </c>
      <c r="AE32" s="39" t="str">
        <f t="shared" ref="AE32:AE38" si="12">B32</f>
        <v>Para Lrning Asstnt</v>
      </c>
      <c r="AF32" s="2">
        <f>SUM(C32,E32,G32,I32,K32,M32,O32,Q32,S32,U32,W32,Y32,AA32)</f>
        <v>97203</v>
      </c>
      <c r="AG32" s="2"/>
      <c r="AH32" s="83">
        <f t="shared" ref="AH32:AH38" si="13">IF(AF32=0,"0.00%",(AI32-AF32)/AF32)</f>
        <v>1.9999382735100768E-2</v>
      </c>
      <c r="AI32" s="2">
        <f t="shared" ref="AI32:AI38" si="14">ROUND(AF32*(1+$AI$18),0)</f>
        <v>99147</v>
      </c>
      <c r="AJ32" s="36" t="str">
        <f t="shared" ref="AJ32:AJ38" si="15">TEXT($AI$18,"0.0%")&amp;" = Est. S &amp; C"</f>
        <v>2.0% = Est. S &amp; C</v>
      </c>
      <c r="AK32" s="66"/>
      <c r="AL32" s="83">
        <f t="shared" ref="AL32:AL38" si="16">IF(AI32=0,"0.00%",(AM32-AI32)/AI32)</f>
        <v>2.0000605162032135E-2</v>
      </c>
      <c r="AM32" s="2">
        <f>ROUND(AI32*(1+AM18),0)</f>
        <v>101130</v>
      </c>
      <c r="AN32" s="36" t="str">
        <f>TEXT(AM18,"0.0%")&amp;" = Est. S &amp; C"</f>
        <v>2.0% = Est. S &amp; C</v>
      </c>
      <c r="AP32" s="83">
        <f t="shared" ref="AP32:AP38" si="17">IF(AM32=0,"0.00%",(AQ32-AM32)/AM32)</f>
        <v>2.0003955305052903E-2</v>
      </c>
      <c r="AQ32" s="2">
        <f>ROUND(AM32*(1+AQ18),0)</f>
        <v>103153</v>
      </c>
      <c r="AR32" s="36" t="str">
        <f>TEXT(AQ18,"0.0%")&amp;" = Est. S &amp; C"</f>
        <v>2.0% = Est. S &amp; C</v>
      </c>
      <c r="AT32" s="83">
        <f t="shared" ref="AT32:AT38" si="18">IF(AQ32=0,"0.00%",(AU32-AQ32)/AQ32)</f>
        <v>1.9999418339747752E-2</v>
      </c>
      <c r="AU32" s="2">
        <f>ROUND(AQ32*(1+AU18),0)</f>
        <v>105216</v>
      </c>
      <c r="AV32" s="36" t="str">
        <f>TEXT(AU18,"0.0%")&amp;" = Est. S &amp; C"</f>
        <v>2.0% = Est. S &amp; C</v>
      </c>
      <c r="AX32" s="83">
        <f t="shared" ref="AX32:AX38" si="19">IF(AU32=0,"0.00%",(AY32-AU32)/AU32)</f>
        <v>1.9996958637469586E-2</v>
      </c>
      <c r="AY32" s="2">
        <f>ROUND(AU32*(1+AY18),0)</f>
        <v>107320</v>
      </c>
      <c r="AZ32" s="36" t="str">
        <f>TEXT(AY18,"0.0%")&amp;" = Est. S &amp; C"</f>
        <v>2.0% = Est. S &amp; C</v>
      </c>
      <c r="BB32" s="83">
        <f t="shared" ref="BB32:BB38" si="20">IF(AY32=0,"0.00%",(BC32-AY32)/AY32)</f>
        <v>1.9996272828922846E-2</v>
      </c>
      <c r="BC32" s="2">
        <f>ROUND(AY32*(1+BC18),0)</f>
        <v>109466</v>
      </c>
      <c r="BD32" s="36" t="str">
        <f>TEXT(BC18,"0.0%")&amp;" = Est. S &amp; C"</f>
        <v>2.0% = Est. S &amp; C</v>
      </c>
    </row>
    <row r="33" spans="1:56" x14ac:dyDescent="0.25">
      <c r="A33" s="12" t="s">
        <v>34</v>
      </c>
      <c r="B33" s="39" t="s">
        <v>33</v>
      </c>
      <c r="C33" s="3">
        <v>0</v>
      </c>
      <c r="D33" s="30"/>
      <c r="E33" s="2">
        <v>0</v>
      </c>
      <c r="F33" s="36"/>
      <c r="G33" s="2">
        <v>0</v>
      </c>
      <c r="H33" s="36"/>
      <c r="I33" s="2">
        <v>0</v>
      </c>
      <c r="J33" s="36"/>
      <c r="K33" s="2">
        <v>0</v>
      </c>
      <c r="L33" s="36"/>
      <c r="M33" s="2">
        <v>0</v>
      </c>
      <c r="N33" s="36"/>
      <c r="O33" s="2">
        <v>0</v>
      </c>
      <c r="P33" s="36"/>
      <c r="Q33" s="2">
        <v>0</v>
      </c>
      <c r="R33" s="36"/>
      <c r="S33" s="2">
        <v>0</v>
      </c>
      <c r="T33" s="36"/>
      <c r="U33" s="2">
        <v>0</v>
      </c>
      <c r="V33" s="36"/>
      <c r="W33" s="2">
        <v>0</v>
      </c>
      <c r="X33" s="36"/>
      <c r="Y33" s="2">
        <v>0</v>
      </c>
      <c r="Z33" s="36"/>
      <c r="AA33" s="2">
        <v>0</v>
      </c>
      <c r="AB33" s="36"/>
      <c r="AC33" s="66"/>
      <c r="AD33" s="12" t="str">
        <f t="shared" si="11"/>
        <v>2273</v>
      </c>
      <c r="AE33" s="39" t="str">
        <f t="shared" si="12"/>
        <v>Extra Clss Support</v>
      </c>
      <c r="AF33" s="2">
        <f t="shared" ref="AF33:AF38" si="21">SUM(C33,E33,G33,I33,K33,M33,O33,Q33,S33,U33,W33,Y33,AA33)</f>
        <v>0</v>
      </c>
      <c r="AG33" s="2"/>
      <c r="AH33" s="83" t="str">
        <f t="shared" si="13"/>
        <v>0.00%</v>
      </c>
      <c r="AI33" s="2">
        <f t="shared" si="14"/>
        <v>0</v>
      </c>
      <c r="AJ33" s="36" t="str">
        <f t="shared" si="15"/>
        <v>2.0% = Est. S &amp; C</v>
      </c>
      <c r="AK33" s="66"/>
      <c r="AL33" s="83" t="str">
        <f t="shared" si="16"/>
        <v>0.00%</v>
      </c>
      <c r="AM33" s="2">
        <f>ROUND(AI33*(1+AM18),0)</f>
        <v>0</v>
      </c>
      <c r="AN33" s="36" t="str">
        <f>TEXT(AM18,"0.0%")&amp;" = Est. S &amp; C"</f>
        <v>2.0% = Est. S &amp; C</v>
      </c>
      <c r="AP33" s="83" t="str">
        <f t="shared" si="17"/>
        <v>0.00%</v>
      </c>
      <c r="AQ33" s="2">
        <f>ROUND(AM33*(1+AQ18),0)</f>
        <v>0</v>
      </c>
      <c r="AR33" s="36" t="str">
        <f>TEXT(AQ18,"0.0%")&amp;" = Est. S &amp; C"</f>
        <v>2.0% = Est. S &amp; C</v>
      </c>
      <c r="AT33" s="83" t="str">
        <f t="shared" si="18"/>
        <v>0.00%</v>
      </c>
      <c r="AU33" s="2">
        <f>ROUND(AQ33*(1+AU18),0)</f>
        <v>0</v>
      </c>
      <c r="AV33" s="36" t="str">
        <f>TEXT(AU18,"0.0%")&amp;" = Est. S &amp; C"</f>
        <v>2.0% = Est. S &amp; C</v>
      </c>
      <c r="AX33" s="83" t="str">
        <f t="shared" si="19"/>
        <v>0.00%</v>
      </c>
      <c r="AY33" s="2">
        <f>ROUND(AU33*(1+AY18),0)</f>
        <v>0</v>
      </c>
      <c r="AZ33" s="36" t="str">
        <f>TEXT(AY18,"0.0%")&amp;" = Est. S &amp; C"</f>
        <v>2.0% = Est. S &amp; C</v>
      </c>
      <c r="BB33" s="83" t="str">
        <f t="shared" si="20"/>
        <v>0.00%</v>
      </c>
      <c r="BC33" s="2">
        <f>ROUND(AY33*(1+BC18),0)</f>
        <v>0</v>
      </c>
      <c r="BD33" s="36" t="str">
        <f>TEXT(BC18,"0.0%")&amp;" = Est. S &amp; C"</f>
        <v>2.0% = Est. S &amp; C</v>
      </c>
    </row>
    <row r="34" spans="1:56" x14ac:dyDescent="0.25">
      <c r="A34" s="12" t="s">
        <v>32</v>
      </c>
      <c r="B34" s="39" t="s">
        <v>31</v>
      </c>
      <c r="C34" s="3">
        <v>18222</v>
      </c>
      <c r="D34" s="30" t="s">
        <v>115</v>
      </c>
      <c r="E34" s="2">
        <v>0</v>
      </c>
      <c r="F34" s="36"/>
      <c r="G34" s="2">
        <v>0</v>
      </c>
      <c r="H34" s="36"/>
      <c r="I34" s="2">
        <v>0</v>
      </c>
      <c r="J34" s="36"/>
      <c r="K34" s="2">
        <v>0</v>
      </c>
      <c r="L34" s="36"/>
      <c r="M34" s="2">
        <v>0</v>
      </c>
      <c r="N34" s="36"/>
      <c r="O34" s="2">
        <v>0</v>
      </c>
      <c r="P34" s="36"/>
      <c r="Q34" s="2">
        <v>0</v>
      </c>
      <c r="R34" s="36"/>
      <c r="S34" s="2">
        <v>0</v>
      </c>
      <c r="T34" s="36"/>
      <c r="U34" s="2">
        <v>0</v>
      </c>
      <c r="V34" s="36"/>
      <c r="W34" s="2">
        <v>0</v>
      </c>
      <c r="X34" s="36"/>
      <c r="Y34" s="2">
        <v>0</v>
      </c>
      <c r="Z34" s="36"/>
      <c r="AA34" s="2">
        <v>0</v>
      </c>
      <c r="AB34" s="36"/>
      <c r="AC34" s="66"/>
      <c r="AD34" s="12" t="str">
        <f t="shared" si="11"/>
        <v>2404</v>
      </c>
      <c r="AE34" s="39" t="str">
        <f t="shared" si="12"/>
        <v>Secretary</v>
      </c>
      <c r="AF34" s="2">
        <f t="shared" si="21"/>
        <v>18222</v>
      </c>
      <c r="AG34" s="2"/>
      <c r="AH34" s="83">
        <f t="shared" si="13"/>
        <v>1.9975853364065415E-2</v>
      </c>
      <c r="AI34" s="2">
        <f t="shared" si="14"/>
        <v>18586</v>
      </c>
      <c r="AJ34" s="36" t="str">
        <f t="shared" si="15"/>
        <v>2.0% = Est. S &amp; C</v>
      </c>
      <c r="AK34" s="66"/>
      <c r="AL34" s="83">
        <f t="shared" si="16"/>
        <v>2.0015065102765524E-2</v>
      </c>
      <c r="AM34" s="2">
        <f>ROUND(AI34*(1+AM18),0)</f>
        <v>18958</v>
      </c>
      <c r="AN34" s="36" t="str">
        <f>TEXT(AM18,"0.0%")&amp;" = Est. S &amp; C"</f>
        <v>2.0% = Est. S &amp; C</v>
      </c>
      <c r="AP34" s="83">
        <f t="shared" si="17"/>
        <v>1.9991560291169955E-2</v>
      </c>
      <c r="AQ34" s="2">
        <f>ROUND(AM34*(1+AQ18),0)</f>
        <v>19337</v>
      </c>
      <c r="AR34" s="36" t="str">
        <f>TEXT(AQ18,"0.0%")&amp;" = Est. S &amp; C"</f>
        <v>2.0% = Est. S &amp; C</v>
      </c>
      <c r="AT34" s="83">
        <f t="shared" si="18"/>
        <v>2.0013445725810621E-2</v>
      </c>
      <c r="AU34" s="2">
        <f>ROUND(AQ34*(1+AU18),0)</f>
        <v>19724</v>
      </c>
      <c r="AV34" s="36" t="str">
        <f>TEXT(AU18,"0.0%")&amp;" = Est. S &amp; C"</f>
        <v>2.0% = Est. S &amp; C</v>
      </c>
      <c r="AX34" s="83">
        <f t="shared" si="19"/>
        <v>1.9975664165483676E-2</v>
      </c>
      <c r="AY34" s="2">
        <f>ROUND(AU34*(1+AY18),0)</f>
        <v>20118</v>
      </c>
      <c r="AZ34" s="36" t="str">
        <f>TEXT(AY18,"0.0%")&amp;" = Est. S &amp; C"</f>
        <v>2.0% = Est. S &amp; C</v>
      </c>
      <c r="BB34" s="83">
        <f t="shared" si="20"/>
        <v>1.9982105577095139E-2</v>
      </c>
      <c r="BC34" s="2">
        <f>ROUND(AY34*(1+BC18),0)</f>
        <v>20520</v>
      </c>
      <c r="BD34" s="36" t="str">
        <f>TEXT(BC18,"0.0%")&amp;" = Est. S &amp; C"</f>
        <v>2.0% = Est. S &amp; C</v>
      </c>
    </row>
    <row r="35" spans="1:56" x14ac:dyDescent="0.25">
      <c r="A35" s="12" t="s">
        <v>30</v>
      </c>
      <c r="B35" s="39" t="s">
        <v>29</v>
      </c>
      <c r="C35" s="3">
        <v>1236</v>
      </c>
      <c r="D35" s="30"/>
      <c r="E35" s="2">
        <v>0</v>
      </c>
      <c r="F35" s="36"/>
      <c r="G35" s="2">
        <v>0</v>
      </c>
      <c r="H35" s="36"/>
      <c r="I35" s="2">
        <v>0</v>
      </c>
      <c r="J35" s="36"/>
      <c r="K35" s="2">
        <v>102</v>
      </c>
      <c r="L35" s="36"/>
      <c r="M35" s="2">
        <v>0</v>
      </c>
      <c r="N35" s="36"/>
      <c r="O35" s="2">
        <v>0</v>
      </c>
      <c r="P35" s="36"/>
      <c r="Q35" s="2">
        <v>0</v>
      </c>
      <c r="R35" s="36"/>
      <c r="S35" s="2">
        <v>0</v>
      </c>
      <c r="T35" s="36"/>
      <c r="U35" s="2">
        <v>0</v>
      </c>
      <c r="V35" s="36"/>
      <c r="W35" s="2">
        <v>0</v>
      </c>
      <c r="X35" s="36"/>
      <c r="Y35" s="2">
        <v>0</v>
      </c>
      <c r="Z35" s="36"/>
      <c r="AA35" s="2">
        <v>0</v>
      </c>
      <c r="AB35" s="36"/>
      <c r="AC35" s="66"/>
      <c r="AD35" s="12" t="str">
        <f t="shared" si="11"/>
        <v>2481</v>
      </c>
      <c r="AE35" s="39" t="str">
        <f t="shared" si="12"/>
        <v>Sub. Office</v>
      </c>
      <c r="AF35" s="2">
        <f t="shared" si="21"/>
        <v>1338</v>
      </c>
      <c r="AG35" s="2"/>
      <c r="AH35" s="83">
        <f t="shared" si="13"/>
        <v>2.0179372197309416E-2</v>
      </c>
      <c r="AI35" s="2">
        <f t="shared" si="14"/>
        <v>1365</v>
      </c>
      <c r="AJ35" s="36" t="str">
        <f t="shared" si="15"/>
        <v>2.0% = Est. S &amp; C</v>
      </c>
      <c r="AK35" s="66"/>
      <c r="AL35" s="83">
        <f t="shared" si="16"/>
        <v>1.9780219780219779E-2</v>
      </c>
      <c r="AM35" s="2">
        <f>ROUND(AI35*(1+AM18),0)</f>
        <v>1392</v>
      </c>
      <c r="AN35" s="36" t="str">
        <f>TEXT(AM18,"0.0%")&amp;" = Est. S &amp; C"</f>
        <v>2.0% = Est. S &amp; C</v>
      </c>
      <c r="AP35" s="83">
        <f t="shared" si="17"/>
        <v>2.0114942528735632E-2</v>
      </c>
      <c r="AQ35" s="2">
        <f>ROUND(AM35*(1+AQ18),0)</f>
        <v>1420</v>
      </c>
      <c r="AR35" s="36" t="str">
        <f>TEXT(AQ18,"0.0%")&amp;" = Est. S &amp; C"</f>
        <v>2.0% = Est. S &amp; C</v>
      </c>
      <c r="AT35" s="83">
        <f t="shared" si="18"/>
        <v>1.9718309859154931E-2</v>
      </c>
      <c r="AU35" s="2">
        <f>ROUND(AQ35*(1+AU18),0)</f>
        <v>1448</v>
      </c>
      <c r="AV35" s="36" t="str">
        <f>TEXT(AU18,"0.0%")&amp;" = Est. S &amp; C"</f>
        <v>2.0% = Est. S &amp; C</v>
      </c>
      <c r="AX35" s="83">
        <f t="shared" si="19"/>
        <v>2.0027624309392266E-2</v>
      </c>
      <c r="AY35" s="2">
        <f>ROUND(AU35*(1+AY18),0)</f>
        <v>1477</v>
      </c>
      <c r="AZ35" s="36" t="str">
        <f>TEXT(AY18,"0.0%")&amp;" = Est. S &amp; C"</f>
        <v>2.0% = Est. S &amp; C</v>
      </c>
      <c r="BB35" s="83">
        <f t="shared" si="20"/>
        <v>2.0311442112389978E-2</v>
      </c>
      <c r="BC35" s="2">
        <f>ROUND(AY35*(1+BC18),0)</f>
        <v>1507</v>
      </c>
      <c r="BD35" s="36" t="str">
        <f>TEXT(BC18,"0.0%")&amp;" = Est. S &amp; C"</f>
        <v>2.0% = Est. S &amp; C</v>
      </c>
    </row>
    <row r="36" spans="1:56" x14ac:dyDescent="0.25">
      <c r="A36" s="12" t="s">
        <v>72</v>
      </c>
      <c r="B36" s="39" t="s">
        <v>71</v>
      </c>
      <c r="C36" s="3">
        <v>0</v>
      </c>
      <c r="D36" s="30"/>
      <c r="E36" s="2">
        <v>0</v>
      </c>
      <c r="F36" s="36"/>
      <c r="G36" s="2">
        <v>0</v>
      </c>
      <c r="H36" s="36"/>
      <c r="I36" s="2">
        <v>0</v>
      </c>
      <c r="J36" s="36"/>
      <c r="K36" s="2">
        <v>0</v>
      </c>
      <c r="L36" s="36"/>
      <c r="M36" s="2">
        <v>0</v>
      </c>
      <c r="N36" s="36"/>
      <c r="O36" s="2">
        <v>370</v>
      </c>
      <c r="P36" s="36"/>
      <c r="Q36" s="2">
        <v>407</v>
      </c>
      <c r="R36" s="36"/>
      <c r="S36" s="2">
        <v>0</v>
      </c>
      <c r="T36" s="36"/>
      <c r="U36" s="2">
        <v>167</v>
      </c>
      <c r="V36" s="36"/>
      <c r="W36" s="2">
        <v>370</v>
      </c>
      <c r="X36" s="36"/>
      <c r="Y36" s="2">
        <v>0</v>
      </c>
      <c r="Z36" s="36"/>
      <c r="AA36" s="2">
        <v>556</v>
      </c>
      <c r="AB36" s="36"/>
      <c r="AC36" s="66"/>
      <c r="AD36" s="12" t="str">
        <f t="shared" si="11"/>
        <v>2901</v>
      </c>
      <c r="AE36" s="39" t="str">
        <f t="shared" si="12"/>
        <v>Babysitter</v>
      </c>
      <c r="AF36" s="2">
        <f t="shared" si="21"/>
        <v>1870</v>
      </c>
      <c r="AG36" s="2"/>
      <c r="AH36" s="83">
        <f t="shared" si="13"/>
        <v>1.9786096256684493E-2</v>
      </c>
      <c r="AI36" s="2">
        <f t="shared" si="14"/>
        <v>1907</v>
      </c>
      <c r="AJ36" s="36" t="str">
        <f t="shared" si="15"/>
        <v>2.0% = Est. S &amp; C</v>
      </c>
      <c r="AK36" s="66"/>
      <c r="AL36" s="83">
        <f t="shared" si="16"/>
        <v>1.9926586261143155E-2</v>
      </c>
      <c r="AM36" s="2">
        <f>ROUND(AI36*(1+AM18),0)</f>
        <v>1945</v>
      </c>
      <c r="AN36" s="36" t="str">
        <f>TEXT(AM18,"0.0%")&amp;" = Est. S &amp; C"</f>
        <v>2.0% = Est. S &amp; C</v>
      </c>
      <c r="AP36" s="83">
        <f t="shared" si="17"/>
        <v>2.0051413881748071E-2</v>
      </c>
      <c r="AQ36" s="2">
        <f>ROUND(AM36*(1+AQ18),0)</f>
        <v>1984</v>
      </c>
      <c r="AR36" s="36" t="str">
        <f>TEXT(AQ18,"0.0%")&amp;" = Est. S &amp; C"</f>
        <v>2.0% = Est. S &amp; C</v>
      </c>
      <c r="AT36" s="83">
        <f t="shared" si="18"/>
        <v>2.0161290322580645E-2</v>
      </c>
      <c r="AU36" s="2">
        <f>ROUND(AQ36*(1+AU18),0)</f>
        <v>2024</v>
      </c>
      <c r="AV36" s="36" t="str">
        <f>TEXT(AU18,"0.0%")&amp;" = Est. S &amp; C"</f>
        <v>2.0% = Est. S &amp; C</v>
      </c>
      <c r="AX36" s="83">
        <f t="shared" si="19"/>
        <v>1.9762845849802372E-2</v>
      </c>
      <c r="AY36" s="2">
        <f>ROUND(AU36*(1+AY18),0)</f>
        <v>2064</v>
      </c>
      <c r="AZ36" s="36" t="str">
        <f>TEXT(AY18,"0.0%")&amp;" = Est. S &amp; C"</f>
        <v>2.0% = Est. S &amp; C</v>
      </c>
      <c r="BB36" s="83">
        <f t="shared" si="20"/>
        <v>1.9864341085271318E-2</v>
      </c>
      <c r="BC36" s="2">
        <f>ROUND(AY36*(1+BC18),0)</f>
        <v>2105</v>
      </c>
      <c r="BD36" s="36" t="str">
        <f>TEXT(BC18,"0.0%")&amp;" = Est. S &amp; C"</f>
        <v>2.0% = Est. S &amp; C</v>
      </c>
    </row>
    <row r="37" spans="1:56" x14ac:dyDescent="0.25">
      <c r="A37" s="12" t="s">
        <v>114</v>
      </c>
      <c r="B37" s="39" t="s">
        <v>117</v>
      </c>
      <c r="C37" s="3">
        <v>0</v>
      </c>
      <c r="D37" s="30"/>
      <c r="E37" s="2">
        <v>406</v>
      </c>
      <c r="F37" s="36"/>
      <c r="G37" s="2">
        <v>304</v>
      </c>
      <c r="H37" s="36"/>
      <c r="I37" s="2">
        <v>85</v>
      </c>
      <c r="J37" s="36"/>
      <c r="K37" s="2">
        <v>406</v>
      </c>
      <c r="L37" s="36"/>
      <c r="M37" s="2">
        <v>1388</v>
      </c>
      <c r="N37" s="36"/>
      <c r="O37" s="2">
        <v>1693</v>
      </c>
      <c r="P37" s="36"/>
      <c r="Q37" s="2">
        <v>814</v>
      </c>
      <c r="R37" s="36"/>
      <c r="S37" s="2">
        <v>169</v>
      </c>
      <c r="T37" s="36"/>
      <c r="U37" s="2">
        <v>339</v>
      </c>
      <c r="V37" s="36"/>
      <c r="W37" s="2">
        <v>337</v>
      </c>
      <c r="X37" s="36"/>
      <c r="Y37" s="2">
        <v>237</v>
      </c>
      <c r="Z37" s="36"/>
      <c r="AA37" s="2">
        <v>4233</v>
      </c>
      <c r="AB37" s="36"/>
      <c r="AC37" s="66"/>
      <c r="AD37" s="12" t="str">
        <f t="shared" si="11"/>
        <v>2910</v>
      </c>
      <c r="AE37" s="39" t="str">
        <f t="shared" si="12"/>
        <v>Interpreters</v>
      </c>
      <c r="AF37" s="2">
        <f t="shared" si="21"/>
        <v>10411</v>
      </c>
      <c r="AG37" s="2"/>
      <c r="AH37" s="83">
        <f t="shared" si="13"/>
        <v>1.9978868504466431E-2</v>
      </c>
      <c r="AI37" s="2">
        <f t="shared" si="14"/>
        <v>10619</v>
      </c>
      <c r="AJ37" s="36" t="str">
        <f t="shared" si="15"/>
        <v>2.0% = Est. S &amp; C</v>
      </c>
      <c r="AK37" s="66"/>
      <c r="AL37" s="83">
        <f t="shared" si="16"/>
        <v>1.9964215086166307E-2</v>
      </c>
      <c r="AM37" s="2">
        <f>ROUND(AI37*(1+AM18),0)</f>
        <v>10831</v>
      </c>
      <c r="AN37" s="36" t="str">
        <f>TEXT(AM18,"0.0%")&amp;" = Est. S &amp; C"</f>
        <v>2.0% = Est. S &amp; C</v>
      </c>
      <c r="AP37" s="83">
        <f t="shared" si="17"/>
        <v>2.0035084479734098E-2</v>
      </c>
      <c r="AQ37" s="2">
        <f>ROUND(AM37*(1+AQ18),0)</f>
        <v>11048</v>
      </c>
      <c r="AR37" s="36" t="str">
        <f>TEXT(AQ18,"0.0%")&amp;" = Est. S &amp; C"</f>
        <v>2.0% = Est. S &amp; C</v>
      </c>
      <c r="AT37" s="83">
        <f t="shared" si="18"/>
        <v>2.000362056480811E-2</v>
      </c>
      <c r="AU37" s="2">
        <f>ROUND(AQ37*(1+AU18),0)</f>
        <v>11269</v>
      </c>
      <c r="AV37" s="36" t="str">
        <f>TEXT(AU18,"0.0%")&amp;" = Est. S &amp; C"</f>
        <v>2.0% = Est. S &amp; C</v>
      </c>
      <c r="AX37" s="83">
        <f t="shared" si="19"/>
        <v>1.9966279172952347E-2</v>
      </c>
      <c r="AY37" s="2">
        <f>ROUND(AU37*(1+AY18),0)</f>
        <v>11494</v>
      </c>
      <c r="AZ37" s="36" t="str">
        <f>TEXT(AY18,"0.0%")&amp;" = Est. S &amp; C"</f>
        <v>2.0% = Est. S &amp; C</v>
      </c>
      <c r="BB37" s="83">
        <f t="shared" si="20"/>
        <v>2.0010440229685053E-2</v>
      </c>
      <c r="BC37" s="2">
        <f>ROUND(AY37*(1+BC18),0)</f>
        <v>11724</v>
      </c>
      <c r="BD37" s="36" t="str">
        <f>TEXT(BC18,"0.0%")&amp;" = Est. S &amp; C"</f>
        <v>2.0% = Est. S &amp; C</v>
      </c>
    </row>
    <row r="38" spans="1:56" x14ac:dyDescent="0.25">
      <c r="A38" s="12" t="s">
        <v>73</v>
      </c>
      <c r="B38" s="39" t="s">
        <v>74</v>
      </c>
      <c r="C38" s="3">
        <v>0</v>
      </c>
      <c r="D38" s="30"/>
      <c r="E38" s="2">
        <v>0</v>
      </c>
      <c r="F38" s="36"/>
      <c r="G38" s="2">
        <v>0</v>
      </c>
      <c r="H38" s="36"/>
      <c r="I38" s="2">
        <v>0</v>
      </c>
      <c r="J38" s="36"/>
      <c r="K38" s="2">
        <v>0</v>
      </c>
      <c r="L38" s="36"/>
      <c r="M38" s="2">
        <v>0</v>
      </c>
      <c r="N38" s="36"/>
      <c r="O38" s="2">
        <v>0</v>
      </c>
      <c r="P38" s="36"/>
      <c r="Q38" s="2">
        <v>0</v>
      </c>
      <c r="R38" s="36"/>
      <c r="S38" s="2">
        <v>0</v>
      </c>
      <c r="T38" s="36"/>
      <c r="U38" s="2">
        <v>0</v>
      </c>
      <c r="V38" s="36"/>
      <c r="W38" s="2">
        <v>0</v>
      </c>
      <c r="X38" s="36"/>
      <c r="Y38" s="2">
        <v>0</v>
      </c>
      <c r="Z38" s="36"/>
      <c r="AA38" s="2">
        <v>440</v>
      </c>
      <c r="AB38" s="36"/>
      <c r="AC38" s="66"/>
      <c r="AD38" s="12" t="str">
        <f t="shared" si="11"/>
        <v>2924</v>
      </c>
      <c r="AE38" s="39" t="str">
        <f t="shared" si="12"/>
        <v>Parent Ed. Aide</v>
      </c>
      <c r="AF38" s="2">
        <f t="shared" si="21"/>
        <v>440</v>
      </c>
      <c r="AG38" s="2"/>
      <c r="AH38" s="83">
        <f t="shared" si="13"/>
        <v>2.0454545454545454E-2</v>
      </c>
      <c r="AI38" s="2">
        <f t="shared" si="14"/>
        <v>449</v>
      </c>
      <c r="AJ38" s="36" t="str">
        <f t="shared" si="15"/>
        <v>2.0% = Est. S &amp; C</v>
      </c>
      <c r="AK38" s="66"/>
      <c r="AL38" s="83">
        <f t="shared" si="16"/>
        <v>2.0044543429844099E-2</v>
      </c>
      <c r="AM38" s="2">
        <f>ROUND(AI38*(1+AM18),0)</f>
        <v>458</v>
      </c>
      <c r="AN38" s="36" t="str">
        <f>TEXT(AM18,"0.0%")&amp;" = Est. S &amp; C"</f>
        <v>2.0% = Est. S &amp; C</v>
      </c>
      <c r="AP38" s="83">
        <f t="shared" si="17"/>
        <v>1.9650655021834062E-2</v>
      </c>
      <c r="AQ38" s="2">
        <f>ROUND(AM38*(1+AQ18),0)</f>
        <v>467</v>
      </c>
      <c r="AR38" s="36" t="str">
        <f>TEXT(AQ18,"0.0%")&amp;" = Est. S &amp; C"</f>
        <v>2.0% = Est. S &amp; C</v>
      </c>
      <c r="AT38" s="83">
        <f t="shared" si="18"/>
        <v>1.9271948608137045E-2</v>
      </c>
      <c r="AU38" s="2">
        <f>ROUND(AQ38*(1+AU18),0)</f>
        <v>476</v>
      </c>
      <c r="AV38" s="36" t="str">
        <f>TEXT(AU18,"0.0%")&amp;" = Est. S &amp; C"</f>
        <v>2.0% = Est. S &amp; C</v>
      </c>
      <c r="AX38" s="83">
        <f t="shared" si="19"/>
        <v>2.100840336134454E-2</v>
      </c>
      <c r="AY38" s="2">
        <f>ROUND(AU38*(1+AY18),0)</f>
        <v>486</v>
      </c>
      <c r="AZ38" s="36" t="str">
        <f>TEXT(AY18,"0.0%")&amp;" = Est. S &amp; C"</f>
        <v>2.0% = Est. S &amp; C</v>
      </c>
      <c r="BB38" s="83">
        <f t="shared" si="20"/>
        <v>2.0576131687242798E-2</v>
      </c>
      <c r="BC38" s="2">
        <f>ROUND(AY38*(1+BC18),0)</f>
        <v>496</v>
      </c>
      <c r="BD38" s="36" t="str">
        <f>TEXT(BC18,"0.0%")&amp;" = Est. S &amp; C"</f>
        <v>2.0% = Est. S &amp; C</v>
      </c>
    </row>
    <row r="39" spans="1:56" ht="6" customHeight="1" x14ac:dyDescent="0.25">
      <c r="A39" s="12"/>
      <c r="C39" s="3"/>
      <c r="D39" s="30"/>
      <c r="E39" s="2"/>
      <c r="F39" s="36"/>
      <c r="G39" s="2"/>
      <c r="H39" s="36"/>
      <c r="J39" s="36"/>
      <c r="K39" s="2"/>
      <c r="L39" s="36"/>
      <c r="M39" s="2"/>
      <c r="N39" s="36"/>
      <c r="O39" s="2"/>
      <c r="P39" s="36"/>
      <c r="Q39" s="2"/>
      <c r="R39" s="36"/>
      <c r="S39" s="2"/>
      <c r="T39" s="36"/>
      <c r="U39" s="2"/>
      <c r="V39" s="36"/>
      <c r="W39" s="2"/>
      <c r="X39" s="36"/>
      <c r="Y39" s="2"/>
      <c r="Z39" s="36"/>
      <c r="AA39" s="2"/>
      <c r="AB39" s="36"/>
      <c r="AC39" s="66"/>
      <c r="AD39" s="12"/>
      <c r="AF39" s="2"/>
      <c r="AG39" s="2"/>
      <c r="AI39" s="2"/>
      <c r="AJ39" s="36"/>
      <c r="AK39" s="66"/>
      <c r="AM39" s="2"/>
      <c r="AN39" s="73"/>
      <c r="AQ39" s="2"/>
      <c r="AR39" s="73"/>
      <c r="AU39" s="2"/>
      <c r="AV39" s="73"/>
      <c r="AY39" s="2"/>
      <c r="AZ39" s="73"/>
      <c r="BC39" s="2"/>
      <c r="BD39" s="73"/>
    </row>
    <row r="40" spans="1:56" x14ac:dyDescent="0.25">
      <c r="A40" s="12"/>
      <c r="C40" s="8">
        <f>SUM(C32:C39)</f>
        <v>19458</v>
      </c>
      <c r="D40" s="33"/>
      <c r="E40" s="8">
        <f>SUM(E32:E39)</f>
        <v>406</v>
      </c>
      <c r="F40" s="5"/>
      <c r="G40" s="8">
        <f>SUM(G32:G39)</f>
        <v>16547</v>
      </c>
      <c r="H40" s="5"/>
      <c r="I40" s="8">
        <f>SUM(I32:I39)</f>
        <v>28571</v>
      </c>
      <c r="J40" s="5"/>
      <c r="K40" s="8">
        <f>SUM(K32:K39)</f>
        <v>508</v>
      </c>
      <c r="L40" s="5"/>
      <c r="M40" s="8">
        <f>SUM(M32:M39)</f>
        <v>1388</v>
      </c>
      <c r="N40" s="5"/>
      <c r="O40" s="8">
        <f>SUM(O32:O39)</f>
        <v>2063</v>
      </c>
      <c r="P40" s="5"/>
      <c r="Q40" s="8">
        <f>SUM(Q32:Q39)</f>
        <v>1221</v>
      </c>
      <c r="R40" s="5"/>
      <c r="S40" s="8">
        <f>SUM(S32:S39)</f>
        <v>25373</v>
      </c>
      <c r="T40" s="5"/>
      <c r="U40" s="8">
        <f>SUM(U32:U39)</f>
        <v>506</v>
      </c>
      <c r="V40" s="5"/>
      <c r="W40" s="8">
        <f>SUM(W32:W39)</f>
        <v>27977</v>
      </c>
      <c r="X40" s="5"/>
      <c r="Y40" s="8">
        <f>SUM(Y32:Y39)</f>
        <v>237</v>
      </c>
      <c r="Z40" s="5"/>
      <c r="AA40" s="8">
        <f>SUM(AA32:AA39)</f>
        <v>5229</v>
      </c>
      <c r="AB40" s="5"/>
      <c r="AC40" s="29"/>
      <c r="AD40" s="12"/>
      <c r="AF40" s="8">
        <f>SUM(AF32:AF39)</f>
        <v>129484</v>
      </c>
      <c r="AG40" s="2"/>
      <c r="AH40" s="83">
        <f>IF(AF40=0,"0.00%",(AI40-AF40)/AF40)</f>
        <v>1.999474838590096E-2</v>
      </c>
      <c r="AI40" s="8">
        <f>SUM(AI32:AI39)</f>
        <v>132073</v>
      </c>
      <c r="AJ40" s="5"/>
      <c r="AK40" s="29"/>
      <c r="AL40" s="83">
        <f>IF(AI40=0,"0.00%",(AM40-AI40)/AI40)</f>
        <v>1.9996517077676738E-2</v>
      </c>
      <c r="AM40" s="8">
        <f>SUM(AM32:AM39)</f>
        <v>134714</v>
      </c>
      <c r="AN40" s="73"/>
      <c r="AP40" s="83">
        <f>IF(AM40=0,"0.00%",(AQ40-AM40)/AM40)</f>
        <v>2.0005344656086228E-2</v>
      </c>
      <c r="AQ40" s="8">
        <f>SUM(AQ32:AQ39)</f>
        <v>137409</v>
      </c>
      <c r="AR40" s="73"/>
      <c r="AT40" s="83">
        <f>IF(AQ40=0,"0.00%",(AU40-AQ40)/AQ40)</f>
        <v>1.9998690042136977E-2</v>
      </c>
      <c r="AU40" s="8">
        <f>SUM(AU32:AU39)</f>
        <v>140157</v>
      </c>
      <c r="AV40" s="73"/>
      <c r="AX40" s="83">
        <f>IF(AU40=0,"0.00%",(AY40-AU40)/AU40)</f>
        <v>1.9991866264260794E-2</v>
      </c>
      <c r="AY40" s="8">
        <f>SUM(AY32:AY39)</f>
        <v>142959</v>
      </c>
      <c r="AZ40" s="73"/>
      <c r="BB40" s="83">
        <f>IF(AY40=0,"0.00%",(BC40-AY40)/AY40)</f>
        <v>1.9998740897739911E-2</v>
      </c>
      <c r="BC40" s="8">
        <f>SUM(BC32:BC39)</f>
        <v>145818</v>
      </c>
      <c r="BD40" s="73"/>
    </row>
    <row r="41" spans="1:56" x14ac:dyDescent="0.25">
      <c r="A41" s="20" t="s">
        <v>28</v>
      </c>
      <c r="C41" s="3"/>
      <c r="D41" s="30"/>
      <c r="E41" s="2"/>
      <c r="F41" s="36"/>
      <c r="G41" s="2"/>
      <c r="H41" s="36"/>
      <c r="J41" s="36"/>
      <c r="K41" s="2"/>
      <c r="L41" s="36"/>
      <c r="M41" s="2"/>
      <c r="N41" s="36"/>
      <c r="O41" s="2"/>
      <c r="P41" s="36"/>
      <c r="Q41" s="2"/>
      <c r="R41" s="36"/>
      <c r="S41" s="2"/>
      <c r="T41" s="36"/>
      <c r="U41" s="2"/>
      <c r="V41" s="36"/>
      <c r="W41" s="2"/>
      <c r="X41" s="36"/>
      <c r="Y41" s="2"/>
      <c r="Z41" s="36"/>
      <c r="AA41" s="2"/>
      <c r="AB41" s="36"/>
      <c r="AC41" s="66"/>
      <c r="AD41" s="20" t="str">
        <f t="shared" ref="AD41:AD51" si="22">A41</f>
        <v xml:space="preserve">  </v>
      </c>
      <c r="AF41" s="2"/>
      <c r="AG41" s="2"/>
      <c r="AI41" s="2"/>
      <c r="AJ41" s="36"/>
      <c r="AK41" s="66"/>
      <c r="AM41" s="2"/>
      <c r="AN41" s="73"/>
      <c r="AQ41" s="2"/>
      <c r="AR41" s="73"/>
      <c r="AU41" s="2"/>
      <c r="AV41" s="73"/>
      <c r="AY41" s="2"/>
      <c r="AZ41" s="73"/>
      <c r="BC41" s="2"/>
      <c r="BD41" s="73"/>
    </row>
    <row r="42" spans="1:56" x14ac:dyDescent="0.25">
      <c r="A42" s="21" t="s">
        <v>27</v>
      </c>
      <c r="C42" s="9"/>
      <c r="D42" s="33"/>
      <c r="E42" s="10"/>
      <c r="F42" s="6"/>
      <c r="G42" s="10"/>
      <c r="H42" s="6"/>
      <c r="I42" s="10"/>
      <c r="J42" s="6"/>
      <c r="K42" s="10"/>
      <c r="L42" s="6"/>
      <c r="M42" s="10"/>
      <c r="N42" s="6"/>
      <c r="O42" s="10"/>
      <c r="P42" s="6"/>
      <c r="Q42" s="10"/>
      <c r="R42" s="6"/>
      <c r="S42" s="10"/>
      <c r="T42" s="6"/>
      <c r="U42" s="10"/>
      <c r="V42" s="6"/>
      <c r="W42" s="10"/>
      <c r="X42" s="6"/>
      <c r="Y42" s="10"/>
      <c r="Z42" s="6"/>
      <c r="AA42" s="10"/>
      <c r="AB42" s="6"/>
      <c r="AC42" s="57"/>
      <c r="AD42" s="21" t="str">
        <f t="shared" si="22"/>
        <v>Benefits</v>
      </c>
      <c r="AF42" s="2"/>
      <c r="AG42" s="2"/>
      <c r="AI42" s="2"/>
      <c r="AJ42" s="82"/>
      <c r="AK42" s="66"/>
      <c r="AM42" s="2"/>
      <c r="AN42" s="73"/>
      <c r="AQ42" s="2"/>
      <c r="AR42" s="73"/>
      <c r="AU42" s="2"/>
      <c r="AV42" s="73"/>
      <c r="AY42" s="2"/>
      <c r="AZ42" s="73"/>
      <c r="BC42" s="2"/>
      <c r="BD42" s="73"/>
    </row>
    <row r="43" spans="1:56" x14ac:dyDescent="0.25">
      <c r="A43" s="12" t="s">
        <v>83</v>
      </c>
      <c r="B43" s="39" t="s">
        <v>76</v>
      </c>
      <c r="C43" s="3">
        <v>119847</v>
      </c>
      <c r="D43" s="30"/>
      <c r="E43" s="2">
        <v>2437</v>
      </c>
      <c r="F43" s="36"/>
      <c r="G43" s="2">
        <v>1032</v>
      </c>
      <c r="H43" s="36"/>
      <c r="I43" s="2">
        <v>1282</v>
      </c>
      <c r="J43" s="36"/>
      <c r="K43" s="2">
        <v>1694</v>
      </c>
      <c r="L43" s="36"/>
      <c r="M43" s="2">
        <v>1630</v>
      </c>
      <c r="N43" s="36"/>
      <c r="O43" s="2">
        <v>687</v>
      </c>
      <c r="P43" s="36"/>
      <c r="Q43" s="2">
        <v>1196</v>
      </c>
      <c r="R43" s="36"/>
      <c r="S43" s="2">
        <v>1485</v>
      </c>
      <c r="T43" s="36"/>
      <c r="U43" s="2">
        <f>2971+23</f>
        <v>2994</v>
      </c>
      <c r="V43" s="36"/>
      <c r="W43" s="2">
        <v>2425</v>
      </c>
      <c r="X43" s="36"/>
      <c r="Y43" s="2">
        <v>1774</v>
      </c>
      <c r="Z43" s="36"/>
      <c r="AA43" s="2">
        <v>2490</v>
      </c>
      <c r="AB43" s="36"/>
      <c r="AC43" s="66"/>
      <c r="AD43" s="12" t="str">
        <f t="shared" si="22"/>
        <v>310X</v>
      </c>
      <c r="AE43" s="39" t="str">
        <f t="shared" ref="AE43:AE51" si="23">B43</f>
        <v>STRS</v>
      </c>
      <c r="AF43" s="2">
        <f>SUM(C43,E43,G43,I43,K43,M43,O43,Q43,S43,U43,W43,Y43,AA43)</f>
        <v>140973</v>
      </c>
      <c r="AG43" s="2"/>
      <c r="AH43" s="83">
        <f t="shared" ref="AH43:AH52" si="24">IF(AF43=0,"0.00%",(AI43-AF43)/AF43)</f>
        <v>0.16905364857100297</v>
      </c>
      <c r="AI43" s="2">
        <f>ROUND(AI29*LEFT(AJ43,6),0)</f>
        <v>164805</v>
      </c>
      <c r="AJ43" s="81" t="str">
        <f>TEXT('MYP Assumptions'!E55,"0.00%")&amp;", projected STRS rate"</f>
        <v>14.43%, projected STRS rate</v>
      </c>
      <c r="AK43" s="66"/>
      <c r="AL43" s="83">
        <f t="shared" ref="AL43:AL52" si="25">IF(AI43=0,"0.00%",(AM43-AI43)/AI43)</f>
        <v>0.15076605685507113</v>
      </c>
      <c r="AM43" s="2">
        <f>ROUND(AM29*LEFT(AN43,6),0)</f>
        <v>189652</v>
      </c>
      <c r="AN43" s="81" t="str">
        <f>TEXT('MYP Assumptions'!F55,"0.00%")&amp;", projected STRS rate"</f>
        <v>16.28%, projected STRS rate</v>
      </c>
      <c r="AP43" s="83">
        <f t="shared" ref="AP43:AP52" si="26">IF(AM43=0,"0.00%",(AQ43-AM43)/AM43)</f>
        <v>0.13591209162044166</v>
      </c>
      <c r="AQ43" s="2">
        <f>ROUND(AQ29*LEFT(AR43,6),0)</f>
        <v>215428</v>
      </c>
      <c r="AR43" s="81" t="str">
        <f>TEXT('MYP Assumptions'!G55,"0.00%")&amp;", projected STRS rate"</f>
        <v>18.13%, projected STRS rate</v>
      </c>
      <c r="AT43" s="83">
        <f t="shared" ref="AT43:AT52" si="27">IF(AQ43=0,"0.00%",(AU43-AQ43)/AQ43)</f>
        <v>7.4572478972092765E-2</v>
      </c>
      <c r="AU43" s="2">
        <f>ROUND(AU29*LEFT(AV43,6),0)</f>
        <v>231493</v>
      </c>
      <c r="AV43" s="81" t="str">
        <f>TEXT('MYP Assumptions'!H55,"0.00%")&amp;", projected STRS rate"</f>
        <v>19.10%, projected STRS rate</v>
      </c>
      <c r="AX43" s="83">
        <f t="shared" ref="AX43:AX52" si="28">IF(AU43=0,"0.00%",(AY43-AU43)/AU43)</f>
        <v>1.9996284984859152E-2</v>
      </c>
      <c r="AY43" s="2">
        <f>ROUND(AY29*LEFT(AZ43,6),0)</f>
        <v>236122</v>
      </c>
      <c r="AZ43" s="81" t="str">
        <f>TEXT('MYP Assumptions'!I55,"0.00%")&amp;", projected STRS rate"</f>
        <v>19.10%, projected STRS rate</v>
      </c>
      <c r="BB43" s="83">
        <f t="shared" ref="BB43:BB52" si="29">IF(AY43=0,"0.00%",(BC43-AY43)/AY43)</f>
        <v>2.0002371655330718E-2</v>
      </c>
      <c r="BC43" s="2">
        <f>ROUND(BC29*LEFT(BD43,6),0)</f>
        <v>240845</v>
      </c>
      <c r="BD43" s="81" t="str">
        <f>TEXT('MYP Assumptions'!J55,"0.00%")&amp;", projected STRS rate"</f>
        <v>19.10%, projected STRS rate</v>
      </c>
    </row>
    <row r="44" spans="1:56" x14ac:dyDescent="0.25">
      <c r="A44" s="12" t="s">
        <v>84</v>
      </c>
      <c r="B44" s="39" t="s">
        <v>77</v>
      </c>
      <c r="C44" s="3">
        <v>2702</v>
      </c>
      <c r="D44" s="30"/>
      <c r="E44" s="2">
        <v>56</v>
      </c>
      <c r="F44" s="36"/>
      <c r="G44" s="2">
        <v>2303</v>
      </c>
      <c r="H44" s="36"/>
      <c r="I44" s="2">
        <v>3973</v>
      </c>
      <c r="J44" s="36"/>
      <c r="K44" s="2">
        <v>64</v>
      </c>
      <c r="L44" s="36"/>
      <c r="M44" s="2">
        <v>193</v>
      </c>
      <c r="N44" s="36"/>
      <c r="O44" s="2">
        <v>287</v>
      </c>
      <c r="P44" s="36"/>
      <c r="Q44" s="2">
        <v>169</v>
      </c>
      <c r="R44" s="36"/>
      <c r="S44" s="2">
        <v>3530</v>
      </c>
      <c r="T44" s="36"/>
      <c r="U44" s="2">
        <f>47</f>
        <v>47</v>
      </c>
      <c r="V44" s="36"/>
      <c r="W44" s="2">
        <v>3886</v>
      </c>
      <c r="X44" s="36"/>
      <c r="Y44" s="2">
        <v>33</v>
      </c>
      <c r="Z44" s="36"/>
      <c r="AA44" s="2">
        <v>726</v>
      </c>
      <c r="AB44" s="36"/>
      <c r="AC44" s="66"/>
      <c r="AD44" s="12" t="str">
        <f t="shared" si="22"/>
        <v>320X</v>
      </c>
      <c r="AE44" s="39" t="str">
        <f t="shared" si="23"/>
        <v>PERS</v>
      </c>
      <c r="AF44" s="2">
        <f t="shared" ref="AF44:AF51" si="30">SUM(C44,E44,G44,I44,K44,M44,O44,Q44,S44,U44,W44,Y44,AA44)</f>
        <v>17969</v>
      </c>
      <c r="AG44" s="2"/>
      <c r="AH44" s="83">
        <f t="shared" si="24"/>
        <v>0.14146585786632535</v>
      </c>
      <c r="AI44" s="2">
        <f>ROUND(AI40*LEFT(AJ44,6),0)</f>
        <v>20511</v>
      </c>
      <c r="AJ44" s="81" t="str">
        <f>TEXT('MYP Assumptions'!E56,"0.00%")&amp;", projected PERS rate"</f>
        <v>15.53%, projected PERS rate</v>
      </c>
      <c r="AK44" s="66"/>
      <c r="AL44" s="83">
        <f t="shared" si="25"/>
        <v>0.1887767539369119</v>
      </c>
      <c r="AM44" s="2">
        <f>ROUND(AM40*LEFT(AN44,6),0)</f>
        <v>24383</v>
      </c>
      <c r="AN44" s="81" t="str">
        <f>TEXT('MYP Assumptions'!F56,"0.00%")&amp;", projected PERS rate"</f>
        <v>18.10%, projected PERS rate</v>
      </c>
      <c r="AP44" s="83">
        <f t="shared" si="26"/>
        <v>0.17216913423286717</v>
      </c>
      <c r="AQ44" s="2">
        <f>ROUND(AQ40*LEFT(AR44,6),0)</f>
        <v>28581</v>
      </c>
      <c r="AR44" s="81" t="str">
        <f>TEXT('MYP Assumptions'!G56,"0.00%")&amp;", projected PERS rate"</f>
        <v>20.80%, projected PERS rate</v>
      </c>
      <c r="AT44" s="83">
        <f t="shared" si="27"/>
        <v>0.16710402015324866</v>
      </c>
      <c r="AU44" s="2">
        <f>ROUND(AU40*LEFT(AV44,6),0)</f>
        <v>33357</v>
      </c>
      <c r="AV44" s="81" t="str">
        <f>TEXT('MYP Assumptions'!H56,"0.00%")&amp;", projected PERS rate"</f>
        <v>23.80%, projected PERS rate</v>
      </c>
      <c r="AX44" s="83">
        <f t="shared" si="28"/>
        <v>8.00131906346494E-2</v>
      </c>
      <c r="AY44" s="2">
        <f>ROUND(AY40*LEFT(AZ44,6),0)</f>
        <v>36026</v>
      </c>
      <c r="AZ44" s="81" t="str">
        <f>TEXT('MYP Assumptions'!I56,"0.00%")&amp;", projected PERS rate"</f>
        <v>25.20%, projected PERS rate</v>
      </c>
      <c r="BB44" s="83">
        <f t="shared" si="29"/>
        <v>5.6403708432798537E-2</v>
      </c>
      <c r="BC44" s="2">
        <f>ROUND(BC40*LEFT(BD44,6),0)</f>
        <v>38058</v>
      </c>
      <c r="BD44" s="81" t="str">
        <f>TEXT('MYP Assumptions'!J56,"0.00%")&amp;", projected PERS rate"</f>
        <v>26.10%, projected PERS rate</v>
      </c>
    </row>
    <row r="45" spans="1:56" x14ac:dyDescent="0.25">
      <c r="A45" s="12" t="s">
        <v>85</v>
      </c>
      <c r="B45" s="39" t="s">
        <v>78</v>
      </c>
      <c r="C45" s="3">
        <f>1207+223</f>
        <v>1430</v>
      </c>
      <c r="D45" s="30"/>
      <c r="E45" s="2">
        <f>30+25</f>
        <v>55</v>
      </c>
      <c r="F45" s="36"/>
      <c r="G45" s="2">
        <v>960</v>
      </c>
      <c r="H45" s="36"/>
      <c r="I45" s="2">
        <v>1688</v>
      </c>
      <c r="J45" s="36"/>
      <c r="K45" s="2">
        <f>17+38</f>
        <v>55</v>
      </c>
      <c r="L45" s="36"/>
      <c r="M45" s="2">
        <v>0</v>
      </c>
      <c r="N45" s="36"/>
      <c r="O45" s="2">
        <f>9+128</f>
        <v>137</v>
      </c>
      <c r="P45" s="36"/>
      <c r="Q45" s="2">
        <f>17+77</f>
        <v>94</v>
      </c>
      <c r="R45" s="36"/>
      <c r="S45" s="2">
        <f>5+1568</f>
        <v>1573</v>
      </c>
      <c r="T45" s="36"/>
      <c r="U45" s="2">
        <f>4+30</f>
        <v>34</v>
      </c>
      <c r="V45" s="36"/>
      <c r="W45" s="2">
        <f>9+1735</f>
        <v>1744</v>
      </c>
      <c r="X45" s="36"/>
      <c r="Y45" s="2">
        <f>18+14</f>
        <v>32</v>
      </c>
      <c r="Z45" s="36"/>
      <c r="AA45" s="2">
        <f>9+323</f>
        <v>332</v>
      </c>
      <c r="AB45" s="36"/>
      <c r="AC45" s="66"/>
      <c r="AD45" s="12" t="str">
        <f t="shared" si="22"/>
        <v>330X</v>
      </c>
      <c r="AE45" s="39" t="str">
        <f t="shared" si="23"/>
        <v>SS</v>
      </c>
      <c r="AF45" s="2">
        <f t="shared" si="30"/>
        <v>8134</v>
      </c>
      <c r="AG45" s="2"/>
      <c r="AH45" s="83">
        <f t="shared" si="24"/>
        <v>6.7617408409146795E-3</v>
      </c>
      <c r="AI45" s="2">
        <f>ROUND(AI40*LEFT(AJ45,5),0)</f>
        <v>8189</v>
      </c>
      <c r="AJ45" s="81" t="str">
        <f>TEXT('MYP Assumptions'!E57,"0.00%")&amp;", no rate change"</f>
        <v>6.20%, no rate change</v>
      </c>
      <c r="AK45" s="66"/>
      <c r="AL45" s="83">
        <f t="shared" si="25"/>
        <v>1.9904750274758822E-2</v>
      </c>
      <c r="AM45" s="2">
        <f>ROUND(AM40*LEFT(AN45,5),0)</f>
        <v>8352</v>
      </c>
      <c r="AN45" s="81" t="str">
        <f>TEXT('MYP Assumptions'!F57,"0.00%")&amp;", no rate change"</f>
        <v>6.20%, no rate change</v>
      </c>
      <c r="AP45" s="83">
        <f t="shared" si="26"/>
        <v>1.9995210727969347E-2</v>
      </c>
      <c r="AQ45" s="2">
        <f>ROUND(AQ40*LEFT(AR45,5),0)</f>
        <v>8519</v>
      </c>
      <c r="AR45" s="81" t="str">
        <f>TEXT('MYP Assumptions'!G57,"0.00%")&amp;", no rate change"</f>
        <v>6.20%, no rate change</v>
      </c>
      <c r="AT45" s="83">
        <f t="shared" si="27"/>
        <v>2.0072778495128535E-2</v>
      </c>
      <c r="AU45" s="2">
        <f>ROUND(AU40*LEFT(AV45,5),0)</f>
        <v>8690</v>
      </c>
      <c r="AV45" s="81" t="str">
        <f>TEXT('MYP Assumptions'!H57,"0.00%")&amp;", no rate change"</f>
        <v>6.20%, no rate change</v>
      </c>
      <c r="AX45" s="83">
        <f t="shared" si="28"/>
        <v>1.9907940161104719E-2</v>
      </c>
      <c r="AY45" s="2">
        <f>ROUND(AY40*LEFT(AZ45,5),0)</f>
        <v>8863</v>
      </c>
      <c r="AZ45" s="81" t="str">
        <f>TEXT('MYP Assumptions'!I57,"0.00%")&amp;", no rate change"</f>
        <v>6.20%, no rate change</v>
      </c>
      <c r="BB45" s="83">
        <f t="shared" si="29"/>
        <v>2.0083493173868892E-2</v>
      </c>
      <c r="BC45" s="2">
        <f>ROUND(BC40*LEFT(BD45,5),0)</f>
        <v>9041</v>
      </c>
      <c r="BD45" s="81" t="str">
        <f>TEXT('MYP Assumptions'!J57,"0.00%")&amp;", no rate change"</f>
        <v>6.20%, no rate change</v>
      </c>
    </row>
    <row r="46" spans="1:56" x14ac:dyDescent="0.25">
      <c r="A46" s="12" t="s">
        <v>86</v>
      </c>
      <c r="B46" s="39" t="s">
        <v>79</v>
      </c>
      <c r="C46" s="3">
        <f>14371+282</f>
        <v>14653</v>
      </c>
      <c r="D46" s="30"/>
      <c r="E46" s="2">
        <f>251+6</f>
        <v>257</v>
      </c>
      <c r="F46" s="36"/>
      <c r="G46" s="2">
        <f>118+241</f>
        <v>359</v>
      </c>
      <c r="H46" s="36"/>
      <c r="I46" s="2">
        <f>296+415</f>
        <v>711</v>
      </c>
      <c r="J46" s="36"/>
      <c r="K46" s="2">
        <f>194+8</f>
        <v>202</v>
      </c>
      <c r="L46" s="36"/>
      <c r="M46" s="2">
        <v>86</v>
      </c>
      <c r="N46" s="36"/>
      <c r="O46" s="2">
        <f>78+29</f>
        <v>107</v>
      </c>
      <c r="P46" s="36"/>
      <c r="Q46" s="2">
        <f>138+18</f>
        <v>156</v>
      </c>
      <c r="R46" s="36"/>
      <c r="S46" s="2">
        <f>219+363</f>
        <v>582</v>
      </c>
      <c r="T46" s="36"/>
      <c r="U46" s="2">
        <f>342+7</f>
        <v>349</v>
      </c>
      <c r="V46" s="36"/>
      <c r="W46" s="2">
        <f>280+405</f>
        <v>685</v>
      </c>
      <c r="X46" s="36"/>
      <c r="Y46" s="2">
        <v>210</v>
      </c>
      <c r="Z46" s="36"/>
      <c r="AA46" s="2">
        <f>287+76</f>
        <v>363</v>
      </c>
      <c r="AB46" s="36"/>
      <c r="AC46" s="66"/>
      <c r="AD46" s="12" t="str">
        <f t="shared" si="22"/>
        <v>331X</v>
      </c>
      <c r="AE46" s="39" t="str">
        <f t="shared" si="23"/>
        <v>Medicare</v>
      </c>
      <c r="AF46" s="2">
        <f t="shared" si="30"/>
        <v>18720</v>
      </c>
      <c r="AG46" s="2"/>
      <c r="AH46" s="83">
        <f t="shared" si="24"/>
        <v>-1.3087606837606838E-2</v>
      </c>
      <c r="AI46" s="2">
        <f>ROUND((AI40+AI29)*LEFT(AJ46,5),0)</f>
        <v>18475</v>
      </c>
      <c r="AJ46" s="81" t="str">
        <f>TEXT('MYP Assumptions'!E58,"0.00%")&amp;", no rate change"</f>
        <v>1.45%, no rate change</v>
      </c>
      <c r="AK46" s="66"/>
      <c r="AL46" s="83">
        <f t="shared" si="25"/>
        <v>2.0027063599458727E-2</v>
      </c>
      <c r="AM46" s="2">
        <f>ROUND((AM40+AM29)*LEFT(AN46,5),0)</f>
        <v>18845</v>
      </c>
      <c r="AN46" s="81" t="str">
        <f>TEXT('MYP Assumptions'!F58,"0.00%")&amp;", no rate change"</f>
        <v>1.45%, no rate change</v>
      </c>
      <c r="AP46" s="83">
        <f t="shared" si="26"/>
        <v>2.0005306447333511E-2</v>
      </c>
      <c r="AQ46" s="2">
        <f>ROUND((AQ40+AQ29)*LEFT(AR46,5),0)</f>
        <v>19222</v>
      </c>
      <c r="AR46" s="81" t="str">
        <f>TEXT('MYP Assumptions'!G58,"0.00%")&amp;", no rate change"</f>
        <v>1.45%, no rate change</v>
      </c>
      <c r="AT46" s="83">
        <f t="shared" si="27"/>
        <v>1.9977109561960252E-2</v>
      </c>
      <c r="AU46" s="2">
        <f>ROUND((AU40+AU29)*LEFT(AV46,5),0)</f>
        <v>19606</v>
      </c>
      <c r="AV46" s="81" t="str">
        <f>TEXT('MYP Assumptions'!H58,"0.00%")&amp;", no rate change"</f>
        <v>1.45%, no rate change</v>
      </c>
      <c r="AX46" s="83">
        <f t="shared" si="28"/>
        <v>1.999387942466592E-2</v>
      </c>
      <c r="AY46" s="2">
        <f>ROUND((AY40+AY29)*LEFT(AZ46,5),0)</f>
        <v>19998</v>
      </c>
      <c r="AZ46" s="81" t="str">
        <f>TEXT('MYP Assumptions'!I58,"0.00%")&amp;", no rate change"</f>
        <v>1.45%, no rate change</v>
      </c>
      <c r="BB46" s="83">
        <f t="shared" si="29"/>
        <v>2.0002000200020003E-2</v>
      </c>
      <c r="BC46" s="2">
        <f>ROUND((BC40+BC29)*LEFT(BD46,5),0)</f>
        <v>20398</v>
      </c>
      <c r="BD46" s="81" t="str">
        <f>TEXT('MYP Assumptions'!J58,"0.00%")&amp;", no rate change"</f>
        <v>1.45%, no rate change</v>
      </c>
    </row>
    <row r="47" spans="1:56" x14ac:dyDescent="0.25">
      <c r="A47" s="12" t="s">
        <v>87</v>
      </c>
      <c r="B47" s="39" t="s">
        <v>80</v>
      </c>
      <c r="C47" s="3">
        <f>106578+6504</f>
        <v>113082</v>
      </c>
      <c r="D47" s="30"/>
      <c r="E47" s="2">
        <v>0</v>
      </c>
      <c r="F47" s="36"/>
      <c r="G47" s="2">
        <v>593</v>
      </c>
      <c r="H47" s="36"/>
      <c r="I47" s="2">
        <v>310</v>
      </c>
      <c r="J47" s="36"/>
      <c r="K47" s="2">
        <f>7+1</f>
        <v>8</v>
      </c>
      <c r="L47" s="36"/>
      <c r="M47" s="2">
        <f>188+20</f>
        <v>208</v>
      </c>
      <c r="N47" s="36"/>
      <c r="O47" s="2">
        <v>0</v>
      </c>
      <c r="P47" s="36"/>
      <c r="Q47" s="2">
        <f>4</f>
        <v>4</v>
      </c>
      <c r="R47" s="36"/>
      <c r="S47" s="2">
        <v>395</v>
      </c>
      <c r="T47" s="36"/>
      <c r="U47" s="2">
        <v>0</v>
      </c>
      <c r="V47" s="36"/>
      <c r="W47" s="2">
        <v>4848</v>
      </c>
      <c r="X47" s="36"/>
      <c r="Y47" s="2">
        <v>0</v>
      </c>
      <c r="Z47" s="36"/>
      <c r="AA47" s="2">
        <v>0</v>
      </c>
      <c r="AB47" s="36"/>
      <c r="AC47" s="66"/>
      <c r="AD47" s="12" t="str">
        <f t="shared" si="22"/>
        <v>340X</v>
      </c>
      <c r="AE47" s="39" t="str">
        <f t="shared" si="23"/>
        <v>H&amp;W</v>
      </c>
      <c r="AF47" s="2">
        <f t="shared" si="30"/>
        <v>119448</v>
      </c>
      <c r="AG47" s="2"/>
      <c r="AH47" s="83">
        <f t="shared" si="24"/>
        <v>6.9996986136226638E-2</v>
      </c>
      <c r="AI47" s="2">
        <f>ROUND((AF47)*(LEFT(AJ47,5)+1),0)</f>
        <v>127809</v>
      </c>
      <c r="AJ47" s="81" t="str">
        <f>TEXT('MYP Assumptions'!$M$65,"0.00%")&amp;", projected increase"</f>
        <v>7.00%, projected increase</v>
      </c>
      <c r="AK47" s="66"/>
      <c r="AL47" s="83">
        <f t="shared" si="25"/>
        <v>7.0002894944800442E-2</v>
      </c>
      <c r="AM47" s="2">
        <f>ROUND((AI47)*(LEFT(AN47,5)+1),0)</f>
        <v>136756</v>
      </c>
      <c r="AN47" s="81" t="str">
        <f>TEXT('MYP Assumptions'!$M$65,"0.00%")&amp;", projected increase"</f>
        <v>7.00%, projected increase</v>
      </c>
      <c r="AP47" s="83">
        <f t="shared" si="26"/>
        <v>7.0000584983474223E-2</v>
      </c>
      <c r="AQ47" s="2">
        <f>ROUND((AM47)*(LEFT(AR47,5)+1),0)</f>
        <v>146329</v>
      </c>
      <c r="AR47" s="81" t="str">
        <f>TEXT('MYP Assumptions'!$M$65,"0.00%")&amp;", projected increase"</f>
        <v>7.00%, projected increase</v>
      </c>
      <c r="AT47" s="83">
        <f t="shared" si="27"/>
        <v>6.9999794982539346E-2</v>
      </c>
      <c r="AU47" s="2">
        <f>ROUND((AQ47)*(LEFT(AV47,5)+1),0)</f>
        <v>156572</v>
      </c>
      <c r="AV47" s="81" t="str">
        <f>TEXT('MYP Assumptions'!$M$65,"0.00%")&amp;", projected increase"</f>
        <v>7.00%, projected increase</v>
      </c>
      <c r="AX47" s="83">
        <f t="shared" si="28"/>
        <v>6.9999744526479835E-2</v>
      </c>
      <c r="AY47" s="2">
        <f>ROUND((AU47)*(LEFT(AZ47,5)+1),0)</f>
        <v>167532</v>
      </c>
      <c r="AZ47" s="81" t="str">
        <f>TEXT('MYP Assumptions'!$M$65,"0.00%")&amp;", projected increase"</f>
        <v>7.00%, projected increase</v>
      </c>
      <c r="BB47" s="83">
        <f t="shared" si="29"/>
        <v>6.9998567437862619E-2</v>
      </c>
      <c r="BC47" s="2">
        <f>ROUND((AY47)*(LEFT(BD47,5)+1),0)</f>
        <v>179259</v>
      </c>
      <c r="BD47" s="81" t="str">
        <f>TEXT('MYP Assumptions'!$M$65,"0.00%")&amp;", projected increase"</f>
        <v>7.00%, projected increase</v>
      </c>
    </row>
    <row r="48" spans="1:56" x14ac:dyDescent="0.25">
      <c r="A48" s="12" t="s">
        <v>88</v>
      </c>
      <c r="B48" s="39" t="s">
        <v>81</v>
      </c>
      <c r="C48" s="3">
        <f>496+10</f>
        <v>506</v>
      </c>
      <c r="D48" s="30"/>
      <c r="E48" s="2">
        <f>11+1</f>
        <v>12</v>
      </c>
      <c r="F48" s="36"/>
      <c r="G48" s="2">
        <f>4+8</f>
        <v>12</v>
      </c>
      <c r="H48" s="36"/>
      <c r="I48" s="2">
        <f>10+14</f>
        <v>24</v>
      </c>
      <c r="J48" s="36"/>
      <c r="K48" s="2">
        <f>149+7</f>
        <v>156</v>
      </c>
      <c r="L48" s="36"/>
      <c r="M48" s="2">
        <f>8+1</f>
        <v>9</v>
      </c>
      <c r="N48" s="36"/>
      <c r="O48" s="2">
        <v>2</v>
      </c>
      <c r="P48" s="36"/>
      <c r="Q48" s="2">
        <f>105+14</f>
        <v>119</v>
      </c>
      <c r="R48" s="36"/>
      <c r="S48" s="2">
        <f>7+13</f>
        <v>20</v>
      </c>
      <c r="T48" s="36"/>
      <c r="U48" s="2">
        <v>13</v>
      </c>
      <c r="V48" s="36"/>
      <c r="W48" s="2">
        <v>24</v>
      </c>
      <c r="X48" s="36"/>
      <c r="Y48" s="2">
        <v>7</v>
      </c>
      <c r="Z48" s="36"/>
      <c r="AA48" s="2">
        <f>10+2</f>
        <v>12</v>
      </c>
      <c r="AB48" s="36"/>
      <c r="AC48" s="66"/>
      <c r="AD48" s="12" t="str">
        <f t="shared" si="22"/>
        <v>350X</v>
      </c>
      <c r="AE48" s="39" t="str">
        <f t="shared" si="23"/>
        <v>SUI</v>
      </c>
      <c r="AF48" s="2">
        <f t="shared" si="30"/>
        <v>916</v>
      </c>
      <c r="AG48" s="2"/>
      <c r="AH48" s="83">
        <f t="shared" si="24"/>
        <v>-0.30458515283842796</v>
      </c>
      <c r="AI48" s="2">
        <f>ROUND((AI40+AI29)*LEFT(AJ48,5),0)</f>
        <v>637</v>
      </c>
      <c r="AJ48" s="81" t="str">
        <f>TEXT('MYP Assumptions'!E59,"0.00%")&amp;", no rate change"</f>
        <v>0.05%, no rate change</v>
      </c>
      <c r="AK48" s="66"/>
      <c r="AL48" s="83">
        <f t="shared" si="25"/>
        <v>2.0408163265306121E-2</v>
      </c>
      <c r="AM48" s="2">
        <f>ROUND((AM40+AM29)*LEFT(AN48,5),0)</f>
        <v>650</v>
      </c>
      <c r="AN48" s="81" t="str">
        <f>TEXT('MYP Assumptions'!F59,"0.00%")&amp;", no rate change"</f>
        <v>0.05%, no rate change</v>
      </c>
      <c r="AP48" s="83">
        <f t="shared" si="26"/>
        <v>0.02</v>
      </c>
      <c r="AQ48" s="2">
        <f>ROUND((AQ40+AQ29)*LEFT(AR48,5),0)</f>
        <v>663</v>
      </c>
      <c r="AR48" s="81" t="str">
        <f>TEXT('MYP Assumptions'!G59,"0.00%")&amp;", no rate change"</f>
        <v>0.05%, no rate change</v>
      </c>
      <c r="AT48" s="83">
        <f t="shared" si="27"/>
        <v>1.9607843137254902E-2</v>
      </c>
      <c r="AU48" s="2">
        <f>ROUND((AU40+AU29)*LEFT(AV48,5),0)</f>
        <v>676</v>
      </c>
      <c r="AV48" s="81" t="str">
        <f>TEXT('MYP Assumptions'!H59,"0.00%")&amp;", no rate change"</f>
        <v>0.05%, no rate change</v>
      </c>
      <c r="AX48" s="83">
        <f t="shared" si="28"/>
        <v>2.0710059171597635E-2</v>
      </c>
      <c r="AY48" s="2">
        <f>ROUND((AY40+AY29)*LEFT(AZ48,5),0)</f>
        <v>690</v>
      </c>
      <c r="AZ48" s="81" t="str">
        <f>TEXT('MYP Assumptions'!I59,"0.00%")&amp;", no rate change"</f>
        <v>0.05%, no rate change</v>
      </c>
      <c r="BB48" s="83">
        <f t="shared" si="29"/>
        <v>1.8840579710144929E-2</v>
      </c>
      <c r="BC48" s="2">
        <f>ROUND((BC40+BC29)*LEFT(BD48,5),0)</f>
        <v>703</v>
      </c>
      <c r="BD48" s="81" t="str">
        <f>TEXT('MYP Assumptions'!J59,"0.00%")&amp;", no rate change"</f>
        <v>0.05%, no rate change</v>
      </c>
    </row>
    <row r="49" spans="1:56" x14ac:dyDescent="0.25">
      <c r="A49" s="12" t="s">
        <v>89</v>
      </c>
      <c r="B49" s="39" t="s">
        <v>82</v>
      </c>
      <c r="C49" s="3">
        <f>10182+215</f>
        <v>10397</v>
      </c>
      <c r="D49" s="30"/>
      <c r="E49" s="2">
        <f>212+5</f>
        <v>217</v>
      </c>
      <c r="F49" s="36"/>
      <c r="G49" s="2">
        <f>90+183</f>
        <v>273</v>
      </c>
      <c r="H49" s="36"/>
      <c r="I49" s="2">
        <f>224+314</f>
        <v>538</v>
      </c>
      <c r="J49" s="36"/>
      <c r="K49" s="2">
        <v>0</v>
      </c>
      <c r="L49" s="36"/>
      <c r="M49" s="2">
        <f>143+15</f>
        <v>158</v>
      </c>
      <c r="N49" s="36"/>
      <c r="O49" s="2">
        <f>60+22</f>
        <v>82</v>
      </c>
      <c r="P49" s="36"/>
      <c r="Q49" s="2">
        <v>0</v>
      </c>
      <c r="R49" s="36"/>
      <c r="S49" s="2">
        <f>166+277</f>
        <v>443</v>
      </c>
      <c r="T49" s="36"/>
      <c r="U49" s="2">
        <f>260+5</f>
        <v>265</v>
      </c>
      <c r="V49" s="36"/>
      <c r="W49" s="2">
        <f>223+308</f>
        <v>531</v>
      </c>
      <c r="X49" s="36"/>
      <c r="Y49" s="2">
        <f>158</f>
        <v>158</v>
      </c>
      <c r="Z49" s="36"/>
      <c r="AA49" s="2">
        <f>218+58</f>
        <v>276</v>
      </c>
      <c r="AB49" s="36"/>
      <c r="AC49" s="66"/>
      <c r="AD49" s="12" t="str">
        <f t="shared" si="22"/>
        <v>360X</v>
      </c>
      <c r="AE49" s="39" t="str">
        <f t="shared" si="23"/>
        <v>W/C</v>
      </c>
      <c r="AF49" s="2">
        <f t="shared" si="30"/>
        <v>13338</v>
      </c>
      <c r="AG49" s="2"/>
      <c r="AH49" s="83">
        <f t="shared" si="24"/>
        <v>-0.23579247263457789</v>
      </c>
      <c r="AI49" s="2">
        <f>ROUND((AI40+AI29)*LEFT(AJ49,5),0)</f>
        <v>10193</v>
      </c>
      <c r="AJ49" s="81" t="str">
        <f>TEXT('MYP Assumptions'!E60,"0.00%")&amp;", no rate change"</f>
        <v>0.80%, no rate change</v>
      </c>
      <c r="AK49" s="66"/>
      <c r="AL49" s="83">
        <f t="shared" si="25"/>
        <v>2.0013734916118905E-2</v>
      </c>
      <c r="AM49" s="2">
        <f>ROUND((AM40+AM29)*LEFT(AN49,5),0)</f>
        <v>10397</v>
      </c>
      <c r="AN49" s="81" t="str">
        <f>TEXT('MYP Assumptions'!F60,"0.00%")&amp;", no rate change"</f>
        <v>0.80%, no rate change</v>
      </c>
      <c r="AP49" s="83">
        <f t="shared" si="26"/>
        <v>2.0005770895450612E-2</v>
      </c>
      <c r="AQ49" s="2">
        <f>ROUND((AQ40+AQ29)*LEFT(AR49,5),0)</f>
        <v>10605</v>
      </c>
      <c r="AR49" s="81" t="str">
        <f>TEXT('MYP Assumptions'!G60,"0.00%")&amp;", no rate change"</f>
        <v>0.80%, no rate change</v>
      </c>
      <c r="AT49" s="83">
        <f t="shared" si="27"/>
        <v>1.9990570485619991E-2</v>
      </c>
      <c r="AU49" s="2">
        <f>ROUND((AU40+AU29)*LEFT(AV49,5),0)</f>
        <v>10817</v>
      </c>
      <c r="AV49" s="81" t="str">
        <f>TEXT('MYP Assumptions'!H60,"0.00%")&amp;", no rate change"</f>
        <v>0.80%, no rate change</v>
      </c>
      <c r="AX49" s="83">
        <f t="shared" si="28"/>
        <v>2.0061015068873068E-2</v>
      </c>
      <c r="AY49" s="2">
        <f>ROUND((AY40+AY29)*LEFT(AZ49,5),0)</f>
        <v>11034</v>
      </c>
      <c r="AZ49" s="81" t="str">
        <f>TEXT('MYP Assumptions'!I60,"0.00%")&amp;", no rate change"</f>
        <v>0.80%, no rate change</v>
      </c>
      <c r="BB49" s="83">
        <f t="shared" si="29"/>
        <v>1.9938372303788289E-2</v>
      </c>
      <c r="BC49" s="2">
        <f>ROUND((BC40+BC29)*LEFT(BD49,5),0)</f>
        <v>11254</v>
      </c>
      <c r="BD49" s="81" t="str">
        <f>TEXT('MYP Assumptions'!J60,"0.00%")&amp;", no rate change"</f>
        <v>0.80%, no rate change</v>
      </c>
    </row>
    <row r="50" spans="1:56" x14ac:dyDescent="0.25">
      <c r="A50" s="12" t="s">
        <v>90</v>
      </c>
      <c r="B50" s="39" t="s">
        <v>92</v>
      </c>
      <c r="C50" s="3">
        <v>0</v>
      </c>
      <c r="D50" s="30"/>
      <c r="E50" s="2">
        <v>0</v>
      </c>
      <c r="F50" s="36"/>
      <c r="G50" s="2">
        <v>0</v>
      </c>
      <c r="H50" s="36"/>
      <c r="I50" s="2">
        <v>0</v>
      </c>
      <c r="J50" s="36"/>
      <c r="K50" s="2">
        <v>0</v>
      </c>
      <c r="L50" s="36"/>
      <c r="M50" s="2">
        <v>0</v>
      </c>
      <c r="N50" s="36"/>
      <c r="O50" s="2">
        <v>0</v>
      </c>
      <c r="P50" s="36"/>
      <c r="Q50" s="2">
        <v>0</v>
      </c>
      <c r="R50" s="36"/>
      <c r="S50" s="2">
        <v>0</v>
      </c>
      <c r="T50" s="36"/>
      <c r="U50" s="2">
        <v>0</v>
      </c>
      <c r="V50" s="36"/>
      <c r="W50" s="2">
        <v>0</v>
      </c>
      <c r="X50" s="36"/>
      <c r="Y50" s="2">
        <f>3</f>
        <v>3</v>
      </c>
      <c r="Z50" s="36"/>
      <c r="AA50" s="2">
        <v>0</v>
      </c>
      <c r="AB50" s="36"/>
      <c r="AC50" s="66"/>
      <c r="AD50" s="12" t="str">
        <f t="shared" si="22"/>
        <v>370X</v>
      </c>
      <c r="AE50" s="39" t="str">
        <f t="shared" si="23"/>
        <v>OPEB</v>
      </c>
      <c r="AF50" s="2">
        <f t="shared" si="30"/>
        <v>3</v>
      </c>
      <c r="AG50" s="2"/>
      <c r="AH50" s="83">
        <f t="shared" si="24"/>
        <v>0</v>
      </c>
      <c r="AI50" s="2">
        <f>AF50</f>
        <v>3</v>
      </c>
      <c r="AJ50" s="81" t="s">
        <v>166</v>
      </c>
      <c r="AK50" s="66"/>
      <c r="AL50" s="83">
        <f t="shared" si="25"/>
        <v>0</v>
      </c>
      <c r="AM50" s="2">
        <f>AI50</f>
        <v>3</v>
      </c>
      <c r="AN50" s="81" t="s">
        <v>166</v>
      </c>
      <c r="AP50" s="83">
        <f t="shared" si="26"/>
        <v>0</v>
      </c>
      <c r="AQ50" s="2">
        <f>AM50</f>
        <v>3</v>
      </c>
      <c r="AR50" s="81" t="s">
        <v>166</v>
      </c>
      <c r="AT50" s="83">
        <f t="shared" si="27"/>
        <v>0</v>
      </c>
      <c r="AU50" s="2">
        <f>AQ50</f>
        <v>3</v>
      </c>
      <c r="AV50" s="81" t="s">
        <v>166</v>
      </c>
      <c r="AX50" s="83">
        <f t="shared" si="28"/>
        <v>0</v>
      </c>
      <c r="AY50" s="2">
        <f>AU50</f>
        <v>3</v>
      </c>
      <c r="AZ50" s="81" t="s">
        <v>166</v>
      </c>
      <c r="BB50" s="83">
        <f t="shared" si="29"/>
        <v>0</v>
      </c>
      <c r="BC50" s="2">
        <f>AY50</f>
        <v>3</v>
      </c>
      <c r="BD50" s="81" t="s">
        <v>166</v>
      </c>
    </row>
    <row r="51" spans="1:56" x14ac:dyDescent="0.25">
      <c r="A51" s="12" t="s">
        <v>91</v>
      </c>
      <c r="B51" s="39" t="s">
        <v>93</v>
      </c>
      <c r="C51" s="3">
        <v>5685</v>
      </c>
      <c r="D51" s="30"/>
      <c r="E51" s="2">
        <v>0</v>
      </c>
      <c r="F51" s="36"/>
      <c r="G51" s="2">
        <v>0</v>
      </c>
      <c r="H51" s="36"/>
      <c r="I51" s="2">
        <v>0</v>
      </c>
      <c r="J51" s="36"/>
      <c r="K51" s="2">
        <v>0</v>
      </c>
      <c r="L51" s="36"/>
      <c r="M51" s="2">
        <v>0</v>
      </c>
      <c r="N51" s="36"/>
      <c r="O51" s="2">
        <v>0</v>
      </c>
      <c r="P51" s="36"/>
      <c r="Q51" s="2">
        <v>0</v>
      </c>
      <c r="R51" s="36"/>
      <c r="S51" s="2">
        <v>0</v>
      </c>
      <c r="T51" s="36"/>
      <c r="U51" s="2">
        <v>0</v>
      </c>
      <c r="V51" s="36"/>
      <c r="W51" s="2">
        <v>0</v>
      </c>
      <c r="X51" s="36"/>
      <c r="Y51" s="2">
        <v>0</v>
      </c>
      <c r="Z51" s="36"/>
      <c r="AA51" s="2">
        <v>0</v>
      </c>
      <c r="AB51" s="36"/>
      <c r="AC51" s="66"/>
      <c r="AD51" s="12" t="str">
        <f t="shared" si="22"/>
        <v>390X</v>
      </c>
      <c r="AE51" s="39" t="str">
        <f t="shared" si="23"/>
        <v>Other Benefits</v>
      </c>
      <c r="AF51" s="2">
        <f t="shared" si="30"/>
        <v>5685</v>
      </c>
      <c r="AG51" s="2"/>
      <c r="AH51" s="83">
        <f t="shared" si="24"/>
        <v>0</v>
      </c>
      <c r="AI51" s="2">
        <f>AF51</f>
        <v>5685</v>
      </c>
      <c r="AJ51" s="81" t="s">
        <v>166</v>
      </c>
      <c r="AK51" s="66"/>
      <c r="AL51" s="83">
        <f t="shared" si="25"/>
        <v>0</v>
      </c>
      <c r="AM51" s="2">
        <f>AI51</f>
        <v>5685</v>
      </c>
      <c r="AN51" s="81" t="s">
        <v>166</v>
      </c>
      <c r="AP51" s="83">
        <f t="shared" si="26"/>
        <v>0</v>
      </c>
      <c r="AQ51" s="2">
        <f>AM51</f>
        <v>5685</v>
      </c>
      <c r="AR51" s="81" t="s">
        <v>166</v>
      </c>
      <c r="AT51" s="83">
        <f t="shared" si="27"/>
        <v>0</v>
      </c>
      <c r="AU51" s="2">
        <f>AQ51</f>
        <v>5685</v>
      </c>
      <c r="AV51" s="81" t="s">
        <v>166</v>
      </c>
      <c r="AX51" s="83">
        <f t="shared" si="28"/>
        <v>0</v>
      </c>
      <c r="AY51" s="2">
        <f>AU51</f>
        <v>5685</v>
      </c>
      <c r="AZ51" s="81" t="s">
        <v>166</v>
      </c>
      <c r="BB51" s="83">
        <f t="shared" si="29"/>
        <v>0</v>
      </c>
      <c r="BC51" s="2">
        <f>AY51</f>
        <v>5685</v>
      </c>
      <c r="BD51" s="81" t="s">
        <v>166</v>
      </c>
    </row>
    <row r="52" spans="1:56" x14ac:dyDescent="0.25">
      <c r="A52" s="12"/>
      <c r="C52" s="8">
        <f>SUM(C43:C51)</f>
        <v>268302</v>
      </c>
      <c r="D52" s="33"/>
      <c r="E52" s="8">
        <f>SUM(E43:E51)</f>
        <v>3034</v>
      </c>
      <c r="F52" s="5"/>
      <c r="G52" s="8">
        <f>SUM(G43:G51)</f>
        <v>5532</v>
      </c>
      <c r="H52" s="5"/>
      <c r="I52" s="8">
        <f>SUM(I43:I51)</f>
        <v>8526</v>
      </c>
      <c r="J52" s="5"/>
      <c r="K52" s="8">
        <f>SUM(K43:K51)</f>
        <v>2179</v>
      </c>
      <c r="L52" s="5"/>
      <c r="M52" s="8">
        <f>SUM(M43:M51)</f>
        <v>2284</v>
      </c>
      <c r="N52" s="5"/>
      <c r="O52" s="8">
        <f>SUM(O43:O51)</f>
        <v>1302</v>
      </c>
      <c r="P52" s="5"/>
      <c r="Q52" s="8">
        <f>SUM(Q43:Q51)</f>
        <v>1738</v>
      </c>
      <c r="R52" s="5"/>
      <c r="S52" s="8">
        <f>SUM(S43:S51)</f>
        <v>8028</v>
      </c>
      <c r="T52" s="5"/>
      <c r="U52" s="8">
        <f>SUM(U43:U51)</f>
        <v>3702</v>
      </c>
      <c r="V52" s="5"/>
      <c r="W52" s="8">
        <f>SUM(W43:W51)</f>
        <v>14143</v>
      </c>
      <c r="X52" s="5"/>
      <c r="Y52" s="8">
        <f>SUM(Y43:Y51)</f>
        <v>2217</v>
      </c>
      <c r="Z52" s="5"/>
      <c r="AA52" s="8">
        <f>SUM(AA43:AA51)</f>
        <v>4199</v>
      </c>
      <c r="AB52" s="5"/>
      <c r="AC52" s="29"/>
      <c r="AD52" s="12"/>
      <c r="AF52" s="8">
        <f>SUM(AF43:AF51)</f>
        <v>325186</v>
      </c>
      <c r="AG52" s="2"/>
      <c r="AH52" s="83">
        <f t="shared" si="24"/>
        <v>9.5702151999163557E-2</v>
      </c>
      <c r="AI52" s="8">
        <f>SUM(AI43:AI51)</f>
        <v>356307</v>
      </c>
      <c r="AJ52" s="5"/>
      <c r="AK52" s="29"/>
      <c r="AL52" s="83">
        <f t="shared" si="25"/>
        <v>0.10781713522327656</v>
      </c>
      <c r="AM52" s="8">
        <f>SUM(AM43:AM51)</f>
        <v>394723</v>
      </c>
      <c r="AN52" s="73"/>
      <c r="AP52" s="83">
        <f t="shared" si="26"/>
        <v>0.10212731459783189</v>
      </c>
      <c r="AQ52" s="8">
        <f>SUM(AQ43:AQ51)</f>
        <v>435035</v>
      </c>
      <c r="AR52" s="73"/>
      <c r="AT52" s="83">
        <f t="shared" si="27"/>
        <v>7.3244681462411074E-2</v>
      </c>
      <c r="AU52" s="8">
        <f>SUM(AU43:AU51)</f>
        <v>466899</v>
      </c>
      <c r="AV52" s="73"/>
      <c r="AX52" s="83">
        <f t="shared" si="28"/>
        <v>4.0809682608015867E-2</v>
      </c>
      <c r="AY52" s="8">
        <f>SUM(AY43:AY51)</f>
        <v>485953</v>
      </c>
      <c r="AZ52" s="73"/>
      <c r="BB52" s="83">
        <f t="shared" si="29"/>
        <v>3.9701370297127503E-2</v>
      </c>
      <c r="BC52" s="8">
        <f>SUM(BC43:BC51)</f>
        <v>505246</v>
      </c>
      <c r="BD52" s="73"/>
    </row>
    <row r="53" spans="1:56" x14ac:dyDescent="0.25">
      <c r="A53" s="12"/>
      <c r="C53" s="9"/>
      <c r="D53" s="33"/>
      <c r="E53" s="10"/>
      <c r="F53" s="6"/>
      <c r="G53" s="10"/>
      <c r="H53" s="6"/>
      <c r="I53" s="10"/>
      <c r="J53" s="6"/>
      <c r="K53" s="10"/>
      <c r="L53" s="6"/>
      <c r="M53" s="10"/>
      <c r="N53" s="6"/>
      <c r="O53" s="10"/>
      <c r="P53" s="6"/>
      <c r="Q53" s="10"/>
      <c r="R53" s="6"/>
      <c r="S53" s="10"/>
      <c r="T53" s="6"/>
      <c r="U53" s="10"/>
      <c r="V53" s="6"/>
      <c r="W53" s="10"/>
      <c r="X53" s="6"/>
      <c r="Y53" s="10"/>
      <c r="Z53" s="6"/>
      <c r="AA53" s="10"/>
      <c r="AB53" s="6"/>
      <c r="AC53" s="57"/>
      <c r="AD53" s="12"/>
      <c r="AF53" s="2"/>
      <c r="AG53" s="2"/>
      <c r="AI53" s="2"/>
      <c r="AJ53" s="36"/>
      <c r="AK53" s="66"/>
      <c r="AM53" s="2"/>
      <c r="AN53" s="73"/>
      <c r="AQ53" s="2"/>
      <c r="AR53" s="73"/>
      <c r="AU53" s="2"/>
      <c r="AV53" s="73"/>
      <c r="AY53" s="2"/>
      <c r="AZ53" s="73"/>
      <c r="BC53" s="2"/>
      <c r="BD53" s="73"/>
    </row>
    <row r="54" spans="1:56" x14ac:dyDescent="0.25">
      <c r="A54" s="21" t="s">
        <v>26</v>
      </c>
      <c r="C54" s="8">
        <f>SUM(C52,C40,C29)</f>
        <v>1255135</v>
      </c>
      <c r="D54" s="33"/>
      <c r="E54" s="8">
        <f>SUM(E52,E40,E29)</f>
        <v>20309</v>
      </c>
      <c r="F54" s="5"/>
      <c r="G54" s="8">
        <f>SUM(G52,G40,G29)</f>
        <v>27254</v>
      </c>
      <c r="H54" s="5"/>
      <c r="I54" s="8">
        <f>SUM(I52,I40,I29)</f>
        <v>57467</v>
      </c>
      <c r="J54" s="5"/>
      <c r="K54" s="8">
        <f>SUM(K52,K40,K29)</f>
        <v>16016</v>
      </c>
      <c r="L54" s="5"/>
      <c r="M54" s="8">
        <f>SUM(M52,M40,M29)</f>
        <v>16632</v>
      </c>
      <c r="N54" s="5"/>
      <c r="O54" s="8">
        <f>SUM(O52,O40,O29)</f>
        <v>9172</v>
      </c>
      <c r="P54" s="5"/>
      <c r="Q54" s="8">
        <f>SUM(Q52,Q40,Q29)</f>
        <v>12469</v>
      </c>
      <c r="R54" s="5"/>
      <c r="S54" s="8">
        <f>SUM(S52,S40,S29)</f>
        <v>48349</v>
      </c>
      <c r="T54" s="5"/>
      <c r="U54" s="8">
        <f>SUM(U52,U40,U29)</f>
        <v>15093</v>
      </c>
      <c r="V54" s="5"/>
      <c r="W54" s="8">
        <f>SUM(W52,W40,W29)</f>
        <v>50701</v>
      </c>
      <c r="X54" s="5"/>
      <c r="Y54" s="8">
        <f>SUM(Y52,Y40,Y29)</f>
        <v>16554</v>
      </c>
      <c r="Z54" s="5"/>
      <c r="AA54" s="8">
        <f>SUM(AA52,AA40,AA29)</f>
        <v>29222</v>
      </c>
      <c r="AB54" s="5"/>
      <c r="AC54" s="29"/>
      <c r="AD54" s="21" t="str">
        <f>A54</f>
        <v>Total Salaries and Benefits</v>
      </c>
      <c r="AF54" s="8">
        <f>SUM(AF52,AF40,AF29)</f>
        <v>1574373</v>
      </c>
      <c r="AG54" s="2"/>
      <c r="AH54" s="83">
        <f>IF(AF54=0,"0.00%",(AI54-AF54)/AF54)</f>
        <v>3.5635773733416413E-2</v>
      </c>
      <c r="AI54" s="8">
        <f>SUM(AI52,AI40,AI29)</f>
        <v>1630477</v>
      </c>
      <c r="AJ54" s="5"/>
      <c r="AK54" s="29"/>
      <c r="AL54" s="83">
        <f>IF(AI54=0,"0.00%",(AM54-AI54)/AI54)</f>
        <v>3.9190985214756176E-2</v>
      </c>
      <c r="AM54" s="8">
        <f>SUM(AM52,AM40,AM29)</f>
        <v>1694377</v>
      </c>
      <c r="AN54" s="73"/>
      <c r="AP54" s="83">
        <f>IF(AM54=0,"0.00%",(AQ54-AM54)/AM54)</f>
        <v>3.9132967456475154E-2</v>
      </c>
      <c r="AQ54" s="8">
        <f>SUM(AQ52,AQ40,AQ29)</f>
        <v>1760683</v>
      </c>
      <c r="AR54" s="73"/>
      <c r="AT54" s="83">
        <f>IF(AQ54=0,"0.00%",(AU54-AQ54)/AQ54)</f>
        <v>3.315531529525758E-2</v>
      </c>
      <c r="AU54" s="8">
        <f>SUM(AU52,AU40,AU29)</f>
        <v>1819059</v>
      </c>
      <c r="AV54" s="73"/>
      <c r="AX54" s="83">
        <f>IF(AU54=0,"0.00%",(AY54-AU54)/AU54)</f>
        <v>2.5340574439861489E-2</v>
      </c>
      <c r="AY54" s="8">
        <f>SUM(AY52,AY40,AY29)</f>
        <v>1865155</v>
      </c>
      <c r="AZ54" s="73"/>
      <c r="BB54" s="83">
        <f>IF(AY54=0,"0.00%",(BC54-AY54)/AY54)</f>
        <v>2.5133031839176905E-2</v>
      </c>
      <c r="BC54" s="8">
        <f>SUM(BC52,BC40,BC29)</f>
        <v>1912032</v>
      </c>
      <c r="BD54" s="73"/>
    </row>
    <row r="55" spans="1:56" x14ac:dyDescent="0.25">
      <c r="F55" s="51"/>
      <c r="H55" s="51"/>
      <c r="I55" s="39"/>
      <c r="J55" s="51"/>
      <c r="L55" s="51"/>
      <c r="N55" s="51"/>
      <c r="P55" s="51"/>
      <c r="R55" s="51"/>
      <c r="T55" s="51"/>
      <c r="V55" s="51"/>
      <c r="X55" s="51"/>
      <c r="Z55" s="51"/>
      <c r="AB55" s="51"/>
      <c r="AC55" s="59"/>
      <c r="AF55" s="2"/>
      <c r="AG55" s="2"/>
      <c r="AI55" s="2"/>
      <c r="AJ55" s="36"/>
      <c r="AK55" s="66"/>
      <c r="AM55" s="2"/>
      <c r="AN55" s="73"/>
      <c r="AQ55" s="2"/>
      <c r="AR55" s="73"/>
      <c r="AU55" s="2"/>
      <c r="AV55" s="73"/>
      <c r="AY55" s="2"/>
      <c r="AZ55" s="73"/>
      <c r="BC55" s="2"/>
      <c r="BD55" s="73"/>
    </row>
    <row r="56" spans="1:56" x14ac:dyDescent="0.25">
      <c r="C56" s="3"/>
      <c r="D56" s="30"/>
      <c r="E56" s="2"/>
      <c r="F56" s="36"/>
      <c r="G56" s="2"/>
      <c r="H56" s="36"/>
      <c r="J56" s="36"/>
      <c r="K56" s="2"/>
      <c r="L56" s="36"/>
      <c r="M56" s="2"/>
      <c r="N56" s="36"/>
      <c r="O56" s="2"/>
      <c r="P56" s="36"/>
      <c r="Q56" s="2"/>
      <c r="R56" s="36"/>
      <c r="S56" s="2"/>
      <c r="T56" s="36"/>
      <c r="U56" s="2"/>
      <c r="V56" s="36"/>
      <c r="W56" s="2"/>
      <c r="X56" s="36"/>
      <c r="Y56" s="2"/>
      <c r="Z56" s="36"/>
      <c r="AA56" s="2"/>
      <c r="AB56" s="36"/>
      <c r="AC56" s="66"/>
      <c r="AF56" s="2"/>
      <c r="AG56" s="2"/>
      <c r="AI56" s="2"/>
      <c r="AJ56" s="36"/>
      <c r="AK56" s="66"/>
      <c r="AM56" s="2"/>
      <c r="AN56" s="73"/>
      <c r="AQ56" s="2"/>
      <c r="AR56" s="73"/>
      <c r="AU56" s="2"/>
      <c r="AV56" s="73"/>
      <c r="AY56" s="2"/>
      <c r="AZ56" s="73"/>
      <c r="BC56" s="2"/>
      <c r="BD56" s="73"/>
    </row>
    <row r="57" spans="1:56" x14ac:dyDescent="0.25">
      <c r="A57" s="22" t="s">
        <v>25</v>
      </c>
      <c r="B57" s="4"/>
      <c r="F57" s="51"/>
      <c r="H57" s="51"/>
      <c r="I57" s="39"/>
      <c r="J57" s="51"/>
      <c r="L57" s="51"/>
      <c r="N57" s="51"/>
      <c r="P57" s="51"/>
      <c r="R57" s="51"/>
      <c r="T57" s="51"/>
      <c r="V57" s="51"/>
      <c r="X57" s="51"/>
      <c r="Z57" s="51"/>
      <c r="AB57" s="51"/>
      <c r="AC57" s="59"/>
      <c r="AD57" s="22" t="str">
        <f t="shared" ref="AD57:AD64" si="31">A57</f>
        <v>Supplies</v>
      </c>
      <c r="AE57" s="4"/>
      <c r="AF57" s="2"/>
      <c r="AG57" s="2"/>
      <c r="AI57" s="2"/>
      <c r="AJ57" s="36"/>
      <c r="AK57" s="66"/>
      <c r="AM57" s="2"/>
      <c r="AN57" s="73"/>
      <c r="AQ57" s="2"/>
      <c r="AR57" s="73"/>
      <c r="AU57" s="2"/>
      <c r="AV57" s="73"/>
      <c r="AY57" s="2"/>
      <c r="AZ57" s="73"/>
      <c r="BC57" s="2"/>
      <c r="BD57" s="73"/>
    </row>
    <row r="58" spans="1:56" x14ac:dyDescent="0.25">
      <c r="A58" s="12" t="s">
        <v>24</v>
      </c>
      <c r="B58" s="39" t="s">
        <v>23</v>
      </c>
      <c r="C58" s="3">
        <v>4700</v>
      </c>
      <c r="D58" s="30"/>
      <c r="E58" s="2">
        <v>500</v>
      </c>
      <c r="F58" s="36"/>
      <c r="G58" s="2">
        <v>0</v>
      </c>
      <c r="H58" s="36"/>
      <c r="I58" s="2">
        <v>750</v>
      </c>
      <c r="J58" s="36"/>
      <c r="K58" s="2">
        <v>75</v>
      </c>
      <c r="L58" s="36"/>
      <c r="M58" s="2">
        <v>563</v>
      </c>
      <c r="N58" s="36"/>
      <c r="O58" s="2">
        <v>500</v>
      </c>
      <c r="P58" s="36"/>
      <c r="Q58" s="2">
        <v>999</v>
      </c>
      <c r="R58" s="36"/>
      <c r="S58" s="2">
        <v>0</v>
      </c>
      <c r="T58" s="36"/>
      <c r="U58" s="2">
        <v>691</v>
      </c>
      <c r="V58" s="36"/>
      <c r="W58" s="2">
        <v>335</v>
      </c>
      <c r="X58" s="36"/>
      <c r="Y58" s="2">
        <v>0</v>
      </c>
      <c r="Z58" s="36"/>
      <c r="AA58" s="2">
        <v>800</v>
      </c>
      <c r="AB58" s="36"/>
      <c r="AC58" s="66"/>
      <c r="AD58" s="12" t="str">
        <f t="shared" si="31"/>
        <v>4210</v>
      </c>
      <c r="AE58" s="39" t="str">
        <f t="shared" ref="AE58:AE64" si="32">B58</f>
        <v>Other Books</v>
      </c>
      <c r="AF58" s="2">
        <f>SUM(C58,E58,G58,I58,K58,M58,O58,Q58,S58,U58,W58,Y58,AA58)</f>
        <v>9913</v>
      </c>
      <c r="AG58" s="2"/>
      <c r="AH58" s="83">
        <f t="shared" ref="AH58:AH64" si="33">IF(AF58=0,"0.00%",(AI58-AF58)/AF58)</f>
        <v>3.4197518410168465E-2</v>
      </c>
      <c r="AI58" s="2">
        <f t="shared" ref="AI58:AI64" si="34">ROUND(AF58*(LEFT(AJ58,5)+1),0)</f>
        <v>10252</v>
      </c>
      <c r="AJ58" s="81" t="str">
        <f>TEXT('MYP Assumptions'!E75,"0.00%")&amp;", CPI"</f>
        <v>3.42%, CPI</v>
      </c>
      <c r="AK58" s="66"/>
      <c r="AL58" s="83">
        <f t="shared" ref="AL58:AL65" si="35">IF(AI58=0,"0.00%",(AM58-AI58)/AI58)</f>
        <v>3.3456886461178309E-2</v>
      </c>
      <c r="AM58" s="2">
        <f>ROUND(AI58*(LEFT(AN58,5)+1),0)</f>
        <v>10595</v>
      </c>
      <c r="AN58" s="81" t="str">
        <f>TEXT('MYP Assumptions'!F75,"0.00%")&amp;", CPI"</f>
        <v>3.35%, CPI</v>
      </c>
      <c r="AP58" s="83">
        <f t="shared" ref="AP58:AP65" si="36">IF(AM58=0,"0.00%",(AQ58-AM58)/AM58)</f>
        <v>3.0202925908447382E-2</v>
      </c>
      <c r="AQ58" s="2">
        <f>ROUND(AM58*(LEFT(AR58,5)+1),0)</f>
        <v>10915</v>
      </c>
      <c r="AR58" s="81" t="str">
        <f>TEXT('MYP Assumptions'!G75,"0.00%")&amp;", CPI"</f>
        <v>3.02%, CPI</v>
      </c>
      <c r="AT58" s="83">
        <f t="shared" ref="AT58:AT65" si="37">IF(AQ58=0,"0.00%",(AU58-AQ58)/AQ58)</f>
        <v>2.7301878149335778E-2</v>
      </c>
      <c r="AU58" s="2">
        <f>ROUND(AQ58*(LEFT(AV58,5)+1),0)</f>
        <v>11213</v>
      </c>
      <c r="AV58" s="81" t="str">
        <f>TEXT('MYP Assumptions'!H75,"0.00%")&amp;", CPI"</f>
        <v>2.73%, CPI</v>
      </c>
      <c r="AX58" s="83">
        <f t="shared" ref="AX58:AX65" si="38">IF(AU58=0,"0.00%",(AY58-AU58)/AU58)</f>
        <v>2.7289752965308126E-2</v>
      </c>
      <c r="AY58" s="2">
        <f>ROUND(AU58*(LEFT(AZ58,5)+1),0)</f>
        <v>11519</v>
      </c>
      <c r="AZ58" s="81" t="str">
        <f>TEXT('MYP Assumptions'!I75,"0.00%")&amp;", CPI"</f>
        <v>2.73%, CPI</v>
      </c>
      <c r="BB58" s="83">
        <f t="shared" ref="BB58:BB65" si="39">IF(AY58=0,"0.00%",(BC58-AY58)/AY58)</f>
        <v>2.7259310704054171E-2</v>
      </c>
      <c r="BC58" s="2">
        <f>ROUND(AY58*(LEFT(BD58,5)+1),0)</f>
        <v>11833</v>
      </c>
      <c r="BD58" s="81" t="str">
        <f>TEXT('MYP Assumptions'!J75,"0.00%")&amp;", CPI"</f>
        <v>2.73%, CPI</v>
      </c>
    </row>
    <row r="59" spans="1:56" x14ac:dyDescent="0.25">
      <c r="A59" s="12" t="s">
        <v>94</v>
      </c>
      <c r="B59" s="39" t="s">
        <v>96</v>
      </c>
      <c r="C59" s="3">
        <v>0</v>
      </c>
      <c r="D59" s="30"/>
      <c r="E59" s="2">
        <v>0</v>
      </c>
      <c r="F59" s="36"/>
      <c r="G59" s="2">
        <v>160</v>
      </c>
      <c r="H59" s="36"/>
      <c r="I59" s="2">
        <v>0</v>
      </c>
      <c r="J59" s="36"/>
      <c r="K59" s="2">
        <v>0</v>
      </c>
      <c r="L59" s="36"/>
      <c r="M59" s="2">
        <v>31580</v>
      </c>
      <c r="N59" s="36"/>
      <c r="O59" s="2">
        <v>0</v>
      </c>
      <c r="P59" s="36"/>
      <c r="Q59" s="2">
        <v>0</v>
      </c>
      <c r="R59" s="36"/>
      <c r="S59" s="2">
        <v>0</v>
      </c>
      <c r="T59" s="36"/>
      <c r="U59" s="2">
        <v>0</v>
      </c>
      <c r="V59" s="36"/>
      <c r="W59" s="2">
        <v>0</v>
      </c>
      <c r="X59" s="36"/>
      <c r="Y59" s="2">
        <v>0</v>
      </c>
      <c r="Z59" s="36"/>
      <c r="AA59" s="2">
        <v>0</v>
      </c>
      <c r="AB59" s="36"/>
      <c r="AC59" s="66"/>
      <c r="AD59" s="12" t="str">
        <f t="shared" si="31"/>
        <v>4211</v>
      </c>
      <c r="AE59" s="39" t="str">
        <f t="shared" si="32"/>
        <v>Reference Books</v>
      </c>
      <c r="AF59" s="2">
        <f t="shared" ref="AF59:AF64" si="40">SUM(C59,E59,G59,I59,K59,M59,O59,Q59,S59,U59,W59,Y59,AA59)</f>
        <v>31740</v>
      </c>
      <c r="AG59" s="2"/>
      <c r="AH59" s="83">
        <f t="shared" si="33"/>
        <v>3.4215500945179583E-2</v>
      </c>
      <c r="AI59" s="2">
        <f t="shared" si="34"/>
        <v>32826</v>
      </c>
      <c r="AJ59" s="81" t="str">
        <f>TEXT('MYP Assumptions'!E75,"0.00%")&amp;", CPI"</f>
        <v>3.42%, CPI</v>
      </c>
      <c r="AK59" s="66"/>
      <c r="AL59" s="83">
        <f t="shared" si="35"/>
        <v>3.3510022543106074E-2</v>
      </c>
      <c r="AM59" s="2">
        <f t="shared" ref="AM59:AM64" si="41">ROUND(AI59*(LEFT(AN59,5)+1),0)</f>
        <v>33926</v>
      </c>
      <c r="AN59" s="81" t="str">
        <f>TEXT('MYP Assumptions'!F75,"0.00%")&amp;", CPI"</f>
        <v>3.35%, CPI</v>
      </c>
      <c r="AP59" s="83">
        <f t="shared" si="36"/>
        <v>3.0212816129222424E-2</v>
      </c>
      <c r="AQ59" s="2">
        <f t="shared" ref="AQ59:AQ64" si="42">ROUND(AM59*(LEFT(AR59,5)+1),0)</f>
        <v>34951</v>
      </c>
      <c r="AR59" s="81" t="str">
        <f>TEXT('MYP Assumptions'!G75,"0.00%")&amp;", CPI"</f>
        <v>3.02%, CPI</v>
      </c>
      <c r="AT59" s="83">
        <f t="shared" si="37"/>
        <v>2.7295356356041314E-2</v>
      </c>
      <c r="AU59" s="2">
        <f t="shared" ref="AU59:AU64" si="43">ROUND(AQ59*(LEFT(AV59,5)+1),0)</f>
        <v>35905</v>
      </c>
      <c r="AV59" s="81" t="str">
        <f>TEXT('MYP Assumptions'!H75,"0.00%")&amp;", CPI"</f>
        <v>2.73%, CPI</v>
      </c>
      <c r="AX59" s="83">
        <f t="shared" si="38"/>
        <v>2.729424871187857E-2</v>
      </c>
      <c r="AY59" s="2">
        <f t="shared" ref="AY59:AY64" si="44">ROUND(AU59*(LEFT(AZ59,5)+1),0)</f>
        <v>36885</v>
      </c>
      <c r="AZ59" s="81" t="str">
        <f>TEXT('MYP Assumptions'!I75,"0.00%")&amp;", CPI"</f>
        <v>2.73%, CPI</v>
      </c>
      <c r="BB59" s="83">
        <f t="shared" si="39"/>
        <v>2.7301070896028196E-2</v>
      </c>
      <c r="BC59" s="2">
        <f t="shared" ref="BC59:BC64" si="45">ROUND(AY59*(LEFT(BD59,5)+1),0)</f>
        <v>37892</v>
      </c>
      <c r="BD59" s="81" t="str">
        <f>TEXT('MYP Assumptions'!J75,"0.00%")&amp;", CPI"</f>
        <v>2.73%, CPI</v>
      </c>
    </row>
    <row r="60" spans="1:56" x14ac:dyDescent="0.25">
      <c r="A60" s="12" t="s">
        <v>95</v>
      </c>
      <c r="B60" s="39" t="s">
        <v>97</v>
      </c>
      <c r="C60" s="3">
        <v>0</v>
      </c>
      <c r="D60" s="30"/>
      <c r="E60" s="2">
        <v>0</v>
      </c>
      <c r="F60" s="36"/>
      <c r="G60" s="2">
        <v>0</v>
      </c>
      <c r="H60" s="36"/>
      <c r="I60" s="2">
        <v>0</v>
      </c>
      <c r="J60" s="36"/>
      <c r="K60" s="2">
        <v>2747</v>
      </c>
      <c r="L60" s="36"/>
      <c r="M60" s="2">
        <v>0</v>
      </c>
      <c r="N60" s="36"/>
      <c r="O60" s="2">
        <v>0</v>
      </c>
      <c r="P60" s="36"/>
      <c r="Q60" s="2">
        <v>0</v>
      </c>
      <c r="R60" s="36"/>
      <c r="S60" s="2">
        <v>0</v>
      </c>
      <c r="T60" s="36"/>
      <c r="U60" s="2">
        <v>0</v>
      </c>
      <c r="V60" s="36"/>
      <c r="W60" s="2">
        <v>0</v>
      </c>
      <c r="X60" s="36"/>
      <c r="Y60" s="2">
        <v>0</v>
      </c>
      <c r="Z60" s="36"/>
      <c r="AA60" s="2">
        <v>0</v>
      </c>
      <c r="AB60" s="36"/>
      <c r="AC60" s="66"/>
      <c r="AD60" s="12" t="str">
        <f t="shared" si="31"/>
        <v>4212</v>
      </c>
      <c r="AE60" s="39" t="str">
        <f t="shared" si="32"/>
        <v>Library Books</v>
      </c>
      <c r="AF60" s="2">
        <f t="shared" si="40"/>
        <v>2747</v>
      </c>
      <c r="AG60" s="2"/>
      <c r="AH60" s="83">
        <f t="shared" si="33"/>
        <v>3.4219148161630873E-2</v>
      </c>
      <c r="AI60" s="2">
        <f t="shared" si="34"/>
        <v>2841</v>
      </c>
      <c r="AJ60" s="81" t="str">
        <f>TEXT('MYP Assumptions'!E75,"0.00%")&amp;", CPI"</f>
        <v>3.42%, CPI</v>
      </c>
      <c r="AK60" s="66"/>
      <c r="AL60" s="83">
        <f t="shared" si="35"/>
        <v>3.3438929954241463E-2</v>
      </c>
      <c r="AM60" s="2">
        <f t="shared" si="41"/>
        <v>2936</v>
      </c>
      <c r="AN60" s="81" t="str">
        <f>TEXT('MYP Assumptions'!F75,"0.00%")&amp;", CPI"</f>
        <v>3.35%, CPI</v>
      </c>
      <c r="AP60" s="83">
        <f t="shared" si="36"/>
        <v>3.0313351498637602E-2</v>
      </c>
      <c r="AQ60" s="2">
        <f t="shared" si="42"/>
        <v>3025</v>
      </c>
      <c r="AR60" s="81" t="str">
        <f>TEXT('MYP Assumptions'!G75,"0.00%")&amp;", CPI"</f>
        <v>3.02%, CPI</v>
      </c>
      <c r="AT60" s="83">
        <f t="shared" si="37"/>
        <v>2.7438016528925621E-2</v>
      </c>
      <c r="AU60" s="2">
        <f t="shared" si="43"/>
        <v>3108</v>
      </c>
      <c r="AV60" s="81" t="str">
        <f>TEXT('MYP Assumptions'!H75,"0.00%")&amp;", CPI"</f>
        <v>2.73%, CPI</v>
      </c>
      <c r="AX60" s="83">
        <f t="shared" si="38"/>
        <v>2.7348777348777348E-2</v>
      </c>
      <c r="AY60" s="2">
        <f t="shared" si="44"/>
        <v>3193</v>
      </c>
      <c r="AZ60" s="81" t="str">
        <f>TEXT('MYP Assumptions'!I75,"0.00%")&amp;", CPI"</f>
        <v>2.73%, CPI</v>
      </c>
      <c r="BB60" s="83">
        <f t="shared" si="39"/>
        <v>2.7247103037895397E-2</v>
      </c>
      <c r="BC60" s="2">
        <f t="shared" si="45"/>
        <v>3280</v>
      </c>
      <c r="BD60" s="81" t="str">
        <f>TEXT('MYP Assumptions'!J75,"0.00%")&amp;", CPI"</f>
        <v>2.73%, CPI</v>
      </c>
    </row>
    <row r="61" spans="1:56" x14ac:dyDescent="0.25">
      <c r="A61" s="12" t="s">
        <v>22</v>
      </c>
      <c r="B61" s="39" t="s">
        <v>21</v>
      </c>
      <c r="C61" s="3">
        <v>10944</v>
      </c>
      <c r="D61" s="30"/>
      <c r="E61" s="2">
        <v>29562</v>
      </c>
      <c r="F61" s="36"/>
      <c r="G61" s="2">
        <v>28979</v>
      </c>
      <c r="H61" s="36"/>
      <c r="I61" s="2">
        <v>51238</v>
      </c>
      <c r="J61" s="36"/>
      <c r="K61" s="2">
        <v>23641</v>
      </c>
      <c r="L61" s="36"/>
      <c r="M61" s="2">
        <v>0</v>
      </c>
      <c r="N61" s="36"/>
      <c r="O61" s="2">
        <v>64011</v>
      </c>
      <c r="P61" s="36"/>
      <c r="Q61" s="2">
        <v>34526</v>
      </c>
      <c r="R61" s="36"/>
      <c r="S61" s="2">
        <v>32648</v>
      </c>
      <c r="T61" s="36"/>
      <c r="U61" s="2">
        <v>38127</v>
      </c>
      <c r="V61" s="36"/>
      <c r="W61" s="2">
        <v>31924</v>
      </c>
      <c r="X61" s="36"/>
      <c r="Y61" s="2">
        <v>25349</v>
      </c>
      <c r="Z61" s="36"/>
      <c r="AA61" s="2">
        <v>22677</v>
      </c>
      <c r="AB61" s="36"/>
      <c r="AC61" s="66"/>
      <c r="AD61" s="12" t="str">
        <f t="shared" si="31"/>
        <v>4310</v>
      </c>
      <c r="AE61" s="39" t="str">
        <f t="shared" si="32"/>
        <v>Inst. Materials</v>
      </c>
      <c r="AF61" s="2">
        <f t="shared" si="40"/>
        <v>393626</v>
      </c>
      <c r="AG61" s="2"/>
      <c r="AH61" s="83">
        <f t="shared" si="33"/>
        <v>3.419997662756017E-2</v>
      </c>
      <c r="AI61" s="2">
        <f t="shared" si="34"/>
        <v>407088</v>
      </c>
      <c r="AJ61" s="81" t="str">
        <f>TEXT('MYP Assumptions'!E75,"0.00%")&amp;", CPI"</f>
        <v>3.42%, CPI</v>
      </c>
      <c r="AK61" s="66"/>
      <c r="AL61" s="83">
        <f t="shared" si="35"/>
        <v>3.3498899500845024E-2</v>
      </c>
      <c r="AM61" s="2">
        <f t="shared" si="41"/>
        <v>420725</v>
      </c>
      <c r="AN61" s="81" t="str">
        <f>TEXT('MYP Assumptions'!F75,"0.00%")&amp;", CPI"</f>
        <v>3.35%, CPI</v>
      </c>
      <c r="AP61" s="83">
        <f t="shared" si="36"/>
        <v>3.0200249569196029E-2</v>
      </c>
      <c r="AQ61" s="2">
        <f t="shared" si="42"/>
        <v>433431</v>
      </c>
      <c r="AR61" s="81" t="str">
        <f>TEXT('MYP Assumptions'!G75,"0.00%")&amp;", CPI"</f>
        <v>3.02%, CPI</v>
      </c>
      <c r="AT61" s="83">
        <f t="shared" si="37"/>
        <v>2.7300769903398695E-2</v>
      </c>
      <c r="AU61" s="2">
        <f t="shared" si="43"/>
        <v>445264</v>
      </c>
      <c r="AV61" s="81" t="str">
        <f>TEXT('MYP Assumptions'!H75,"0.00%")&amp;", CPI"</f>
        <v>2.73%, CPI</v>
      </c>
      <c r="AX61" s="83">
        <f t="shared" si="38"/>
        <v>2.7300657587408819E-2</v>
      </c>
      <c r="AY61" s="2">
        <f t="shared" si="44"/>
        <v>457420</v>
      </c>
      <c r="AZ61" s="81" t="str">
        <f>TEXT('MYP Assumptions'!I75,"0.00%")&amp;", CPI"</f>
        <v>2.73%, CPI</v>
      </c>
      <c r="BB61" s="83">
        <f t="shared" si="39"/>
        <v>2.7300948799790128E-2</v>
      </c>
      <c r="BC61" s="2">
        <f t="shared" si="45"/>
        <v>469908</v>
      </c>
      <c r="BD61" s="81" t="str">
        <f>TEXT('MYP Assumptions'!J75,"0.00%")&amp;", CPI"</f>
        <v>2.73%, CPI</v>
      </c>
    </row>
    <row r="62" spans="1:56" x14ac:dyDescent="0.25">
      <c r="A62" s="12" t="s">
        <v>20</v>
      </c>
      <c r="B62" s="39" t="s">
        <v>19</v>
      </c>
      <c r="C62" s="3">
        <v>9400</v>
      </c>
      <c r="D62" s="30"/>
      <c r="E62" s="2">
        <v>0</v>
      </c>
      <c r="F62" s="36"/>
      <c r="G62" s="2">
        <v>255</v>
      </c>
      <c r="H62" s="36"/>
      <c r="I62" s="2">
        <v>653</v>
      </c>
      <c r="J62" s="36"/>
      <c r="K62" s="2">
        <v>0</v>
      </c>
      <c r="L62" s="36"/>
      <c r="M62" s="2">
        <v>100</v>
      </c>
      <c r="N62" s="36"/>
      <c r="O62" s="2">
        <v>0</v>
      </c>
      <c r="P62" s="36"/>
      <c r="Q62" s="2">
        <v>1250</v>
      </c>
      <c r="R62" s="36"/>
      <c r="S62" s="2">
        <v>7996</v>
      </c>
      <c r="T62" s="36"/>
      <c r="U62" s="2">
        <v>245</v>
      </c>
      <c r="V62" s="36"/>
      <c r="W62" s="2">
        <v>2000</v>
      </c>
      <c r="X62" s="36"/>
      <c r="Y62" s="2">
        <v>3642</v>
      </c>
      <c r="Z62" s="36"/>
      <c r="AA62" s="2">
        <v>350</v>
      </c>
      <c r="AB62" s="36"/>
      <c r="AC62" s="66"/>
      <c r="AD62" s="12" t="str">
        <f t="shared" si="31"/>
        <v xml:space="preserve">4353 </v>
      </c>
      <c r="AE62" s="39" t="str">
        <f t="shared" si="32"/>
        <v>Non-Inst. Materials</v>
      </c>
      <c r="AF62" s="2">
        <f t="shared" si="40"/>
        <v>25891</v>
      </c>
      <c r="AG62" s="2"/>
      <c r="AH62" s="83">
        <f t="shared" si="33"/>
        <v>3.4181762002240164E-2</v>
      </c>
      <c r="AI62" s="2">
        <f t="shared" si="34"/>
        <v>26776</v>
      </c>
      <c r="AJ62" s="81" t="str">
        <f>TEXT('MYP Assumptions'!E75,"0.00%")&amp;", CPI"</f>
        <v>3.42%, CPI</v>
      </c>
      <c r="AK62" s="66"/>
      <c r="AL62" s="83">
        <f t="shared" si="35"/>
        <v>3.3500149387511204E-2</v>
      </c>
      <c r="AM62" s="2">
        <f t="shared" si="41"/>
        <v>27673</v>
      </c>
      <c r="AN62" s="81" t="str">
        <f>TEXT('MYP Assumptions'!F75,"0.00%")&amp;", CPI"</f>
        <v>3.35%, CPI</v>
      </c>
      <c r="AP62" s="83">
        <f t="shared" si="36"/>
        <v>3.0209951938712825E-2</v>
      </c>
      <c r="AQ62" s="2">
        <f t="shared" si="42"/>
        <v>28509</v>
      </c>
      <c r="AR62" s="81" t="str">
        <f>TEXT('MYP Assumptions'!G75,"0.00%")&amp;", CPI"</f>
        <v>3.02%, CPI</v>
      </c>
      <c r="AT62" s="83">
        <f t="shared" si="37"/>
        <v>2.7289627836823458E-2</v>
      </c>
      <c r="AU62" s="2">
        <f t="shared" si="43"/>
        <v>29287</v>
      </c>
      <c r="AV62" s="81" t="str">
        <f>TEXT('MYP Assumptions'!H75,"0.00%")&amp;", CPI"</f>
        <v>2.73%, CPI</v>
      </c>
      <c r="AX62" s="83">
        <f t="shared" si="38"/>
        <v>2.7315873937241778E-2</v>
      </c>
      <c r="AY62" s="2">
        <f t="shared" si="44"/>
        <v>30087</v>
      </c>
      <c r="AZ62" s="81" t="str">
        <f>TEXT('MYP Assumptions'!I75,"0.00%")&amp;", CPI"</f>
        <v>2.73%, CPI</v>
      </c>
      <c r="BB62" s="83">
        <f t="shared" si="39"/>
        <v>2.7287532821484363E-2</v>
      </c>
      <c r="BC62" s="2">
        <f t="shared" si="45"/>
        <v>30908</v>
      </c>
      <c r="BD62" s="81" t="str">
        <f>TEXT('MYP Assumptions'!J75,"0.00%")&amp;", CPI"</f>
        <v>2.73%, CPI</v>
      </c>
    </row>
    <row r="63" spans="1:56" x14ac:dyDescent="0.25">
      <c r="A63" s="12" t="s">
        <v>18</v>
      </c>
      <c r="B63" s="39" t="s">
        <v>17</v>
      </c>
      <c r="C63" s="3">
        <v>785</v>
      </c>
      <c r="D63" s="30"/>
      <c r="E63" s="2">
        <v>4708</v>
      </c>
      <c r="F63" s="36"/>
      <c r="G63" s="2">
        <v>7216</v>
      </c>
      <c r="H63" s="36"/>
      <c r="I63" s="2">
        <v>14879</v>
      </c>
      <c r="J63" s="36"/>
      <c r="K63" s="2">
        <v>0</v>
      </c>
      <c r="L63" s="36"/>
      <c r="M63" s="2">
        <v>6198</v>
      </c>
      <c r="N63" s="36"/>
      <c r="O63" s="2">
        <v>0</v>
      </c>
      <c r="P63" s="36"/>
      <c r="Q63" s="2">
        <v>1573</v>
      </c>
      <c r="R63" s="36"/>
      <c r="S63" s="2">
        <v>2737</v>
      </c>
      <c r="T63" s="36"/>
      <c r="U63" s="2">
        <v>4989</v>
      </c>
      <c r="V63" s="36"/>
      <c r="W63" s="2">
        <v>3000</v>
      </c>
      <c r="X63" s="36"/>
      <c r="Y63" s="2">
        <v>0</v>
      </c>
      <c r="Z63" s="36"/>
      <c r="AA63" s="2">
        <v>0</v>
      </c>
      <c r="AB63" s="36"/>
      <c r="AC63" s="66"/>
      <c r="AD63" s="12" t="str">
        <f t="shared" si="31"/>
        <v>4400</v>
      </c>
      <c r="AE63" s="39" t="str">
        <f t="shared" si="32"/>
        <v>Non-cap. Equipment</v>
      </c>
      <c r="AF63" s="2">
        <f t="shared" si="40"/>
        <v>46085</v>
      </c>
      <c r="AG63" s="2"/>
      <c r="AH63" s="83">
        <f t="shared" si="33"/>
        <v>3.4197678203319953E-2</v>
      </c>
      <c r="AI63" s="2">
        <f t="shared" si="34"/>
        <v>47661</v>
      </c>
      <c r="AJ63" s="81" t="str">
        <f>TEXT('MYP Assumptions'!E75,"0.00%")&amp;", CPI"</f>
        <v>3.42%, CPI</v>
      </c>
      <c r="AK63" s="66"/>
      <c r="AL63" s="83">
        <f t="shared" si="35"/>
        <v>3.3507479910199117E-2</v>
      </c>
      <c r="AM63" s="2">
        <f t="shared" si="41"/>
        <v>49258</v>
      </c>
      <c r="AN63" s="81" t="str">
        <f>TEXT('MYP Assumptions'!F75,"0.00%")&amp;", CPI"</f>
        <v>3.35%, CPI</v>
      </c>
      <c r="AP63" s="83">
        <f t="shared" si="36"/>
        <v>3.0208291039019043E-2</v>
      </c>
      <c r="AQ63" s="2">
        <f t="shared" si="42"/>
        <v>50746</v>
      </c>
      <c r="AR63" s="81" t="str">
        <f>TEXT('MYP Assumptions'!G75,"0.00%")&amp;", CPI"</f>
        <v>3.02%, CPI</v>
      </c>
      <c r="AT63" s="83">
        <f t="shared" si="37"/>
        <v>2.7292791550072911E-2</v>
      </c>
      <c r="AU63" s="2">
        <f t="shared" si="43"/>
        <v>52131</v>
      </c>
      <c r="AV63" s="81" t="str">
        <f>TEXT('MYP Assumptions'!H75,"0.00%")&amp;", CPI"</f>
        <v>2.73%, CPI</v>
      </c>
      <c r="AX63" s="83">
        <f t="shared" si="38"/>
        <v>2.7296618135082773E-2</v>
      </c>
      <c r="AY63" s="2">
        <f t="shared" si="44"/>
        <v>53554</v>
      </c>
      <c r="AZ63" s="81" t="str">
        <f>TEXT('MYP Assumptions'!I75,"0.00%")&amp;", CPI"</f>
        <v>2.73%, CPI</v>
      </c>
      <c r="BB63" s="83">
        <f t="shared" si="39"/>
        <v>2.7299548119654928E-2</v>
      </c>
      <c r="BC63" s="2">
        <f t="shared" si="45"/>
        <v>55016</v>
      </c>
      <c r="BD63" s="81" t="str">
        <f>TEXT('MYP Assumptions'!J75,"0.00%")&amp;", CPI"</f>
        <v>2.73%, CPI</v>
      </c>
    </row>
    <row r="64" spans="1:56" x14ac:dyDescent="0.25">
      <c r="A64" s="12">
        <v>4000</v>
      </c>
      <c r="B64" s="11"/>
      <c r="C64" s="3">
        <v>0</v>
      </c>
      <c r="D64" s="30"/>
      <c r="E64" s="2">
        <v>0</v>
      </c>
      <c r="F64" s="36"/>
      <c r="G64" s="2">
        <v>0</v>
      </c>
      <c r="H64" s="36"/>
      <c r="I64" s="2">
        <v>0</v>
      </c>
      <c r="J64" s="36"/>
      <c r="K64" s="2">
        <v>0</v>
      </c>
      <c r="L64" s="36"/>
      <c r="M64" s="2">
        <v>0</v>
      </c>
      <c r="N64" s="36"/>
      <c r="O64" s="2">
        <v>0</v>
      </c>
      <c r="P64" s="36"/>
      <c r="Q64" s="2">
        <v>0</v>
      </c>
      <c r="R64" s="36"/>
      <c r="S64" s="2">
        <v>0</v>
      </c>
      <c r="T64" s="36"/>
      <c r="U64" s="2">
        <v>0</v>
      </c>
      <c r="V64" s="36"/>
      <c r="W64" s="2">
        <v>0</v>
      </c>
      <c r="X64" s="36"/>
      <c r="Y64" s="2">
        <v>0</v>
      </c>
      <c r="Z64" s="36"/>
      <c r="AA64" s="2">
        <v>0</v>
      </c>
      <c r="AB64" s="36"/>
      <c r="AC64" s="66"/>
      <c r="AD64" s="12">
        <f t="shared" si="31"/>
        <v>4000</v>
      </c>
      <c r="AE64" s="11">
        <f t="shared" si="32"/>
        <v>0</v>
      </c>
      <c r="AF64" s="2">
        <f t="shared" si="40"/>
        <v>0</v>
      </c>
      <c r="AG64" s="2"/>
      <c r="AH64" s="83" t="str">
        <f t="shared" si="33"/>
        <v>0.00%</v>
      </c>
      <c r="AI64" s="2">
        <f t="shared" si="34"/>
        <v>0</v>
      </c>
      <c r="AJ64" s="81" t="str">
        <f>TEXT('MYP Assumptions'!E75,"0.00%")&amp;", CPI"</f>
        <v>3.42%, CPI</v>
      </c>
      <c r="AK64" s="66"/>
      <c r="AL64" s="83" t="str">
        <f t="shared" si="35"/>
        <v>0.00%</v>
      </c>
      <c r="AM64" s="2">
        <f t="shared" si="41"/>
        <v>0</v>
      </c>
      <c r="AN64" s="81" t="str">
        <f>TEXT('MYP Assumptions'!F75,"0.00%")&amp;", CPI"</f>
        <v>3.35%, CPI</v>
      </c>
      <c r="AP64" s="83" t="str">
        <f t="shared" si="36"/>
        <v>0.00%</v>
      </c>
      <c r="AQ64" s="2">
        <f t="shared" si="42"/>
        <v>0</v>
      </c>
      <c r="AR64" s="81" t="str">
        <f>TEXT('MYP Assumptions'!G75,"0.00%")&amp;", CPI"</f>
        <v>3.02%, CPI</v>
      </c>
      <c r="AT64" s="83" t="str">
        <f t="shared" si="37"/>
        <v>0.00%</v>
      </c>
      <c r="AU64" s="2">
        <f t="shared" si="43"/>
        <v>0</v>
      </c>
      <c r="AV64" s="81" t="str">
        <f>TEXT('MYP Assumptions'!H75,"0.00%")&amp;", CPI"</f>
        <v>2.73%, CPI</v>
      </c>
      <c r="AX64" s="83" t="str">
        <f t="shared" si="38"/>
        <v>0.00%</v>
      </c>
      <c r="AY64" s="2">
        <f t="shared" si="44"/>
        <v>0</v>
      </c>
      <c r="AZ64" s="81" t="str">
        <f>TEXT('MYP Assumptions'!I75,"0.00%")&amp;", CPI"</f>
        <v>2.73%, CPI</v>
      </c>
      <c r="BB64" s="83" t="str">
        <f t="shared" si="39"/>
        <v>0.00%</v>
      </c>
      <c r="BC64" s="2">
        <f t="shared" si="45"/>
        <v>0</v>
      </c>
      <c r="BD64" s="81" t="str">
        <f>TEXT('MYP Assumptions'!J75,"0.00%")&amp;", CPI"</f>
        <v>2.73%, CPI</v>
      </c>
    </row>
    <row r="65" spans="1:56" x14ac:dyDescent="0.25">
      <c r="A65" s="39"/>
      <c r="C65" s="8">
        <f>SUM(C58:C64)</f>
        <v>25829</v>
      </c>
      <c r="D65" s="33"/>
      <c r="E65" s="8">
        <f>SUM(E58:E64)</f>
        <v>34770</v>
      </c>
      <c r="F65" s="5"/>
      <c r="G65" s="8">
        <f>SUM(G58:G64)</f>
        <v>36610</v>
      </c>
      <c r="H65" s="5"/>
      <c r="I65" s="8">
        <f>SUM(I58:I64)</f>
        <v>67520</v>
      </c>
      <c r="J65" s="5"/>
      <c r="K65" s="8">
        <f>SUM(K58:K64)</f>
        <v>26463</v>
      </c>
      <c r="L65" s="5"/>
      <c r="M65" s="8">
        <f>SUM(M58:M64)</f>
        <v>38441</v>
      </c>
      <c r="N65" s="5"/>
      <c r="O65" s="8">
        <f>SUM(O58:O64)</f>
        <v>64511</v>
      </c>
      <c r="P65" s="5"/>
      <c r="Q65" s="8">
        <f>SUM(Q58:Q64)</f>
        <v>38348</v>
      </c>
      <c r="R65" s="5"/>
      <c r="S65" s="8">
        <f>SUM(S58:S64)</f>
        <v>43381</v>
      </c>
      <c r="T65" s="5"/>
      <c r="U65" s="8">
        <f>SUM(U58:U64)</f>
        <v>44052</v>
      </c>
      <c r="V65" s="5"/>
      <c r="W65" s="8">
        <f>SUM(W58:W64)</f>
        <v>37259</v>
      </c>
      <c r="X65" s="5"/>
      <c r="Y65" s="8">
        <f>SUM(Y58:Y64)</f>
        <v>28991</v>
      </c>
      <c r="Z65" s="5"/>
      <c r="AA65" s="8">
        <f>SUM(AA58:AA64)</f>
        <v>23827</v>
      </c>
      <c r="AB65" s="5"/>
      <c r="AC65" s="29"/>
      <c r="AD65" s="39"/>
      <c r="AF65" s="8">
        <f>SUM(AF58:AF64)</f>
        <v>510002</v>
      </c>
      <c r="AG65" s="2"/>
      <c r="AH65" s="83">
        <f>(AI65-AF65)/AF65</f>
        <v>3.4199865882878891E-2</v>
      </c>
      <c r="AI65" s="8">
        <f>SUM(AI58:AI64)</f>
        <v>527444</v>
      </c>
      <c r="AJ65" s="5"/>
      <c r="AK65" s="29"/>
      <c r="AL65" s="83">
        <f t="shared" si="35"/>
        <v>3.3499290919983923E-2</v>
      </c>
      <c r="AM65" s="8">
        <f>SUM(AM58:AM64)</f>
        <v>545113</v>
      </c>
      <c r="AN65" s="73"/>
      <c r="AP65" s="83">
        <f t="shared" si="36"/>
        <v>3.0202912056766212E-2</v>
      </c>
      <c r="AQ65" s="8">
        <f>SUM(AQ58:AQ64)</f>
        <v>561577</v>
      </c>
      <c r="AR65" s="73"/>
      <c r="AT65" s="83">
        <f t="shared" si="37"/>
        <v>2.7299907225545206E-2</v>
      </c>
      <c r="AU65" s="8">
        <f>SUM(AU58:AU64)</f>
        <v>576908</v>
      </c>
      <c r="AV65" s="73"/>
      <c r="AX65" s="83">
        <f t="shared" si="38"/>
        <v>2.7300713458645053E-2</v>
      </c>
      <c r="AY65" s="8">
        <f>SUM(AY58:AY64)</f>
        <v>592658</v>
      </c>
      <c r="AZ65" s="73"/>
      <c r="BB65" s="83">
        <f t="shared" si="39"/>
        <v>2.7299049367426071E-2</v>
      </c>
      <c r="BC65" s="8">
        <f>SUM(BC58:BC64)</f>
        <v>608837</v>
      </c>
      <c r="BD65" s="73"/>
    </row>
    <row r="66" spans="1:56" x14ac:dyDescent="0.25">
      <c r="C66" s="3"/>
      <c r="D66" s="30"/>
      <c r="E66" s="2"/>
      <c r="F66" s="36"/>
      <c r="G66" s="2"/>
      <c r="H66" s="36"/>
      <c r="J66" s="36"/>
      <c r="K66" s="2"/>
      <c r="L66" s="36"/>
      <c r="M66" s="2"/>
      <c r="N66" s="36"/>
      <c r="O66" s="2"/>
      <c r="P66" s="36"/>
      <c r="Q66" s="2"/>
      <c r="R66" s="36"/>
      <c r="S66" s="2"/>
      <c r="T66" s="36"/>
      <c r="U66" s="2"/>
      <c r="V66" s="36"/>
      <c r="W66" s="2"/>
      <c r="X66" s="36"/>
      <c r="Y66" s="2"/>
      <c r="Z66" s="36"/>
      <c r="AA66" s="2"/>
      <c r="AB66" s="36"/>
      <c r="AC66" s="66"/>
      <c r="AF66" s="2"/>
      <c r="AG66" s="2"/>
      <c r="AI66" s="2"/>
      <c r="AJ66" s="36"/>
      <c r="AK66" s="66"/>
      <c r="AM66" s="2"/>
      <c r="AN66" s="73"/>
      <c r="AQ66" s="2"/>
      <c r="AR66" s="73"/>
      <c r="AU66" s="2"/>
      <c r="AV66" s="73"/>
      <c r="AY66" s="2"/>
      <c r="AZ66" s="73"/>
      <c r="BC66" s="2"/>
      <c r="BD66" s="73"/>
    </row>
    <row r="67" spans="1:56" s="4" customFormat="1" x14ac:dyDescent="0.25">
      <c r="A67" s="21" t="s">
        <v>16</v>
      </c>
      <c r="D67" s="7"/>
      <c r="AC67" s="58"/>
      <c r="AD67" s="21" t="str">
        <f t="shared" ref="AD67:AD80" si="46">A67</f>
        <v>Services, Other Oprtng Exp.</v>
      </c>
      <c r="AG67" s="6"/>
      <c r="AH67" s="26"/>
      <c r="AK67" s="58"/>
      <c r="AN67" s="71"/>
      <c r="AR67" s="71"/>
      <c r="AV67" s="71"/>
      <c r="AZ67" s="71"/>
      <c r="BD67" s="71"/>
    </row>
    <row r="68" spans="1:56" x14ac:dyDescent="0.25">
      <c r="A68" s="12" t="s">
        <v>15</v>
      </c>
      <c r="B68" s="39" t="s">
        <v>14</v>
      </c>
      <c r="C68" s="3">
        <v>154913</v>
      </c>
      <c r="D68" s="30"/>
      <c r="E68" s="2">
        <v>1000</v>
      </c>
      <c r="F68" s="36"/>
      <c r="G68" s="2">
        <v>0</v>
      </c>
      <c r="H68" s="36"/>
      <c r="I68" s="2">
        <v>12000</v>
      </c>
      <c r="J68" s="36"/>
      <c r="K68" s="2">
        <v>9000</v>
      </c>
      <c r="L68" s="36"/>
      <c r="M68" s="2">
        <v>7500</v>
      </c>
      <c r="N68" s="36"/>
      <c r="O68" s="2">
        <v>1971</v>
      </c>
      <c r="P68" s="36"/>
      <c r="Q68" s="2">
        <v>6631</v>
      </c>
      <c r="R68" s="36"/>
      <c r="S68" s="2">
        <v>4000</v>
      </c>
      <c r="T68" s="36"/>
      <c r="U68" s="2">
        <v>3526</v>
      </c>
      <c r="V68" s="36"/>
      <c r="W68" s="2">
        <v>6500</v>
      </c>
      <c r="X68" s="36"/>
      <c r="Y68" s="2">
        <v>800</v>
      </c>
      <c r="Z68" s="36"/>
      <c r="AA68" s="2">
        <v>7000</v>
      </c>
      <c r="AB68" s="36"/>
      <c r="AC68" s="66"/>
      <c r="AD68" s="12" t="str">
        <f t="shared" si="46"/>
        <v>5213</v>
      </c>
      <c r="AE68" s="39" t="str">
        <f t="shared" ref="AE68:AE80" si="47">B68</f>
        <v>Conf. &amp; Travel</v>
      </c>
      <c r="AF68" s="2">
        <f>SUM(C68,E68,G68,I68,K68,M68,O68,Q68,S68,U68,W68,Y68,AA68)</f>
        <v>214841</v>
      </c>
      <c r="AG68" s="2"/>
      <c r="AH68" s="83">
        <f t="shared" ref="AH68:AH74" si="48">IF(AF68=0,"0.00%",(AI68-AF68)/AF68)</f>
        <v>3.4202037786083661E-2</v>
      </c>
      <c r="AI68" s="2">
        <f>ROUND(AF68*(LEFT(AJ68,5)+1),0)</f>
        <v>222189</v>
      </c>
      <c r="AJ68" s="81" t="str">
        <f>TEXT('MYP Assumptions'!E75,"0.00%")&amp;", CPI"</f>
        <v>3.42%, CPI</v>
      </c>
      <c r="AK68" s="66"/>
      <c r="AL68" s="83">
        <f t="shared" ref="AL68:AL81" si="49">IF(AI68=0,"0.00%",(AM68-AI68)/AI68)</f>
        <v>3.3498508026950029E-2</v>
      </c>
      <c r="AM68" s="2">
        <f>ROUND(AI68*(LEFT(AN68,5)+1),0)</f>
        <v>229632</v>
      </c>
      <c r="AN68" s="81" t="str">
        <f>TEXT('MYP Assumptions'!F75,"0.00%")&amp;", CPI"</f>
        <v>3.35%, CPI</v>
      </c>
      <c r="AP68" s="83">
        <f t="shared" ref="AP68:AP81" si="50">IF(AM68=0,"0.00%",(AQ68-AM68)/AM68)</f>
        <v>3.0200494704570792E-2</v>
      </c>
      <c r="AQ68" s="2">
        <f>ROUND(AM68*(LEFT(AR68,5)+1),0)</f>
        <v>236567</v>
      </c>
      <c r="AR68" s="81" t="str">
        <f>TEXT('MYP Assumptions'!G75,"0.00%")&amp;", CPI"</f>
        <v>3.02%, CPI</v>
      </c>
      <c r="AT68" s="83">
        <f t="shared" ref="AT68:AT81" si="51">IF(AQ68=0,"0.00%",(AU68-AQ68)/AQ68)</f>
        <v>2.7298820207383109E-2</v>
      </c>
      <c r="AU68" s="2">
        <f>ROUND(AQ68*(LEFT(AV68,5)+1),0)</f>
        <v>243025</v>
      </c>
      <c r="AV68" s="81" t="str">
        <f>TEXT('MYP Assumptions'!H75,"0.00%")&amp;", CPI"</f>
        <v>2.73%, CPI</v>
      </c>
      <c r="AX68" s="83">
        <f t="shared" ref="AX68:AX81" si="52">IF(AU68=0,"0.00%",(AY68-AU68)/AU68)</f>
        <v>2.7301717930254089E-2</v>
      </c>
      <c r="AY68" s="2">
        <f>ROUND(AU68*(LEFT(AZ68,5)+1),0)</f>
        <v>249660</v>
      </c>
      <c r="AZ68" s="81" t="str">
        <f>TEXT('MYP Assumptions'!I75,"0.00%")&amp;", CPI"</f>
        <v>2.73%, CPI</v>
      </c>
      <c r="BB68" s="83">
        <f t="shared" ref="BB68:BB81" si="53">IF(AY68=0,"0.00%",(BC68-AY68)/AY68)</f>
        <v>2.7301129536169189E-2</v>
      </c>
      <c r="BC68" s="2">
        <f>ROUND(AY68*(LEFT(BD68,5)+1),0)</f>
        <v>256476</v>
      </c>
      <c r="BD68" s="81" t="str">
        <f>TEXT('MYP Assumptions'!J75,"0.00%")&amp;", CPI"</f>
        <v>2.73%, CPI</v>
      </c>
    </row>
    <row r="69" spans="1:56" x14ac:dyDescent="0.25">
      <c r="A69" s="12" t="s">
        <v>13</v>
      </c>
      <c r="B69" s="39" t="s">
        <v>12</v>
      </c>
      <c r="C69" s="3">
        <v>800</v>
      </c>
      <c r="D69" s="30"/>
      <c r="E69" s="2">
        <v>0</v>
      </c>
      <c r="F69" s="36"/>
      <c r="G69" s="2">
        <v>0</v>
      </c>
      <c r="H69" s="36"/>
      <c r="I69" s="2">
        <v>0</v>
      </c>
      <c r="J69" s="36"/>
      <c r="K69" s="2">
        <v>0</v>
      </c>
      <c r="L69" s="36"/>
      <c r="M69" s="2">
        <v>0</v>
      </c>
      <c r="N69" s="36"/>
      <c r="O69" s="2">
        <v>0</v>
      </c>
      <c r="P69" s="36"/>
      <c r="Q69" s="2">
        <v>0</v>
      </c>
      <c r="R69" s="36"/>
      <c r="S69" s="2">
        <v>0</v>
      </c>
      <c r="T69" s="36"/>
      <c r="U69" s="2">
        <v>0</v>
      </c>
      <c r="V69" s="36"/>
      <c r="W69" s="2">
        <v>0</v>
      </c>
      <c r="X69" s="36"/>
      <c r="Y69" s="2">
        <v>0</v>
      </c>
      <c r="Z69" s="36"/>
      <c r="AA69" s="2">
        <v>0</v>
      </c>
      <c r="AB69" s="36"/>
      <c r="AC69" s="66"/>
      <c r="AD69" s="12" t="str">
        <f t="shared" si="46"/>
        <v>5310</v>
      </c>
      <c r="AE69" s="39" t="str">
        <f t="shared" si="47"/>
        <v>Membership/Dues</v>
      </c>
      <c r="AF69" s="2">
        <f t="shared" ref="AF69:AF80" si="54">SUM(C69,E69,G69,I69,K69,M69,O69,Q69,S69,U69,W69,Y69,AA69)</f>
        <v>800</v>
      </c>
      <c r="AG69" s="2"/>
      <c r="AH69" s="83">
        <f t="shared" si="48"/>
        <v>3.3750000000000002E-2</v>
      </c>
      <c r="AI69" s="2">
        <f>ROUND(AF69*(LEFT(AJ69,5)+1),0)</f>
        <v>827</v>
      </c>
      <c r="AJ69" s="81" t="str">
        <f>TEXT('MYP Assumptions'!E75,"0.00%")&amp;", CPI"</f>
        <v>3.42%, CPI</v>
      </c>
      <c r="AK69" s="66"/>
      <c r="AL69" s="83">
        <f t="shared" si="49"/>
        <v>3.3857315598548973E-2</v>
      </c>
      <c r="AM69" s="2">
        <f t="shared" ref="AM69:AM74" si="55">ROUND(AI69*(LEFT(AN69,5)+1),0)</f>
        <v>855</v>
      </c>
      <c r="AN69" s="81" t="str">
        <f>TEXT('MYP Assumptions'!F75,"0.00%")&amp;", CPI"</f>
        <v>3.35%, CPI</v>
      </c>
      <c r="AP69" s="83">
        <f t="shared" si="50"/>
        <v>3.0409356725146199E-2</v>
      </c>
      <c r="AQ69" s="2">
        <f t="shared" ref="AQ69:AQ80" si="56">ROUND(AM69*(LEFT(AR69,5)+1),0)</f>
        <v>881</v>
      </c>
      <c r="AR69" s="81" t="str">
        <f>TEXT('MYP Assumptions'!G75,"0.00%")&amp;", CPI"</f>
        <v>3.02%, CPI</v>
      </c>
      <c r="AT69" s="83">
        <f t="shared" si="51"/>
        <v>2.7241770715096481E-2</v>
      </c>
      <c r="AU69" s="2">
        <f t="shared" ref="AU69:AU80" si="57">ROUND(AQ69*(LEFT(AV69,5)+1),0)</f>
        <v>905</v>
      </c>
      <c r="AV69" s="81" t="str">
        <f>TEXT('MYP Assumptions'!H75,"0.00%")&amp;", CPI"</f>
        <v>2.73%, CPI</v>
      </c>
      <c r="AX69" s="83">
        <f t="shared" si="52"/>
        <v>2.7624309392265192E-2</v>
      </c>
      <c r="AY69" s="2">
        <f t="shared" ref="AY69:AY80" si="58">ROUND(AU69*(LEFT(AZ69,5)+1),0)</f>
        <v>930</v>
      </c>
      <c r="AZ69" s="81" t="str">
        <f>TEXT('MYP Assumptions'!I75,"0.00%")&amp;", CPI"</f>
        <v>2.73%, CPI</v>
      </c>
      <c r="BB69" s="83">
        <f t="shared" si="53"/>
        <v>2.6881720430107527E-2</v>
      </c>
      <c r="BC69" s="2">
        <f t="shared" ref="BC69:BC80" si="59">ROUND(AY69*(LEFT(BD69,5)+1),0)</f>
        <v>955</v>
      </c>
      <c r="BD69" s="81" t="str">
        <f>TEXT('MYP Assumptions'!J75,"0.00%")&amp;", CPI"</f>
        <v>2.73%, CPI</v>
      </c>
    </row>
    <row r="70" spans="1:56" x14ac:dyDescent="0.25">
      <c r="A70" s="12" t="s">
        <v>128</v>
      </c>
      <c r="B70" s="39" t="s">
        <v>129</v>
      </c>
      <c r="C70" s="3">
        <v>0</v>
      </c>
      <c r="D70" s="30"/>
      <c r="E70" s="2">
        <v>0</v>
      </c>
      <c r="F70" s="36"/>
      <c r="G70" s="2">
        <v>0</v>
      </c>
      <c r="H70" s="36"/>
      <c r="I70" s="2">
        <v>0</v>
      </c>
      <c r="J70" s="36"/>
      <c r="K70" s="2">
        <v>0</v>
      </c>
      <c r="L70" s="36"/>
      <c r="M70" s="2">
        <v>0</v>
      </c>
      <c r="N70" s="36"/>
      <c r="O70" s="2">
        <v>0</v>
      </c>
      <c r="P70" s="36"/>
      <c r="Q70" s="2">
        <v>0</v>
      </c>
      <c r="R70" s="36"/>
      <c r="S70" s="2">
        <v>0</v>
      </c>
      <c r="T70" s="36"/>
      <c r="U70" s="2">
        <v>0</v>
      </c>
      <c r="V70" s="36"/>
      <c r="W70" s="2">
        <v>1500</v>
      </c>
      <c r="X70" s="36"/>
      <c r="Y70" s="2"/>
      <c r="Z70" s="36"/>
      <c r="AA70" s="2"/>
      <c r="AB70" s="36"/>
      <c r="AC70" s="66"/>
      <c r="AD70" s="12" t="str">
        <f t="shared" si="46"/>
        <v>5607</v>
      </c>
      <c r="AE70" s="39" t="str">
        <f t="shared" si="47"/>
        <v>Repairs-Other</v>
      </c>
      <c r="AF70" s="2">
        <f t="shared" si="54"/>
        <v>1500</v>
      </c>
      <c r="AG70" s="2"/>
      <c r="AH70" s="83">
        <f t="shared" si="48"/>
        <v>3.4000000000000002E-2</v>
      </c>
      <c r="AI70" s="2">
        <f t="shared" ref="AI70:AI75" si="60">ROUND(AF70*(LEFT(AJ70,5)+1),0)</f>
        <v>1551</v>
      </c>
      <c r="AJ70" s="81" t="str">
        <f>TEXT('MYP Assumptions'!E75,"0.00%")&amp;", CPI"</f>
        <v>3.42%, CPI</v>
      </c>
      <c r="AK70" s="66"/>
      <c r="AL70" s="83">
        <f t="shared" si="49"/>
        <v>3.3526756931012251E-2</v>
      </c>
      <c r="AM70" s="2">
        <f t="shared" si="55"/>
        <v>1603</v>
      </c>
      <c r="AN70" s="81" t="str">
        <f>TEXT('MYP Assumptions'!F75,"0.00%")&amp;", CPI"</f>
        <v>3.35%, CPI</v>
      </c>
      <c r="AP70" s="83">
        <f t="shared" si="50"/>
        <v>2.9943855271366188E-2</v>
      </c>
      <c r="AQ70" s="2">
        <f t="shared" si="56"/>
        <v>1651</v>
      </c>
      <c r="AR70" s="81" t="str">
        <f>TEXT('MYP Assumptions'!G75,"0.00%")&amp;", CPI"</f>
        <v>3.02%, CPI</v>
      </c>
      <c r="AT70" s="83">
        <f t="shared" si="51"/>
        <v>2.7256208358570563E-2</v>
      </c>
      <c r="AU70" s="2">
        <f t="shared" si="57"/>
        <v>1696</v>
      </c>
      <c r="AV70" s="81" t="str">
        <f>TEXT('MYP Assumptions'!H75,"0.00%")&amp;", CPI"</f>
        <v>2.73%, CPI</v>
      </c>
      <c r="AX70" s="83">
        <f t="shared" si="52"/>
        <v>2.7122641509433963E-2</v>
      </c>
      <c r="AY70" s="2">
        <f t="shared" si="58"/>
        <v>1742</v>
      </c>
      <c r="AZ70" s="81" t="str">
        <f>TEXT('MYP Assumptions'!I75,"0.00%")&amp;", CPI"</f>
        <v>2.73%, CPI</v>
      </c>
      <c r="BB70" s="83">
        <f t="shared" si="53"/>
        <v>2.7554535017221583E-2</v>
      </c>
      <c r="BC70" s="2">
        <f t="shared" si="59"/>
        <v>1790</v>
      </c>
      <c r="BD70" s="81" t="str">
        <f>TEXT('MYP Assumptions'!J75,"0.00%")&amp;", CPI"</f>
        <v>2.73%, CPI</v>
      </c>
    </row>
    <row r="71" spans="1:56" x14ac:dyDescent="0.25">
      <c r="A71" s="12" t="s">
        <v>11</v>
      </c>
      <c r="B71" s="39" t="s">
        <v>10</v>
      </c>
      <c r="C71" s="3">
        <v>3199</v>
      </c>
      <c r="D71" s="30"/>
      <c r="E71" s="2">
        <v>1000</v>
      </c>
      <c r="F71" s="36"/>
      <c r="G71" s="2">
        <v>0</v>
      </c>
      <c r="H71" s="36"/>
      <c r="I71" s="2">
        <v>0</v>
      </c>
      <c r="J71" s="36"/>
      <c r="K71" s="2">
        <v>0</v>
      </c>
      <c r="L71" s="36"/>
      <c r="M71" s="2">
        <v>0</v>
      </c>
      <c r="N71" s="36"/>
      <c r="O71" s="2">
        <v>0</v>
      </c>
      <c r="P71" s="36"/>
      <c r="Q71" s="2">
        <v>1000</v>
      </c>
      <c r="R71" s="36"/>
      <c r="S71" s="2">
        <v>0</v>
      </c>
      <c r="T71" s="36"/>
      <c r="U71" s="2">
        <v>0</v>
      </c>
      <c r="V71" s="36"/>
      <c r="W71" s="2">
        <v>0</v>
      </c>
      <c r="X71" s="36"/>
      <c r="Y71" s="2">
        <v>0</v>
      </c>
      <c r="Z71" s="36"/>
      <c r="AA71" s="2">
        <v>0</v>
      </c>
      <c r="AB71" s="36"/>
      <c r="AC71" s="66"/>
      <c r="AD71" s="12" t="str">
        <f t="shared" si="46"/>
        <v>5725</v>
      </c>
      <c r="AE71" s="39" t="str">
        <f t="shared" si="47"/>
        <v>Field Trip Transp.</v>
      </c>
      <c r="AF71" s="2">
        <f t="shared" si="54"/>
        <v>5199</v>
      </c>
      <c r="AG71" s="2"/>
      <c r="AH71" s="83">
        <f t="shared" si="48"/>
        <v>3.4237353337180226E-2</v>
      </c>
      <c r="AI71" s="2">
        <f t="shared" si="60"/>
        <v>5377</v>
      </c>
      <c r="AJ71" s="81" t="str">
        <f>TEXT('MYP Assumptions'!E75,"0.00%")&amp;", CPI"</f>
        <v>3.42%, CPI</v>
      </c>
      <c r="AK71" s="66"/>
      <c r="AL71" s="83">
        <f t="shared" si="49"/>
        <v>3.3475915938255531E-2</v>
      </c>
      <c r="AM71" s="2">
        <f t="shared" si="55"/>
        <v>5557</v>
      </c>
      <c r="AN71" s="81" t="str">
        <f>TEXT('MYP Assumptions'!F75,"0.00%")&amp;", CPI"</f>
        <v>3.35%, CPI</v>
      </c>
      <c r="AP71" s="83">
        <f t="shared" si="50"/>
        <v>3.0232139643692639E-2</v>
      </c>
      <c r="AQ71" s="2">
        <f t="shared" si="56"/>
        <v>5725</v>
      </c>
      <c r="AR71" s="81" t="str">
        <f>TEXT('MYP Assumptions'!G75,"0.00%")&amp;", CPI"</f>
        <v>3.02%, CPI</v>
      </c>
      <c r="AT71" s="83">
        <f t="shared" si="51"/>
        <v>2.7248908296943233E-2</v>
      </c>
      <c r="AU71" s="2">
        <f t="shared" si="57"/>
        <v>5881</v>
      </c>
      <c r="AV71" s="81" t="str">
        <f>TEXT('MYP Assumptions'!H75,"0.00%")&amp;", CPI"</f>
        <v>2.73%, CPI</v>
      </c>
      <c r="AX71" s="83">
        <f t="shared" si="52"/>
        <v>2.7376296548206086E-2</v>
      </c>
      <c r="AY71" s="2">
        <f t="shared" si="58"/>
        <v>6042</v>
      </c>
      <c r="AZ71" s="81" t="str">
        <f>TEXT('MYP Assumptions'!I75,"0.00%")&amp;", CPI"</f>
        <v>2.73%, CPI</v>
      </c>
      <c r="BB71" s="83">
        <f t="shared" si="53"/>
        <v>2.730883813306852E-2</v>
      </c>
      <c r="BC71" s="2">
        <f t="shared" si="59"/>
        <v>6207</v>
      </c>
      <c r="BD71" s="81" t="str">
        <f>TEXT('MYP Assumptions'!J75,"0.00%")&amp;", CPI"</f>
        <v>2.73%, CPI</v>
      </c>
    </row>
    <row r="72" spans="1:56" x14ac:dyDescent="0.25">
      <c r="A72" s="12" t="s">
        <v>120</v>
      </c>
      <c r="B72" s="39" t="s">
        <v>121</v>
      </c>
      <c r="C72" s="3">
        <v>0</v>
      </c>
      <c r="D72" s="30"/>
      <c r="E72" s="2">
        <v>0</v>
      </c>
      <c r="F72" s="36"/>
      <c r="G72" s="2">
        <v>0</v>
      </c>
      <c r="H72" s="36"/>
      <c r="I72" s="2">
        <v>0</v>
      </c>
      <c r="J72" s="36"/>
      <c r="K72" s="2">
        <v>0</v>
      </c>
      <c r="L72" s="36"/>
      <c r="M72" s="2">
        <v>0</v>
      </c>
      <c r="N72" s="36"/>
      <c r="O72" s="2">
        <v>0</v>
      </c>
      <c r="P72" s="36"/>
      <c r="Q72" s="2">
        <v>750</v>
      </c>
      <c r="R72" s="36"/>
      <c r="S72" s="2">
        <v>4000</v>
      </c>
      <c r="T72" s="36"/>
      <c r="U72" s="2">
        <v>0</v>
      </c>
      <c r="V72" s="36"/>
      <c r="W72" s="2"/>
      <c r="X72" s="36"/>
      <c r="Y72" s="2"/>
      <c r="Z72" s="36"/>
      <c r="AA72" s="2"/>
      <c r="AB72" s="36"/>
      <c r="AC72" s="66"/>
      <c r="AD72" s="12" t="str">
        <f t="shared" si="46"/>
        <v>5752</v>
      </c>
      <c r="AE72" s="39" t="str">
        <f t="shared" si="47"/>
        <v>Direct Srvc-Food Srvc.</v>
      </c>
      <c r="AF72" s="2">
        <f t="shared" si="54"/>
        <v>4750</v>
      </c>
      <c r="AG72" s="2"/>
      <c r="AH72" s="83">
        <f t="shared" si="48"/>
        <v>3.4105263157894736E-2</v>
      </c>
      <c r="AI72" s="2">
        <f t="shared" si="60"/>
        <v>4912</v>
      </c>
      <c r="AJ72" s="81" t="str">
        <f>TEXT('MYP Assumptions'!E75,"0.00%")&amp;", CPI"</f>
        <v>3.42%, CPI</v>
      </c>
      <c r="AK72" s="66"/>
      <c r="AL72" s="83">
        <f t="shared" si="49"/>
        <v>3.3591205211726385E-2</v>
      </c>
      <c r="AM72" s="2">
        <f t="shared" si="55"/>
        <v>5077</v>
      </c>
      <c r="AN72" s="81" t="str">
        <f>TEXT('MYP Assumptions'!F75,"0.00%")&amp;", CPI"</f>
        <v>3.35%, CPI</v>
      </c>
      <c r="AP72" s="83">
        <f t="shared" si="50"/>
        <v>3.013590703171164E-2</v>
      </c>
      <c r="AQ72" s="2">
        <f t="shared" si="56"/>
        <v>5230</v>
      </c>
      <c r="AR72" s="81" t="str">
        <f>TEXT('MYP Assumptions'!G75,"0.00%")&amp;", CPI"</f>
        <v>3.02%, CPI</v>
      </c>
      <c r="AT72" s="83">
        <f t="shared" si="51"/>
        <v>2.7342256214149138E-2</v>
      </c>
      <c r="AU72" s="2">
        <f t="shared" si="57"/>
        <v>5373</v>
      </c>
      <c r="AV72" s="81" t="str">
        <f>TEXT('MYP Assumptions'!H75,"0.00%")&amp;", CPI"</f>
        <v>2.73%, CPI</v>
      </c>
      <c r="AX72" s="83">
        <f t="shared" si="52"/>
        <v>2.7359017308766054E-2</v>
      </c>
      <c r="AY72" s="2">
        <f t="shared" si="58"/>
        <v>5520</v>
      </c>
      <c r="AZ72" s="81" t="str">
        <f>TEXT('MYP Assumptions'!I75,"0.00%")&amp;", CPI"</f>
        <v>2.73%, CPI</v>
      </c>
      <c r="BB72" s="83">
        <f t="shared" si="53"/>
        <v>2.7355072463768115E-2</v>
      </c>
      <c r="BC72" s="2">
        <f t="shared" si="59"/>
        <v>5671</v>
      </c>
      <c r="BD72" s="81" t="str">
        <f>TEXT('MYP Assumptions'!J75,"0.00%")&amp;", CPI"</f>
        <v>2.73%, CPI</v>
      </c>
    </row>
    <row r="73" spans="1:56" x14ac:dyDescent="0.25">
      <c r="A73" s="12" t="s">
        <v>126</v>
      </c>
      <c r="B73" s="39" t="s">
        <v>127</v>
      </c>
      <c r="C73" s="3">
        <v>0</v>
      </c>
      <c r="D73" s="30"/>
      <c r="E73" s="2">
        <v>0</v>
      </c>
      <c r="F73" s="36"/>
      <c r="G73" s="2">
        <v>0</v>
      </c>
      <c r="H73" s="36"/>
      <c r="I73" s="2">
        <v>0</v>
      </c>
      <c r="J73" s="36"/>
      <c r="K73" s="2">
        <v>0</v>
      </c>
      <c r="L73" s="36"/>
      <c r="M73" s="2">
        <v>0</v>
      </c>
      <c r="N73" s="36"/>
      <c r="O73" s="2">
        <v>0</v>
      </c>
      <c r="P73" s="36"/>
      <c r="Q73" s="2">
        <v>0</v>
      </c>
      <c r="R73" s="36"/>
      <c r="S73" s="2">
        <v>0</v>
      </c>
      <c r="T73" s="36"/>
      <c r="U73" s="2">
        <v>640</v>
      </c>
      <c r="V73" s="36"/>
      <c r="W73" s="2"/>
      <c r="X73" s="36"/>
      <c r="Y73" s="2"/>
      <c r="Z73" s="36"/>
      <c r="AA73" s="2"/>
      <c r="AB73" s="36"/>
      <c r="AC73" s="66"/>
      <c r="AD73" s="12" t="str">
        <f t="shared" si="46"/>
        <v>5806</v>
      </c>
      <c r="AE73" s="39" t="str">
        <f t="shared" si="47"/>
        <v>Outside Interpreter</v>
      </c>
      <c r="AF73" s="2">
        <f t="shared" si="54"/>
        <v>640</v>
      </c>
      <c r="AG73" s="2"/>
      <c r="AH73" s="83">
        <f t="shared" si="48"/>
        <v>3.4375000000000003E-2</v>
      </c>
      <c r="AI73" s="2">
        <f t="shared" si="60"/>
        <v>662</v>
      </c>
      <c r="AJ73" s="81" t="str">
        <f>TEXT('MYP Assumptions'!E75,"0.00%")&amp;", CPI"</f>
        <v>3.42%, CPI</v>
      </c>
      <c r="AK73" s="66"/>
      <c r="AL73" s="83">
        <f t="shared" si="49"/>
        <v>3.3232628398791542E-2</v>
      </c>
      <c r="AM73" s="2">
        <f t="shared" si="55"/>
        <v>684</v>
      </c>
      <c r="AN73" s="81" t="str">
        <f>TEXT('MYP Assumptions'!F75,"0.00%")&amp;", CPI"</f>
        <v>3.35%, CPI</v>
      </c>
      <c r="AP73" s="83">
        <f t="shared" si="50"/>
        <v>3.0701754385964911E-2</v>
      </c>
      <c r="AQ73" s="2">
        <f t="shared" si="56"/>
        <v>705</v>
      </c>
      <c r="AR73" s="81" t="str">
        <f>TEXT('MYP Assumptions'!G75,"0.00%")&amp;", CPI"</f>
        <v>3.02%, CPI</v>
      </c>
      <c r="AT73" s="83">
        <f t="shared" si="51"/>
        <v>2.6950354609929079E-2</v>
      </c>
      <c r="AU73" s="2">
        <f t="shared" si="57"/>
        <v>724</v>
      </c>
      <c r="AV73" s="81" t="str">
        <f>TEXT('MYP Assumptions'!H75,"0.00%")&amp;", CPI"</f>
        <v>2.73%, CPI</v>
      </c>
      <c r="AX73" s="83">
        <f t="shared" si="52"/>
        <v>2.7624309392265192E-2</v>
      </c>
      <c r="AY73" s="2">
        <f t="shared" si="58"/>
        <v>744</v>
      </c>
      <c r="AZ73" s="81" t="str">
        <f>TEXT('MYP Assumptions'!I75,"0.00%")&amp;", CPI"</f>
        <v>2.73%, CPI</v>
      </c>
      <c r="BB73" s="83">
        <f t="shared" si="53"/>
        <v>2.6881720430107527E-2</v>
      </c>
      <c r="BC73" s="2">
        <f t="shared" si="59"/>
        <v>764</v>
      </c>
      <c r="BD73" s="81" t="str">
        <f>TEXT('MYP Assumptions'!J75,"0.00%")&amp;", CPI"</f>
        <v>2.73%, CPI</v>
      </c>
    </row>
    <row r="74" spans="1:56" x14ac:dyDescent="0.25">
      <c r="A74" s="12" t="s">
        <v>9</v>
      </c>
      <c r="B74" s="39" t="s">
        <v>8</v>
      </c>
      <c r="C74" s="3">
        <v>27678.37</v>
      </c>
      <c r="D74" s="30"/>
      <c r="E74" s="2">
        <v>0</v>
      </c>
      <c r="F74" s="36"/>
      <c r="G74" s="2">
        <v>0</v>
      </c>
      <c r="H74" s="36"/>
      <c r="I74" s="2">
        <v>0</v>
      </c>
      <c r="J74" s="36"/>
      <c r="K74" s="2">
        <v>4950</v>
      </c>
      <c r="L74" s="36"/>
      <c r="M74" s="2">
        <v>0</v>
      </c>
      <c r="N74" s="36"/>
      <c r="O74" s="2">
        <v>0</v>
      </c>
      <c r="P74" s="36"/>
      <c r="Q74" s="2">
        <v>0</v>
      </c>
      <c r="R74" s="36"/>
      <c r="S74" s="2">
        <v>0</v>
      </c>
      <c r="T74" s="36"/>
      <c r="U74" s="2">
        <v>0</v>
      </c>
      <c r="V74" s="36"/>
      <c r="W74" s="2">
        <v>500</v>
      </c>
      <c r="X74" s="36"/>
      <c r="Y74" s="2">
        <v>5572</v>
      </c>
      <c r="Z74" s="36"/>
      <c r="AA74" s="2">
        <v>0</v>
      </c>
      <c r="AB74" s="36"/>
      <c r="AC74" s="66"/>
      <c r="AD74" s="12" t="str">
        <f t="shared" si="46"/>
        <v>5807</v>
      </c>
      <c r="AE74" s="39" t="str">
        <f t="shared" si="47"/>
        <v>Consultants</v>
      </c>
      <c r="AF74" s="2">
        <f t="shared" si="54"/>
        <v>38700.369999999995</v>
      </c>
      <c r="AG74" s="2"/>
      <c r="AH74" s="83">
        <f t="shared" si="48"/>
        <v>3.4201998585543361E-2</v>
      </c>
      <c r="AI74" s="2">
        <f t="shared" si="60"/>
        <v>40024</v>
      </c>
      <c r="AJ74" s="81" t="str">
        <f>TEXT('MYP Assumptions'!E75,"0.00%")&amp;", CPI"</f>
        <v>3.42%, CPI</v>
      </c>
      <c r="AK74" s="66"/>
      <c r="AL74" s="83">
        <f t="shared" si="49"/>
        <v>3.3504897061762941E-2</v>
      </c>
      <c r="AM74" s="2">
        <f t="shared" si="55"/>
        <v>41365</v>
      </c>
      <c r="AN74" s="81" t="str">
        <f>TEXT('MYP Assumptions'!F75,"0.00%")&amp;", CPI"</f>
        <v>3.35%, CPI</v>
      </c>
      <c r="AP74" s="83">
        <f t="shared" si="50"/>
        <v>3.019460896893509E-2</v>
      </c>
      <c r="AQ74" s="2">
        <f t="shared" si="56"/>
        <v>42614</v>
      </c>
      <c r="AR74" s="81" t="str">
        <f>TEXT('MYP Assumptions'!G75,"0.00%")&amp;", CPI"</f>
        <v>3.02%, CPI</v>
      </c>
      <c r="AT74" s="83">
        <f t="shared" si="51"/>
        <v>2.729150044586286E-2</v>
      </c>
      <c r="AU74" s="2">
        <f t="shared" si="57"/>
        <v>43777</v>
      </c>
      <c r="AV74" s="81" t="str">
        <f>TEXT('MYP Assumptions'!H75,"0.00%")&amp;", CPI"</f>
        <v>2.73%, CPI</v>
      </c>
      <c r="AX74" s="83">
        <f t="shared" si="52"/>
        <v>2.7297439294606755E-2</v>
      </c>
      <c r="AY74" s="2">
        <f t="shared" si="58"/>
        <v>44972</v>
      </c>
      <c r="AZ74" s="81" t="str">
        <f>TEXT('MYP Assumptions'!I75,"0.00%")&amp;", CPI"</f>
        <v>2.73%, CPI</v>
      </c>
      <c r="BB74" s="83">
        <f t="shared" si="53"/>
        <v>2.7305879213732988E-2</v>
      </c>
      <c r="BC74" s="2">
        <f t="shared" si="59"/>
        <v>46200</v>
      </c>
      <c r="BD74" s="81" t="str">
        <f>TEXT('MYP Assumptions'!J75,"0.00%")&amp;", CPI"</f>
        <v>2.73%, CPI</v>
      </c>
    </row>
    <row r="75" spans="1:56" x14ac:dyDescent="0.25">
      <c r="A75" s="12" t="s">
        <v>122</v>
      </c>
      <c r="B75" s="39" t="s">
        <v>123</v>
      </c>
      <c r="C75" s="3">
        <v>0</v>
      </c>
      <c r="D75" s="30"/>
      <c r="E75" s="2">
        <v>0</v>
      </c>
      <c r="F75" s="36"/>
      <c r="G75" s="2">
        <v>0</v>
      </c>
      <c r="H75" s="36"/>
      <c r="I75" s="2">
        <v>0</v>
      </c>
      <c r="J75" s="36"/>
      <c r="K75" s="2">
        <v>0</v>
      </c>
      <c r="L75" s="36"/>
      <c r="M75" s="2">
        <v>0</v>
      </c>
      <c r="N75" s="36"/>
      <c r="O75" s="2">
        <v>0</v>
      </c>
      <c r="P75" s="36"/>
      <c r="Q75" s="2">
        <v>390</v>
      </c>
      <c r="R75" s="36"/>
      <c r="S75" s="2">
        <v>0</v>
      </c>
      <c r="T75" s="36"/>
      <c r="U75" s="2">
        <v>0</v>
      </c>
      <c r="V75" s="36"/>
      <c r="W75" s="2">
        <v>0</v>
      </c>
      <c r="X75" s="36"/>
      <c r="Y75" s="2">
        <v>0</v>
      </c>
      <c r="Z75" s="36"/>
      <c r="AA75" s="2"/>
      <c r="AB75" s="36"/>
      <c r="AC75" s="66"/>
      <c r="AD75" s="12" t="str">
        <f t="shared" si="46"/>
        <v>5809</v>
      </c>
      <c r="AE75" s="39" t="str">
        <f t="shared" si="47"/>
        <v>Fees</v>
      </c>
      <c r="AF75" s="2">
        <f t="shared" si="54"/>
        <v>390</v>
      </c>
      <c r="AG75" s="2"/>
      <c r="AH75" s="83">
        <f t="shared" ref="AH75:AH80" si="61">IF(AF75=0,"0.00%",(AI75-AF75)/AF75)</f>
        <v>3.3333333333333333E-2</v>
      </c>
      <c r="AI75" s="2">
        <f t="shared" si="60"/>
        <v>403</v>
      </c>
      <c r="AJ75" s="81" t="str">
        <f>TEXT('MYP Assumptions'!E75,"0.00%")&amp;", CPI"</f>
        <v>3.42%, CPI</v>
      </c>
      <c r="AK75" s="66"/>
      <c r="AL75" s="83">
        <f t="shared" si="49"/>
        <v>3.4739454094292806E-2</v>
      </c>
      <c r="AM75" s="2">
        <f t="shared" ref="AM75:AM80" si="62">ROUND(AI75*(LEFT(AN75,5)+1),0)</f>
        <v>417</v>
      </c>
      <c r="AN75" s="81" t="str">
        <f>TEXT('MYP Assumptions'!F75,"0.00%")&amp;", CPI"</f>
        <v>3.35%, CPI</v>
      </c>
      <c r="AP75" s="83">
        <f t="shared" si="50"/>
        <v>3.117505995203837E-2</v>
      </c>
      <c r="AQ75" s="2">
        <f t="shared" si="56"/>
        <v>430</v>
      </c>
      <c r="AR75" s="81" t="str">
        <f>TEXT('MYP Assumptions'!G75,"0.00%")&amp;", CPI"</f>
        <v>3.02%, CPI</v>
      </c>
      <c r="AT75" s="83">
        <f t="shared" si="51"/>
        <v>2.7906976744186046E-2</v>
      </c>
      <c r="AU75" s="2">
        <f t="shared" si="57"/>
        <v>442</v>
      </c>
      <c r="AV75" s="81" t="str">
        <f>TEXT('MYP Assumptions'!H75,"0.00%")&amp;", CPI"</f>
        <v>2.73%, CPI</v>
      </c>
      <c r="AX75" s="83">
        <f t="shared" si="52"/>
        <v>2.7149321266968326E-2</v>
      </c>
      <c r="AY75" s="2">
        <f t="shared" si="58"/>
        <v>454</v>
      </c>
      <c r="AZ75" s="81" t="str">
        <f>TEXT('MYP Assumptions'!I75,"0.00%")&amp;", CPI"</f>
        <v>2.73%, CPI</v>
      </c>
      <c r="BB75" s="83">
        <f t="shared" si="53"/>
        <v>2.643171806167401E-2</v>
      </c>
      <c r="BC75" s="2">
        <f t="shared" si="59"/>
        <v>466</v>
      </c>
      <c r="BD75" s="81" t="str">
        <f>TEXT('MYP Assumptions'!J75,"0.00%")&amp;", CPI"</f>
        <v>2.73%, CPI</v>
      </c>
    </row>
    <row r="76" spans="1:56" x14ac:dyDescent="0.25">
      <c r="A76" s="12" t="s">
        <v>7</v>
      </c>
      <c r="B76" s="39" t="s">
        <v>6</v>
      </c>
      <c r="C76" s="3">
        <v>172650</v>
      </c>
      <c r="D76" s="30"/>
      <c r="E76" s="2">
        <v>1000</v>
      </c>
      <c r="F76" s="36"/>
      <c r="G76" s="2">
        <v>0</v>
      </c>
      <c r="H76" s="36"/>
      <c r="I76" s="2">
        <v>9922</v>
      </c>
      <c r="J76" s="36"/>
      <c r="K76" s="2">
        <v>2000</v>
      </c>
      <c r="L76" s="36"/>
      <c r="M76" s="2">
        <v>3000</v>
      </c>
      <c r="N76" s="36"/>
      <c r="O76" s="2">
        <v>0</v>
      </c>
      <c r="P76" s="36"/>
      <c r="Q76" s="2">
        <v>1000</v>
      </c>
      <c r="R76" s="36"/>
      <c r="S76" s="2">
        <v>4000</v>
      </c>
      <c r="T76" s="36"/>
      <c r="U76" s="2">
        <v>4450</v>
      </c>
      <c r="V76" s="36"/>
      <c r="W76" s="2">
        <v>300</v>
      </c>
      <c r="X76" s="36"/>
      <c r="Y76" s="2">
        <v>500</v>
      </c>
      <c r="Z76" s="36"/>
      <c r="AA76" s="2">
        <v>3500</v>
      </c>
      <c r="AB76" s="36"/>
      <c r="AC76" s="66"/>
      <c r="AD76" s="12" t="str">
        <f t="shared" si="46"/>
        <v>5813</v>
      </c>
      <c r="AE76" s="39" t="str">
        <f t="shared" si="47"/>
        <v>Outside Services</v>
      </c>
      <c r="AF76" s="2">
        <f t="shared" si="54"/>
        <v>202322</v>
      </c>
      <c r="AG76" s="2"/>
      <c r="AH76" s="83">
        <f t="shared" si="61"/>
        <v>3.4197961665068555E-2</v>
      </c>
      <c r="AI76" s="2">
        <f>ROUND(AF76*(LEFT(AJ76,5)+1),0)</f>
        <v>209241</v>
      </c>
      <c r="AJ76" s="81" t="str">
        <f>TEXT('MYP Assumptions'!E75,"0.00%")&amp;", CPI"</f>
        <v>3.42%, CPI</v>
      </c>
      <c r="AK76" s="66"/>
      <c r="AL76" s="83">
        <f t="shared" si="49"/>
        <v>3.3502038319449819E-2</v>
      </c>
      <c r="AM76" s="2">
        <f t="shared" si="62"/>
        <v>216251</v>
      </c>
      <c r="AN76" s="81" t="str">
        <f>TEXT('MYP Assumptions'!F75,"0.00%")&amp;", CPI"</f>
        <v>3.35%, CPI</v>
      </c>
      <c r="AP76" s="83">
        <f t="shared" si="50"/>
        <v>3.0201016411484802E-2</v>
      </c>
      <c r="AQ76" s="2">
        <f t="shared" si="56"/>
        <v>222782</v>
      </c>
      <c r="AR76" s="81" t="str">
        <f>TEXT('MYP Assumptions'!G75,"0.00%")&amp;", CPI"</f>
        <v>3.02%, CPI</v>
      </c>
      <c r="AT76" s="83">
        <f t="shared" si="51"/>
        <v>2.7300230718819294E-2</v>
      </c>
      <c r="AU76" s="2">
        <f t="shared" si="57"/>
        <v>228864</v>
      </c>
      <c r="AV76" s="81" t="str">
        <f>TEXT('MYP Assumptions'!H75,"0.00%")&amp;", CPI"</f>
        <v>2.73%, CPI</v>
      </c>
      <c r="AX76" s="83">
        <f t="shared" si="52"/>
        <v>2.7300055928411632E-2</v>
      </c>
      <c r="AY76" s="2">
        <f t="shared" si="58"/>
        <v>235112</v>
      </c>
      <c r="AZ76" s="81" t="str">
        <f>TEXT('MYP Assumptions'!I75,"0.00%")&amp;", CPI"</f>
        <v>2.73%, CPI</v>
      </c>
      <c r="BB76" s="83">
        <f t="shared" si="53"/>
        <v>2.7301881656402054E-2</v>
      </c>
      <c r="BC76" s="2">
        <f t="shared" si="59"/>
        <v>241531</v>
      </c>
      <c r="BD76" s="81" t="str">
        <f>TEXT('MYP Assumptions'!J75,"0.00%")&amp;", CPI"</f>
        <v>2.73%, CPI</v>
      </c>
    </row>
    <row r="77" spans="1:56" x14ac:dyDescent="0.25">
      <c r="A77" s="12" t="s">
        <v>5</v>
      </c>
      <c r="B77" s="39" t="s">
        <v>4</v>
      </c>
      <c r="C77" s="3">
        <v>24998</v>
      </c>
      <c r="D77" s="30"/>
      <c r="E77" s="2">
        <v>0</v>
      </c>
      <c r="F77" s="36"/>
      <c r="G77" s="2">
        <v>0</v>
      </c>
      <c r="H77" s="36"/>
      <c r="I77" s="2">
        <v>0</v>
      </c>
      <c r="J77" s="36"/>
      <c r="K77" s="2">
        <v>1614</v>
      </c>
      <c r="L77" s="36"/>
      <c r="M77" s="2">
        <v>0</v>
      </c>
      <c r="N77" s="36"/>
      <c r="O77" s="2">
        <v>300</v>
      </c>
      <c r="P77" s="36"/>
      <c r="Q77" s="2">
        <v>500</v>
      </c>
      <c r="R77" s="36"/>
      <c r="S77" s="2">
        <v>2689</v>
      </c>
      <c r="T77" s="36"/>
      <c r="U77" s="2">
        <v>0</v>
      </c>
      <c r="V77" s="36"/>
      <c r="W77" s="2">
        <v>4200</v>
      </c>
      <c r="X77" s="36"/>
      <c r="Y77" s="2">
        <v>1554</v>
      </c>
      <c r="Z77" s="36"/>
      <c r="AA77" s="2">
        <v>0</v>
      </c>
      <c r="AB77" s="36"/>
      <c r="AC77" s="66"/>
      <c r="AD77" s="12" t="str">
        <f t="shared" si="46"/>
        <v>5814</v>
      </c>
      <c r="AE77" s="39" t="str">
        <f t="shared" si="47"/>
        <v>Other Services</v>
      </c>
      <c r="AF77" s="2">
        <f t="shared" si="54"/>
        <v>35855</v>
      </c>
      <c r="AG77" s="2"/>
      <c r="AH77" s="83">
        <f t="shared" si="61"/>
        <v>3.4193278482777853E-2</v>
      </c>
      <c r="AI77" s="2">
        <f>ROUND(AF77*(LEFT(AJ77,5)+1),0)</f>
        <v>37081</v>
      </c>
      <c r="AJ77" s="81" t="str">
        <f>TEXT('MYP Assumptions'!E75,"0.00%")&amp;", CPI"</f>
        <v>3.42%, CPI</v>
      </c>
      <c r="AK77" s="66"/>
      <c r="AL77" s="83">
        <f t="shared" si="49"/>
        <v>3.3494242334349125E-2</v>
      </c>
      <c r="AM77" s="2">
        <f t="shared" si="62"/>
        <v>38323</v>
      </c>
      <c r="AN77" s="81" t="str">
        <f>TEXT('MYP Assumptions'!F75,"0.00%")&amp;", CPI"</f>
        <v>3.35%, CPI</v>
      </c>
      <c r="AP77" s="83">
        <f t="shared" si="50"/>
        <v>3.0190747070949559E-2</v>
      </c>
      <c r="AQ77" s="2">
        <f t="shared" si="56"/>
        <v>39480</v>
      </c>
      <c r="AR77" s="81" t="str">
        <f>TEXT('MYP Assumptions'!G75,"0.00%")&amp;", CPI"</f>
        <v>3.02%, CPI</v>
      </c>
      <c r="AT77" s="83">
        <f t="shared" si="51"/>
        <v>2.7304964539007093E-2</v>
      </c>
      <c r="AU77" s="2">
        <f t="shared" si="57"/>
        <v>40558</v>
      </c>
      <c r="AV77" s="81" t="str">
        <f>TEXT('MYP Assumptions'!H75,"0.00%")&amp;", CPI"</f>
        <v>2.73%, CPI</v>
      </c>
      <c r="AX77" s="83">
        <f t="shared" si="52"/>
        <v>2.7294245278366783E-2</v>
      </c>
      <c r="AY77" s="2">
        <f t="shared" si="58"/>
        <v>41665</v>
      </c>
      <c r="AZ77" s="81" t="str">
        <f>TEXT('MYP Assumptions'!I75,"0.00%")&amp;", CPI"</f>
        <v>2.73%, CPI</v>
      </c>
      <c r="BB77" s="83">
        <f t="shared" si="53"/>
        <v>2.7289091563662545E-2</v>
      </c>
      <c r="BC77" s="2">
        <f t="shared" si="59"/>
        <v>42802</v>
      </c>
      <c r="BD77" s="81" t="str">
        <f>TEXT('MYP Assumptions'!J75,"0.00%")&amp;", CPI"</f>
        <v>2.73%, CPI</v>
      </c>
    </row>
    <row r="78" spans="1:56" x14ac:dyDescent="0.25">
      <c r="A78" s="12" t="s">
        <v>3</v>
      </c>
      <c r="B78" s="39" t="s">
        <v>2</v>
      </c>
      <c r="C78" s="3">
        <v>2000</v>
      </c>
      <c r="D78" s="30"/>
      <c r="E78" s="2">
        <v>0</v>
      </c>
      <c r="F78" s="36"/>
      <c r="G78" s="2">
        <v>0</v>
      </c>
      <c r="H78" s="36"/>
      <c r="I78" s="2">
        <v>1700</v>
      </c>
      <c r="J78" s="36"/>
      <c r="K78" s="2">
        <v>0</v>
      </c>
      <c r="L78" s="36"/>
      <c r="M78" s="2">
        <v>0</v>
      </c>
      <c r="N78" s="36"/>
      <c r="O78" s="2">
        <v>0</v>
      </c>
      <c r="P78" s="36"/>
      <c r="Q78" s="2">
        <v>0</v>
      </c>
      <c r="R78" s="36"/>
      <c r="S78" s="2">
        <v>0</v>
      </c>
      <c r="T78" s="36"/>
      <c r="U78" s="2">
        <v>0</v>
      </c>
      <c r="V78" s="36"/>
      <c r="W78" s="2">
        <v>0</v>
      </c>
      <c r="X78" s="36"/>
      <c r="Y78" s="2">
        <v>0</v>
      </c>
      <c r="Z78" s="36"/>
      <c r="AA78" s="2">
        <v>0</v>
      </c>
      <c r="AB78" s="36"/>
      <c r="AC78" s="66"/>
      <c r="AD78" s="12" t="str">
        <f t="shared" si="46"/>
        <v>5817</v>
      </c>
      <c r="AE78" s="39" t="str">
        <f t="shared" si="47"/>
        <v>Outside Transp.</v>
      </c>
      <c r="AF78" s="2">
        <f t="shared" si="54"/>
        <v>3700</v>
      </c>
      <c r="AG78" s="2"/>
      <c r="AH78" s="83">
        <f t="shared" si="61"/>
        <v>3.4324324324324328E-2</v>
      </c>
      <c r="AI78" s="2">
        <f>ROUND(AF78*(LEFT(AJ78,5)+1),0)</f>
        <v>3827</v>
      </c>
      <c r="AJ78" s="81" t="str">
        <f>TEXT('MYP Assumptions'!E75,"0.00%")&amp;", CPI"</f>
        <v>3.42%, CPI</v>
      </c>
      <c r="AK78" s="66"/>
      <c r="AL78" s="83">
        <f t="shared" si="49"/>
        <v>3.3446563888163049E-2</v>
      </c>
      <c r="AM78" s="2">
        <f t="shared" si="62"/>
        <v>3955</v>
      </c>
      <c r="AN78" s="81" t="str">
        <f>TEXT('MYP Assumptions'!F75,"0.00%")&amp;", CPI"</f>
        <v>3.35%, CPI</v>
      </c>
      <c r="AP78" s="83">
        <f t="shared" si="50"/>
        <v>3.0088495575221239E-2</v>
      </c>
      <c r="AQ78" s="2">
        <f t="shared" si="56"/>
        <v>4074</v>
      </c>
      <c r="AR78" s="81" t="str">
        <f>TEXT('MYP Assumptions'!G75,"0.00%")&amp;", CPI"</f>
        <v>3.02%, CPI</v>
      </c>
      <c r="AT78" s="83">
        <f t="shared" si="51"/>
        <v>2.7245949926362298E-2</v>
      </c>
      <c r="AU78" s="2">
        <f t="shared" si="57"/>
        <v>4185</v>
      </c>
      <c r="AV78" s="81" t="str">
        <f>TEXT('MYP Assumptions'!H75,"0.00%")&amp;", CPI"</f>
        <v>2.73%, CPI</v>
      </c>
      <c r="AX78" s="83">
        <f t="shared" si="52"/>
        <v>2.7240143369175629E-2</v>
      </c>
      <c r="AY78" s="2">
        <f t="shared" si="58"/>
        <v>4299</v>
      </c>
      <c r="AZ78" s="81" t="str">
        <f>TEXT('MYP Assumptions'!I75,"0.00%")&amp;", CPI"</f>
        <v>2.73%, CPI</v>
      </c>
      <c r="BB78" s="83">
        <f t="shared" si="53"/>
        <v>2.7215631542219121E-2</v>
      </c>
      <c r="BC78" s="2">
        <f t="shared" si="59"/>
        <v>4416</v>
      </c>
      <c r="BD78" s="81" t="str">
        <f>TEXT('MYP Assumptions'!J75,"0.00%")&amp;", CPI"</f>
        <v>2.73%, CPI</v>
      </c>
    </row>
    <row r="79" spans="1:56" x14ac:dyDescent="0.25">
      <c r="A79" s="12" t="s">
        <v>124</v>
      </c>
      <c r="B79" s="39" t="s">
        <v>125</v>
      </c>
      <c r="C79" s="3">
        <v>0</v>
      </c>
      <c r="D79" s="30"/>
      <c r="E79" s="2">
        <v>0</v>
      </c>
      <c r="F79" s="36"/>
      <c r="G79" s="2">
        <v>0</v>
      </c>
      <c r="H79" s="36"/>
      <c r="I79" s="2">
        <v>0</v>
      </c>
      <c r="J79" s="36"/>
      <c r="K79" s="2">
        <v>0</v>
      </c>
      <c r="L79" s="36"/>
      <c r="M79" s="2">
        <v>0</v>
      </c>
      <c r="N79" s="36"/>
      <c r="O79" s="2">
        <v>0</v>
      </c>
      <c r="P79" s="36"/>
      <c r="Q79" s="2">
        <v>200</v>
      </c>
      <c r="R79" s="36"/>
      <c r="S79" s="2">
        <v>200</v>
      </c>
      <c r="T79" s="36"/>
      <c r="U79" s="2">
        <v>0</v>
      </c>
      <c r="V79" s="36"/>
      <c r="W79" s="2"/>
      <c r="X79" s="36"/>
      <c r="Y79" s="2">
        <v>1000</v>
      </c>
      <c r="Z79" s="36"/>
      <c r="AA79" s="2"/>
      <c r="AB79" s="36"/>
      <c r="AC79" s="66"/>
      <c r="AD79" s="12" t="str">
        <f t="shared" si="46"/>
        <v>5908</v>
      </c>
      <c r="AE79" s="39" t="str">
        <f t="shared" si="47"/>
        <v>Postage</v>
      </c>
      <c r="AF79" s="2">
        <f t="shared" si="54"/>
        <v>1400</v>
      </c>
      <c r="AG79" s="2"/>
      <c r="AH79" s="83">
        <f t="shared" si="61"/>
        <v>3.4285714285714287E-2</v>
      </c>
      <c r="AI79" s="2">
        <f>ROUND(AF79*(LEFT(AJ79,5)+1),0)</f>
        <v>1448</v>
      </c>
      <c r="AJ79" s="81" t="str">
        <f>TEXT('MYP Assumptions'!E75,"0.00%")&amp;", CPI"</f>
        <v>3.42%, CPI</v>
      </c>
      <c r="AK79" s="66"/>
      <c r="AL79" s="83">
        <f t="shared" si="49"/>
        <v>3.3839779005524859E-2</v>
      </c>
      <c r="AM79" s="2">
        <f t="shared" si="62"/>
        <v>1497</v>
      </c>
      <c r="AN79" s="81" t="str">
        <f>TEXT('MYP Assumptions'!F75,"0.00%")&amp;", CPI"</f>
        <v>3.35%, CPI</v>
      </c>
      <c r="AP79" s="83">
        <f t="shared" si="50"/>
        <v>3.0060120240480961E-2</v>
      </c>
      <c r="AQ79" s="2">
        <f t="shared" si="56"/>
        <v>1542</v>
      </c>
      <c r="AR79" s="81" t="str">
        <f>TEXT('MYP Assumptions'!G75,"0.00%")&amp;", CPI"</f>
        <v>3.02%, CPI</v>
      </c>
      <c r="AT79" s="83">
        <f t="shared" si="51"/>
        <v>2.7237354085603113E-2</v>
      </c>
      <c r="AU79" s="2">
        <f t="shared" si="57"/>
        <v>1584</v>
      </c>
      <c r="AV79" s="81" t="str">
        <f>TEXT('MYP Assumptions'!H75,"0.00%")&amp;", CPI"</f>
        <v>2.73%, CPI</v>
      </c>
      <c r="AX79" s="83">
        <f t="shared" si="52"/>
        <v>2.7146464646464648E-2</v>
      </c>
      <c r="AY79" s="2">
        <f t="shared" si="58"/>
        <v>1627</v>
      </c>
      <c r="AZ79" s="81" t="str">
        <f>TEXT('MYP Assumptions'!I75,"0.00%")&amp;", CPI"</f>
        <v>2.73%, CPI</v>
      </c>
      <c r="BB79" s="83">
        <f t="shared" si="53"/>
        <v>2.7043638598647817E-2</v>
      </c>
      <c r="BC79" s="2">
        <f t="shared" si="59"/>
        <v>1671</v>
      </c>
      <c r="BD79" s="81" t="str">
        <f>TEXT('MYP Assumptions'!J75,"0.00%")&amp;", CPI"</f>
        <v>2.73%, CPI</v>
      </c>
    </row>
    <row r="80" spans="1:56" x14ac:dyDescent="0.25">
      <c r="A80" s="12" t="s">
        <v>1</v>
      </c>
      <c r="C80" s="3">
        <v>0</v>
      </c>
      <c r="D80" s="30"/>
      <c r="E80" s="2">
        <v>0</v>
      </c>
      <c r="F80" s="36"/>
      <c r="G80" s="2">
        <v>0</v>
      </c>
      <c r="H80" s="36"/>
      <c r="I80" s="2">
        <v>0</v>
      </c>
      <c r="J80" s="36"/>
      <c r="K80" s="2">
        <v>0</v>
      </c>
      <c r="L80" s="36"/>
      <c r="M80" s="2">
        <v>0</v>
      </c>
      <c r="N80" s="36"/>
      <c r="O80" s="2">
        <v>0</v>
      </c>
      <c r="P80" s="36"/>
      <c r="Q80" s="2">
        <v>0</v>
      </c>
      <c r="R80" s="36"/>
      <c r="S80" s="2">
        <v>0</v>
      </c>
      <c r="T80" s="36"/>
      <c r="U80" s="2">
        <v>0</v>
      </c>
      <c r="V80" s="36"/>
      <c r="W80" s="2">
        <v>0</v>
      </c>
      <c r="X80" s="36"/>
      <c r="Y80" s="2">
        <v>0</v>
      </c>
      <c r="Z80" s="36"/>
      <c r="AA80" s="2">
        <v>0</v>
      </c>
      <c r="AB80" s="36"/>
      <c r="AC80" s="66"/>
      <c r="AD80" s="12" t="str">
        <f t="shared" si="46"/>
        <v>5000</v>
      </c>
      <c r="AE80" s="39">
        <f t="shared" si="47"/>
        <v>0</v>
      </c>
      <c r="AF80" s="2">
        <f t="shared" si="54"/>
        <v>0</v>
      </c>
      <c r="AG80" s="2"/>
      <c r="AH80" s="83" t="str">
        <f t="shared" si="61"/>
        <v>0.00%</v>
      </c>
      <c r="AI80" s="2">
        <f>ROUND(AF80*(LEFT(AJ80,5)+1),0)</f>
        <v>0</v>
      </c>
      <c r="AJ80" s="81" t="str">
        <f>TEXT('MYP Assumptions'!E75,"0.00%")&amp;", CPI"</f>
        <v>3.42%, CPI</v>
      </c>
      <c r="AK80" s="66"/>
      <c r="AL80" s="83" t="str">
        <f t="shared" si="49"/>
        <v>0.00%</v>
      </c>
      <c r="AM80" s="2">
        <f t="shared" si="62"/>
        <v>0</v>
      </c>
      <c r="AN80" s="81" t="str">
        <f>TEXT('MYP Assumptions'!F75,"0.00%")&amp;", CPI"</f>
        <v>3.35%, CPI</v>
      </c>
      <c r="AP80" s="83" t="str">
        <f t="shared" si="50"/>
        <v>0.00%</v>
      </c>
      <c r="AQ80" s="2">
        <f t="shared" si="56"/>
        <v>0</v>
      </c>
      <c r="AR80" s="81" t="str">
        <f>TEXT('MYP Assumptions'!G75,"0.00%")&amp;", CPI"</f>
        <v>3.02%, CPI</v>
      </c>
      <c r="AT80" s="83" t="str">
        <f t="shared" si="51"/>
        <v>0.00%</v>
      </c>
      <c r="AU80" s="2">
        <f t="shared" si="57"/>
        <v>0</v>
      </c>
      <c r="AV80" s="81" t="str">
        <f>TEXT('MYP Assumptions'!H75,"0.00%")&amp;", CPI"</f>
        <v>2.73%, CPI</v>
      </c>
      <c r="AX80" s="83" t="str">
        <f t="shared" si="52"/>
        <v>0.00%</v>
      </c>
      <c r="AY80" s="2">
        <f t="shared" si="58"/>
        <v>0</v>
      </c>
      <c r="AZ80" s="81" t="str">
        <f>TEXT('MYP Assumptions'!I75,"0.00%")&amp;", CPI"</f>
        <v>2.73%, CPI</v>
      </c>
      <c r="BB80" s="83" t="str">
        <f t="shared" si="53"/>
        <v>0.00%</v>
      </c>
      <c r="BC80" s="2">
        <f t="shared" si="59"/>
        <v>0</v>
      </c>
      <c r="BD80" s="81" t="str">
        <f>TEXT('MYP Assumptions'!J75,"0.00%")&amp;", CPI"</f>
        <v>2.73%, CPI</v>
      </c>
    </row>
    <row r="81" spans="1:56" x14ac:dyDescent="0.25">
      <c r="C81" s="8">
        <f>SUM(C68:C80)</f>
        <v>386238.37</v>
      </c>
      <c r="D81" s="33"/>
      <c r="E81" s="8">
        <f>SUM(E68:E80)</f>
        <v>3000</v>
      </c>
      <c r="F81" s="5"/>
      <c r="G81" s="8">
        <f>SUM(G68:G80)</f>
        <v>0</v>
      </c>
      <c r="H81" s="5"/>
      <c r="I81" s="8">
        <f>SUM(I68:I80)</f>
        <v>23622</v>
      </c>
      <c r="J81" s="5"/>
      <c r="K81" s="8">
        <f>SUM(K68:K80)</f>
        <v>17564</v>
      </c>
      <c r="L81" s="5"/>
      <c r="M81" s="8">
        <f>SUM(M68:M80)</f>
        <v>10500</v>
      </c>
      <c r="N81" s="5"/>
      <c r="O81" s="8">
        <f>SUM(O68:O80)</f>
        <v>2271</v>
      </c>
      <c r="P81" s="5"/>
      <c r="Q81" s="8">
        <f>SUM(Q68:Q80)</f>
        <v>10471</v>
      </c>
      <c r="R81" s="5"/>
      <c r="S81" s="8">
        <f>SUM(S68:S80)</f>
        <v>14889</v>
      </c>
      <c r="T81" s="5"/>
      <c r="U81" s="8">
        <f>SUM(U68:U80)</f>
        <v>8616</v>
      </c>
      <c r="V81" s="5"/>
      <c r="W81" s="8">
        <f>SUM(W68:W80)</f>
        <v>13000</v>
      </c>
      <c r="X81" s="5"/>
      <c r="Y81" s="8">
        <f>SUM(Y68:Y80)</f>
        <v>9426</v>
      </c>
      <c r="Z81" s="5"/>
      <c r="AA81" s="8">
        <f>SUM(AA68:AA80)</f>
        <v>10500</v>
      </c>
      <c r="AB81" s="5"/>
      <c r="AC81" s="29"/>
      <c r="AF81" s="8">
        <f>SUM(AF68:AF80)</f>
        <v>510097.37</v>
      </c>
      <c r="AG81" s="2"/>
      <c r="AH81" s="83">
        <f t="shared" ref="AH81:AH88" si="63">(AI81-AF81)/AF81</f>
        <v>3.4198627607117449E-2</v>
      </c>
      <c r="AI81" s="8">
        <f>SUM(AI68:AI80)</f>
        <v>527542</v>
      </c>
      <c r="AJ81" s="5"/>
      <c r="AK81" s="29"/>
      <c r="AL81" s="83">
        <f t="shared" si="49"/>
        <v>3.3502545768867693E-2</v>
      </c>
      <c r="AM81" s="8">
        <f>SUM(AM68:AM80)</f>
        <v>545216</v>
      </c>
      <c r="AN81" s="73"/>
      <c r="AP81" s="83">
        <f t="shared" si="50"/>
        <v>3.0199040380326329E-2</v>
      </c>
      <c r="AQ81" s="8">
        <f>SUM(AQ68:AQ80)</f>
        <v>561681</v>
      </c>
      <c r="AR81" s="73"/>
      <c r="AT81" s="83">
        <f t="shared" si="51"/>
        <v>2.7298413156222126E-2</v>
      </c>
      <c r="AU81" s="8">
        <f>SUM(AU68:AU80)</f>
        <v>577014</v>
      </c>
      <c r="AV81" s="73"/>
      <c r="AX81" s="83">
        <f t="shared" si="52"/>
        <v>2.7300897378573136E-2</v>
      </c>
      <c r="AY81" s="8">
        <f>SUM(AY68:AY80)</f>
        <v>592767</v>
      </c>
      <c r="AZ81" s="73"/>
      <c r="BB81" s="83">
        <f t="shared" si="53"/>
        <v>2.72990905364165E-2</v>
      </c>
      <c r="BC81" s="8">
        <f>SUM(BC68:BC80)</f>
        <v>608949</v>
      </c>
      <c r="BD81" s="73"/>
    </row>
    <row r="82" spans="1:56" x14ac:dyDescent="0.25">
      <c r="A82" s="21"/>
      <c r="C82" s="3"/>
      <c r="D82" s="30"/>
      <c r="E82" s="2"/>
      <c r="F82" s="36"/>
      <c r="G82" s="2"/>
      <c r="H82" s="36"/>
      <c r="J82" s="36"/>
      <c r="K82" s="2"/>
      <c r="L82" s="36"/>
      <c r="M82" s="2"/>
      <c r="N82" s="36"/>
      <c r="O82" s="2"/>
      <c r="P82" s="36"/>
      <c r="Q82" s="2"/>
      <c r="R82" s="36"/>
      <c r="S82" s="2"/>
      <c r="T82" s="36"/>
      <c r="U82" s="2"/>
      <c r="V82" s="36"/>
      <c r="W82" s="2"/>
      <c r="X82" s="36"/>
      <c r="Y82" s="2"/>
      <c r="Z82" s="36"/>
      <c r="AA82" s="2"/>
      <c r="AB82" s="36"/>
      <c r="AC82" s="66"/>
      <c r="AD82" s="21"/>
      <c r="AF82" s="2"/>
      <c r="AG82" s="2"/>
      <c r="AH82" s="83"/>
      <c r="AI82" s="2"/>
      <c r="AJ82" s="36"/>
      <c r="AK82" s="66"/>
      <c r="AM82" s="2"/>
      <c r="AN82" s="73"/>
      <c r="AQ82" s="2"/>
      <c r="AR82" s="73"/>
      <c r="AU82" s="2"/>
      <c r="AV82" s="73"/>
      <c r="AY82" s="2"/>
      <c r="AZ82" s="73"/>
      <c r="BC82" s="2"/>
      <c r="BD82" s="73"/>
    </row>
    <row r="83" spans="1:56" x14ac:dyDescent="0.25">
      <c r="C83" s="3"/>
      <c r="D83" s="30"/>
      <c r="E83" s="2"/>
      <c r="F83" s="36"/>
      <c r="G83" s="2"/>
      <c r="H83" s="36"/>
      <c r="J83" s="36"/>
      <c r="K83" s="2"/>
      <c r="L83" s="36"/>
      <c r="M83" s="2"/>
      <c r="N83" s="36"/>
      <c r="O83" s="2"/>
      <c r="P83" s="36"/>
      <c r="Q83" s="2"/>
      <c r="R83" s="36"/>
      <c r="S83" s="2"/>
      <c r="T83" s="36"/>
      <c r="U83" s="2"/>
      <c r="V83" s="36"/>
      <c r="W83" s="2"/>
      <c r="X83" s="36"/>
      <c r="Y83" s="2"/>
      <c r="Z83" s="36"/>
      <c r="AA83" s="2"/>
      <c r="AB83" s="36"/>
      <c r="AC83" s="66"/>
      <c r="AF83" s="2"/>
      <c r="AG83" s="2"/>
      <c r="AI83" s="2"/>
      <c r="AJ83" s="36"/>
      <c r="AK83" s="66"/>
      <c r="AM83" s="2"/>
      <c r="AN83" s="73"/>
      <c r="AQ83" s="2"/>
      <c r="AR83" s="73"/>
      <c r="AU83" s="2"/>
      <c r="AV83" s="73"/>
      <c r="AY83" s="2"/>
      <c r="AZ83" s="73"/>
      <c r="BC83" s="2"/>
      <c r="BD83" s="73"/>
    </row>
    <row r="84" spans="1:56" x14ac:dyDescent="0.25">
      <c r="A84" s="21" t="s">
        <v>0</v>
      </c>
      <c r="C84" s="8">
        <f>SUM(C81,C65,C54,C13)</f>
        <v>1764624.37</v>
      </c>
      <c r="D84" s="33"/>
      <c r="E84" s="8">
        <f>SUM(E81,E65,E54)</f>
        <v>58079</v>
      </c>
      <c r="F84" s="5"/>
      <c r="G84" s="8">
        <f>SUM(G81,G65,G54)</f>
        <v>63864</v>
      </c>
      <c r="H84" s="5"/>
      <c r="I84" s="8">
        <f>SUM(I81,I65,I54)</f>
        <v>148609</v>
      </c>
      <c r="J84" s="5"/>
      <c r="K84" s="8">
        <f>SUM(K81,K65,K54)</f>
        <v>60043</v>
      </c>
      <c r="L84" s="5"/>
      <c r="M84" s="8">
        <f>SUM(M81,M65,M54)</f>
        <v>65573</v>
      </c>
      <c r="N84" s="5"/>
      <c r="O84" s="8">
        <f>SUM(O81,O65,O54)</f>
        <v>75954</v>
      </c>
      <c r="P84" s="5"/>
      <c r="Q84" s="8">
        <f>SUM(Q81,Q65,Q54)</f>
        <v>61288</v>
      </c>
      <c r="R84" s="5"/>
      <c r="S84" s="8">
        <f>SUM(S81,S65,S54)</f>
        <v>106619</v>
      </c>
      <c r="T84" s="5"/>
      <c r="U84" s="8">
        <f>SUM(U81,U65,U54)</f>
        <v>67761</v>
      </c>
      <c r="V84" s="5"/>
      <c r="W84" s="8">
        <f>SUM(W81,W65,W54)</f>
        <v>100960</v>
      </c>
      <c r="X84" s="5"/>
      <c r="Y84" s="8">
        <f>SUM(Y81,Y65,Y54)</f>
        <v>54971</v>
      </c>
      <c r="Z84" s="5"/>
      <c r="AA84" s="8">
        <f>SUM(AA81,AA65,AA54)</f>
        <v>63549</v>
      </c>
      <c r="AB84" s="5"/>
      <c r="AC84" s="29"/>
      <c r="AD84" s="21" t="str">
        <f>A84</f>
        <v>TOTAL EXPENDITURES</v>
      </c>
      <c r="AF84" s="8">
        <f>SUM(AF81,AF65,AF54)</f>
        <v>2594472.37</v>
      </c>
      <c r="AG84" s="2"/>
      <c r="AH84" s="83">
        <f t="shared" si="63"/>
        <v>3.5070957413973113E-2</v>
      </c>
      <c r="AI84" s="8">
        <f>SUM(AI81,AI65,AI54)</f>
        <v>2685463</v>
      </c>
      <c r="AJ84" s="5"/>
      <c r="AK84" s="29"/>
      <c r="AL84" s="83">
        <f>IF(AI84=0,"0.00%",(AM84-AI84)/AI84)</f>
        <v>3.6955638562139938E-2</v>
      </c>
      <c r="AM84" s="8">
        <f>SUM(AM81,AM65,AM54)</f>
        <v>2784706</v>
      </c>
      <c r="AN84" s="73"/>
      <c r="AP84" s="83">
        <f>IF(AM84=0,"0.00%",(AQ84-AM84)/AM84)</f>
        <v>3.5635718815558985E-2</v>
      </c>
      <c r="AQ84" s="8">
        <f>SUM(AQ81,AQ65,AQ54)</f>
        <v>2883941</v>
      </c>
      <c r="AR84" s="73"/>
      <c r="AT84" s="83">
        <f>IF(AQ84=0,"0.00%",(AU84-AQ84)/AQ84)</f>
        <v>3.087441802727587E-2</v>
      </c>
      <c r="AU84" s="8">
        <f>SUM(AU81,AU65,AU54)</f>
        <v>2972981</v>
      </c>
      <c r="AV84" s="73"/>
      <c r="AX84" s="83">
        <f>IF(AU84=0,"0.00%",(AY84-AU84)/AU84)</f>
        <v>2.6101411344371189E-2</v>
      </c>
      <c r="AY84" s="8">
        <f>SUM(AY81,AY65,AY54)</f>
        <v>3050580</v>
      </c>
      <c r="AZ84" s="73"/>
      <c r="BB84" s="83">
        <f>IF(AY84=0,"0.00%",(BC84-AY84)/AY84)</f>
        <v>2.5974732673786624E-2</v>
      </c>
      <c r="BC84" s="8">
        <f>SUM(BC81,BC65,BC54)</f>
        <v>3129818</v>
      </c>
      <c r="BD84" s="73"/>
    </row>
    <row r="85" spans="1:56" x14ac:dyDescent="0.25">
      <c r="C85" s="3"/>
      <c r="D85" s="30"/>
      <c r="E85" s="2"/>
      <c r="F85" s="36"/>
      <c r="G85" s="2"/>
      <c r="H85" s="36"/>
      <c r="J85" s="36"/>
      <c r="K85" s="2"/>
      <c r="L85" s="36"/>
      <c r="M85" s="2"/>
      <c r="N85" s="36"/>
      <c r="O85" s="2"/>
      <c r="P85" s="36"/>
      <c r="Q85" s="2"/>
      <c r="R85" s="36"/>
      <c r="S85" s="2"/>
      <c r="T85" s="36"/>
      <c r="U85" s="2"/>
      <c r="V85" s="36"/>
      <c r="W85" s="2"/>
      <c r="X85" s="36"/>
      <c r="Y85" s="2"/>
      <c r="Z85" s="36"/>
      <c r="AA85" s="2"/>
      <c r="AB85" s="36"/>
      <c r="AC85" s="66"/>
      <c r="AF85" s="2"/>
      <c r="AG85" s="2"/>
      <c r="AI85" s="2"/>
      <c r="AJ85" s="36"/>
      <c r="AK85" s="66"/>
      <c r="AM85" s="2"/>
      <c r="AN85" s="73"/>
      <c r="AQ85" s="2"/>
      <c r="AR85" s="73"/>
      <c r="AU85" s="2"/>
      <c r="AV85" s="73"/>
      <c r="AY85" s="2"/>
      <c r="AZ85" s="73"/>
      <c r="BC85" s="2"/>
      <c r="BD85" s="73"/>
    </row>
    <row r="86" spans="1:56" x14ac:dyDescent="0.25">
      <c r="A86" s="21" t="s">
        <v>138</v>
      </c>
      <c r="C86" s="3">
        <f>C11-C84</f>
        <v>965811</v>
      </c>
      <c r="D86" s="30"/>
      <c r="E86" s="2"/>
      <c r="F86" s="36"/>
      <c r="G86" s="2"/>
      <c r="H86" s="36"/>
      <c r="J86" s="36"/>
      <c r="K86" s="2"/>
      <c r="L86" s="36"/>
      <c r="M86" s="2"/>
      <c r="N86" s="36"/>
      <c r="O86" s="2"/>
      <c r="P86" s="36"/>
      <c r="Q86" s="2"/>
      <c r="R86" s="36"/>
      <c r="S86" s="2"/>
      <c r="T86" s="36"/>
      <c r="U86" s="2"/>
      <c r="V86" s="36"/>
      <c r="W86" s="2"/>
      <c r="X86" s="36"/>
      <c r="Y86" s="2"/>
      <c r="Z86" s="36"/>
      <c r="AA86" s="2"/>
      <c r="AB86" s="36"/>
      <c r="AC86" s="66"/>
      <c r="AD86" s="21" t="str">
        <f>A86</f>
        <v>NET INCRS/DCRS TO FB</v>
      </c>
      <c r="AF86" s="3">
        <f>AF11-AF84</f>
        <v>135963</v>
      </c>
      <c r="AH86" s="83">
        <f t="shared" si="63"/>
        <v>-4.8674352948964055</v>
      </c>
      <c r="AI86" s="3">
        <f>AI11-AI84</f>
        <v>-525828.10499999998</v>
      </c>
      <c r="AJ86" s="36"/>
      <c r="AK86" s="66"/>
      <c r="AL86" s="83">
        <f>IF(AI86=0,"0.00%",(AM86-AI86)/AI86)</f>
        <v>0.60106966895578962</v>
      </c>
      <c r="AM86" s="3">
        <f>AM11-AM84</f>
        <v>-841887.43000000017</v>
      </c>
      <c r="AN86" s="73"/>
      <c r="AP86" s="83">
        <f>IF(AM86=0,"0.00%",(AQ86-AM86)/AM86)</f>
        <v>0.43255759858535942</v>
      </c>
      <c r="AQ86" s="3">
        <f>AQ11-AQ84</f>
        <v>-1206052.2350000001</v>
      </c>
      <c r="AR86" s="73"/>
      <c r="AT86" s="83">
        <f>IF(AQ86=0,"0.00%",(AU86-AQ86)/AQ86)</f>
        <v>7.3827648103483676E-2</v>
      </c>
      <c r="AU86" s="3">
        <f>AU11-AU84</f>
        <v>-1295092.2350000001</v>
      </c>
      <c r="AV86" s="73"/>
      <c r="AX86" s="83">
        <f>IF(AU86=0,"0.00%",(AY86-AU86)/AU86)</f>
        <v>5.991774014458514E-2</v>
      </c>
      <c r="AY86" s="3">
        <f>AY11-AY84</f>
        <v>-1372691.2350000001</v>
      </c>
      <c r="AZ86" s="73"/>
      <c r="BB86" s="83">
        <f>IF(AY86=0,"0.00%",(BC86-AY86)/AY86)</f>
        <v>5.7724561780275366E-2</v>
      </c>
      <c r="BC86" s="3">
        <f>BC11-BC84</f>
        <v>-1451929.2350000001</v>
      </c>
      <c r="BD86" s="73"/>
    </row>
    <row r="87" spans="1:56" x14ac:dyDescent="0.25">
      <c r="A87" s="21"/>
      <c r="AD87" s="21"/>
      <c r="AE87" s="1"/>
      <c r="AF87" s="44"/>
      <c r="AI87" s="44"/>
      <c r="AJ87" s="36"/>
      <c r="AK87" s="66"/>
      <c r="AM87" s="44"/>
      <c r="AN87" s="73"/>
      <c r="AQ87" s="44"/>
      <c r="AR87" s="73"/>
      <c r="AU87" s="44"/>
      <c r="AV87" s="73"/>
      <c r="AY87" s="44"/>
      <c r="AZ87" s="73"/>
      <c r="BC87" s="44"/>
      <c r="BD87" s="73"/>
    </row>
    <row r="88" spans="1:56" x14ac:dyDescent="0.25">
      <c r="A88" s="21" t="s">
        <v>136</v>
      </c>
      <c r="C88" s="49">
        <f>C7+C86</f>
        <v>965811</v>
      </c>
      <c r="AD88" s="21" t="str">
        <f>A88</f>
        <v>ENDING FUND BALANCE</v>
      </c>
      <c r="AE88" s="26"/>
      <c r="AF88" s="49">
        <f>AF7+AF86</f>
        <v>135963</v>
      </c>
      <c r="AH88" s="83">
        <f t="shared" si="63"/>
        <v>-3.8674352948964055</v>
      </c>
      <c r="AI88" s="49">
        <f>AI7+AI86</f>
        <v>-389865.10499999998</v>
      </c>
      <c r="AJ88" s="36"/>
      <c r="AK88" s="66"/>
      <c r="AL88" s="83">
        <f>IF(AI88=0,"0.00%",(AM88-AI88)/AI88)</f>
        <v>2.159432632474251</v>
      </c>
      <c r="AM88" s="49">
        <f>AM7+AM86</f>
        <v>-1231752.5350000001</v>
      </c>
      <c r="AN88" s="73"/>
      <c r="AP88" s="83">
        <f>IF(AM88=0,"0.00%",(AQ88-AM88)/AM88)</f>
        <v>0.97913517588173682</v>
      </c>
      <c r="AQ88" s="49">
        <f>AQ7+AQ86</f>
        <v>-2437804.7700000005</v>
      </c>
      <c r="AR88" s="73"/>
      <c r="AT88" s="83">
        <f>IF(AQ88=0,"0.00%",(AU88-AQ88)/AQ88)</f>
        <v>0.53125346661783757</v>
      </c>
      <c r="AU88" s="49">
        <f>AU7+AU86</f>
        <v>-3732897.0050000008</v>
      </c>
      <c r="AV88" s="73"/>
      <c r="AX88" s="83">
        <f>IF(AU88=0,"0.00%",(AY88-AU88)/AU88)</f>
        <v>0.3677281299648395</v>
      </c>
      <c r="AY88" s="49">
        <f>AY7+AY86</f>
        <v>-5105588.2400000012</v>
      </c>
      <c r="AZ88" s="73"/>
      <c r="BB88" s="83">
        <f>IF(AY88=0,"0.00%",(BC88-AY88)/AY88)</f>
        <v>0.28438040177717111</v>
      </c>
      <c r="BC88" s="49">
        <f>BC7+BC86</f>
        <v>-6557517.4750000015</v>
      </c>
      <c r="BD88" s="73"/>
    </row>
    <row r="89" spans="1:56" x14ac:dyDescent="0.25">
      <c r="AE89" s="4"/>
      <c r="AH89" s="85"/>
      <c r="AI89" s="5"/>
      <c r="AJ89" s="5"/>
      <c r="AK89" s="29"/>
      <c r="AM89" s="5"/>
      <c r="AN89" s="73"/>
      <c r="AQ89" s="5"/>
      <c r="AR89" s="73"/>
      <c r="AU89" s="5"/>
      <c r="AV89" s="73"/>
      <c r="AY89" s="5"/>
      <c r="AZ89" s="73"/>
      <c r="BC89" s="5"/>
      <c r="BD89" s="73"/>
    </row>
    <row r="90" spans="1:56" x14ac:dyDescent="0.25">
      <c r="AE90" s="51"/>
      <c r="AH90" s="85"/>
      <c r="AI90" s="36"/>
      <c r="AJ90" s="36"/>
      <c r="AK90" s="66"/>
      <c r="AM90" s="2"/>
      <c r="AN90" s="73"/>
      <c r="AQ90" s="2"/>
      <c r="AR90" s="73"/>
      <c r="AU90" s="2"/>
      <c r="AV90" s="73"/>
      <c r="AY90" s="2"/>
      <c r="AZ90" s="73"/>
      <c r="BC90" s="2"/>
      <c r="BD90" s="73"/>
    </row>
    <row r="91" spans="1:56" x14ac:dyDescent="0.25">
      <c r="AE91" s="26"/>
      <c r="AH91" s="85"/>
      <c r="AI91" s="25"/>
      <c r="AJ91" s="25"/>
      <c r="AK91" s="61"/>
      <c r="AL91" s="83"/>
      <c r="AM91" s="3"/>
      <c r="AN91" s="73"/>
      <c r="AP91" s="83"/>
      <c r="AQ91" s="3"/>
      <c r="AR91" s="73"/>
      <c r="AT91" s="83"/>
      <c r="AU91" s="3"/>
      <c r="AV91" s="73"/>
      <c r="AX91" s="83"/>
      <c r="AY91" s="3"/>
      <c r="AZ91" s="73"/>
      <c r="BB91" s="83"/>
      <c r="BC91" s="3"/>
      <c r="BD91" s="73"/>
    </row>
    <row r="92" spans="1:56" x14ac:dyDescent="0.25">
      <c r="A92" s="21"/>
      <c r="B92" s="1" t="str">
        <f>"Actuals as of "&amp;TEXT(C17,"mm/dd/yyyy")</f>
        <v>Actuals as of 02/16/2017</v>
      </c>
      <c r="C92" s="3">
        <v>690674.82</v>
      </c>
      <c r="D92" s="30"/>
      <c r="E92" s="3">
        <v>12299.94</v>
      </c>
      <c r="F92" s="36"/>
      <c r="G92" s="3">
        <v>44339.71</v>
      </c>
      <c r="H92" s="36"/>
      <c r="I92" s="3">
        <v>45981.45</v>
      </c>
      <c r="J92" s="36"/>
      <c r="K92" s="3">
        <v>13519.15</v>
      </c>
      <c r="L92" s="36"/>
      <c r="M92" s="3">
        <v>6749.97</v>
      </c>
      <c r="N92" s="36"/>
      <c r="O92" s="3">
        <v>6281.1</v>
      </c>
      <c r="P92" s="36"/>
      <c r="Q92" s="3">
        <v>19463.080000000002</v>
      </c>
      <c r="R92" s="36"/>
      <c r="S92" s="3">
        <v>26391.66</v>
      </c>
      <c r="T92" s="36"/>
      <c r="U92" s="3">
        <v>41712.160000000003</v>
      </c>
      <c r="V92" s="36"/>
      <c r="W92" s="3">
        <v>29988.23</v>
      </c>
      <c r="X92" s="36"/>
      <c r="Y92" s="3">
        <v>24652.12</v>
      </c>
      <c r="Z92" s="36"/>
      <c r="AA92" s="3">
        <v>10917.42</v>
      </c>
      <c r="AB92" s="36"/>
      <c r="AC92" s="66"/>
      <c r="AE92" s="51"/>
      <c r="AF92" s="2">
        <f>SUM(C92,E92,G92,I92,K92,M92,O92,Q92,S92,U92,W92,Y92,AA92)</f>
        <v>972970.80999999982</v>
      </c>
      <c r="AG92" s="2"/>
      <c r="AH92" s="85"/>
      <c r="AI92" s="51"/>
      <c r="AM92" s="39"/>
      <c r="AN92" s="73"/>
    </row>
    <row r="93" spans="1:56" x14ac:dyDescent="0.25">
      <c r="B93" s="1" t="str">
        <f>"Encumb. as of "&amp;TEXT(C17,"mm/dd/yyyy")</f>
        <v>Encumb. as of 02/16/2017</v>
      </c>
      <c r="C93" s="3">
        <v>475060.77</v>
      </c>
      <c r="D93" s="30"/>
      <c r="E93" s="3">
        <v>21644.49</v>
      </c>
      <c r="F93" s="36"/>
      <c r="G93" s="3">
        <v>10028.94</v>
      </c>
      <c r="H93" s="36"/>
      <c r="I93" s="3">
        <v>30065.16</v>
      </c>
      <c r="J93" s="36"/>
      <c r="K93" s="3">
        <v>3027.96</v>
      </c>
      <c r="L93" s="36"/>
      <c r="M93" s="3">
        <v>5778.15</v>
      </c>
      <c r="N93" s="36"/>
      <c r="O93" s="3">
        <v>150</v>
      </c>
      <c r="P93" s="36"/>
      <c r="Q93" s="3">
        <v>33992.699999999997</v>
      </c>
      <c r="R93" s="36"/>
      <c r="S93" s="3">
        <v>17630.77</v>
      </c>
      <c r="T93" s="36"/>
      <c r="U93" s="3">
        <v>5708.04</v>
      </c>
      <c r="V93" s="36"/>
      <c r="W93" s="3">
        <v>41894.050000000003</v>
      </c>
      <c r="X93" s="36"/>
      <c r="Y93" s="3">
        <v>75</v>
      </c>
      <c r="Z93" s="36"/>
      <c r="AA93" s="3">
        <v>3758.86</v>
      </c>
      <c r="AB93" s="36"/>
      <c r="AC93" s="66"/>
      <c r="AF93" s="2">
        <f>SUM(C93,E93,G93,I93,K93,M93,O93,Q93,S93,U93,W93,Y93,AA93)</f>
        <v>648814.89</v>
      </c>
      <c r="AG93" s="2"/>
      <c r="AI93" s="39"/>
    </row>
    <row r="94" spans="1:56" ht="15" customHeight="1" x14ac:dyDescent="0.25">
      <c r="B94" s="13" t="s">
        <v>118</v>
      </c>
      <c r="C94" s="24">
        <f>SUM(C92:C93)</f>
        <v>1165735.5899999999</v>
      </c>
      <c r="D94" s="30"/>
      <c r="E94" s="24">
        <f>SUM(E92:E93)</f>
        <v>33944.43</v>
      </c>
      <c r="F94" s="36"/>
      <c r="G94" s="24">
        <f>SUM(G92:G93)</f>
        <v>54368.65</v>
      </c>
      <c r="H94" s="36"/>
      <c r="I94" s="24">
        <f>SUM(I92:I93)</f>
        <v>76046.61</v>
      </c>
      <c r="J94" s="36"/>
      <c r="K94" s="24">
        <f>SUM(K92:K93)</f>
        <v>16547.11</v>
      </c>
      <c r="L94" s="36"/>
      <c r="M94" s="24">
        <f>SUM(M92:M93)</f>
        <v>12528.119999999999</v>
      </c>
      <c r="N94" s="36"/>
      <c r="O94" s="24">
        <f>SUM(O92:O93)</f>
        <v>6431.1</v>
      </c>
      <c r="P94" s="36"/>
      <c r="Q94" s="24">
        <f>SUM(Q92:Q93)</f>
        <v>53455.78</v>
      </c>
      <c r="R94" s="36"/>
      <c r="S94" s="24">
        <f>SUM(S92:S93)</f>
        <v>44022.43</v>
      </c>
      <c r="T94" s="36"/>
      <c r="U94" s="24">
        <f>SUM(U92:U93)</f>
        <v>47420.200000000004</v>
      </c>
      <c r="V94" s="36"/>
      <c r="W94" s="24">
        <f>SUM(W92:W93)</f>
        <v>71882.28</v>
      </c>
      <c r="X94" s="36"/>
      <c r="Y94" s="24">
        <f>SUM(Y92:Y93)</f>
        <v>24727.119999999999</v>
      </c>
      <c r="Z94" s="36"/>
      <c r="AA94" s="24">
        <f>SUM(AA92:AA93)</f>
        <v>14676.28</v>
      </c>
      <c r="AB94" s="36"/>
      <c r="AC94" s="66"/>
      <c r="AD94" s="76"/>
      <c r="AE94" s="76"/>
      <c r="AF94" s="8">
        <f>SUM(AF92:AF93)</f>
        <v>1621785.6999999997</v>
      </c>
      <c r="AG94" s="2"/>
    </row>
    <row r="95" spans="1:56" x14ac:dyDescent="0.25">
      <c r="C95" s="3"/>
      <c r="D95" s="30"/>
      <c r="E95" s="3"/>
      <c r="F95" s="36"/>
      <c r="G95" s="3"/>
      <c r="H95" s="36"/>
      <c r="I95" s="3"/>
      <c r="J95" s="36"/>
      <c r="K95" s="3"/>
      <c r="L95" s="36"/>
      <c r="M95" s="3"/>
      <c r="N95" s="36"/>
      <c r="O95" s="3"/>
      <c r="P95" s="36"/>
      <c r="Q95" s="3"/>
      <c r="R95" s="36"/>
      <c r="S95" s="3"/>
      <c r="T95" s="36"/>
      <c r="U95" s="3"/>
      <c r="V95" s="36"/>
      <c r="W95" s="3"/>
      <c r="X95" s="36"/>
      <c r="Y95" s="3"/>
      <c r="Z95" s="36"/>
      <c r="AA95" s="3"/>
      <c r="AB95" s="36"/>
      <c r="AC95" s="66"/>
      <c r="AD95" s="76"/>
      <c r="AE95" s="76"/>
      <c r="AF95" s="2"/>
      <c r="AG95" s="2"/>
    </row>
    <row r="96" spans="1:56" x14ac:dyDescent="0.25">
      <c r="B96" s="1" t="s">
        <v>49</v>
      </c>
      <c r="C96" s="3">
        <f>C84-C94</f>
        <v>598888.78000000026</v>
      </c>
      <c r="D96" s="30"/>
      <c r="E96" s="3">
        <f>E84-E94</f>
        <v>24134.57</v>
      </c>
      <c r="F96" s="36"/>
      <c r="G96" s="3">
        <f>G84-G94</f>
        <v>9495.3499999999985</v>
      </c>
      <c r="H96" s="36"/>
      <c r="I96" s="3">
        <f>I84-I94</f>
        <v>72562.39</v>
      </c>
      <c r="J96" s="36"/>
      <c r="K96" s="3">
        <f>K84-K94</f>
        <v>43495.89</v>
      </c>
      <c r="L96" s="36"/>
      <c r="M96" s="3">
        <f>M84-M94</f>
        <v>53044.880000000005</v>
      </c>
      <c r="N96" s="36"/>
      <c r="O96" s="3">
        <f>O84-O94</f>
        <v>69522.899999999994</v>
      </c>
      <c r="P96" s="36"/>
      <c r="Q96" s="3">
        <f>Q84-Q94</f>
        <v>7832.2200000000012</v>
      </c>
      <c r="R96" s="36"/>
      <c r="S96" s="3">
        <f>S84-S94</f>
        <v>62596.57</v>
      </c>
      <c r="T96" s="36"/>
      <c r="U96" s="3">
        <f>U84-U94</f>
        <v>20340.799999999996</v>
      </c>
      <c r="V96" s="36"/>
      <c r="W96" s="3">
        <f>W84-W94</f>
        <v>29077.72</v>
      </c>
      <c r="X96" s="36"/>
      <c r="Y96" s="3">
        <f>Y84-Y94</f>
        <v>30243.88</v>
      </c>
      <c r="Z96" s="36"/>
      <c r="AA96" s="3">
        <f>AA84-AA94</f>
        <v>48872.72</v>
      </c>
      <c r="AB96" s="36"/>
      <c r="AC96" s="66"/>
      <c r="AF96" s="3">
        <f>AF84-AF94</f>
        <v>972686.67000000039</v>
      </c>
      <c r="AG96" s="2"/>
    </row>
    <row r="99" spans="1:32" ht="15" customHeight="1" x14ac:dyDescent="0.25">
      <c r="A99" s="2187" t="s">
        <v>132</v>
      </c>
      <c r="B99" s="2187"/>
      <c r="C99" s="2">
        <v>338000</v>
      </c>
      <c r="D99" s="2" t="s">
        <v>130</v>
      </c>
      <c r="E99" s="2">
        <v>0</v>
      </c>
      <c r="G99" s="2">
        <v>39000</v>
      </c>
      <c r="H99" s="39" t="s">
        <v>134</v>
      </c>
      <c r="I99" s="2">
        <v>0</v>
      </c>
      <c r="K99" s="2">
        <v>39000</v>
      </c>
      <c r="L99" s="39" t="s">
        <v>134</v>
      </c>
      <c r="M99" s="2">
        <v>0</v>
      </c>
      <c r="O99" s="2">
        <v>61621</v>
      </c>
      <c r="P99" s="39" t="s">
        <v>134</v>
      </c>
      <c r="Q99" s="2">
        <v>16378.88</v>
      </c>
      <c r="R99" s="39" t="s">
        <v>134</v>
      </c>
      <c r="S99" s="2">
        <v>0</v>
      </c>
      <c r="U99" s="2">
        <v>0</v>
      </c>
      <c r="W99" s="2">
        <v>0</v>
      </c>
      <c r="Y99" s="2">
        <v>0</v>
      </c>
      <c r="AA99" s="2">
        <v>0</v>
      </c>
      <c r="AF99" s="2">
        <f>SUM(C99,E99,G99,I99,K99,M99,O99,Q99,S99,U99,W99,Y99,AA99)</f>
        <v>493999.88</v>
      </c>
    </row>
    <row r="100" spans="1:32" x14ac:dyDescent="0.25">
      <c r="A100" s="2187"/>
      <c r="B100" s="2187"/>
      <c r="C100" s="45">
        <v>26000</v>
      </c>
      <c r="D100" s="2" t="s">
        <v>131</v>
      </c>
      <c r="E100" s="45">
        <v>0</v>
      </c>
      <c r="G100" s="45">
        <v>0</v>
      </c>
      <c r="I100" s="45">
        <v>0</v>
      </c>
      <c r="K100" s="45">
        <v>0</v>
      </c>
      <c r="M100" s="45">
        <v>0</v>
      </c>
      <c r="O100" s="45">
        <v>0</v>
      </c>
      <c r="Q100" s="45">
        <v>0</v>
      </c>
      <c r="S100" s="45">
        <v>0</v>
      </c>
      <c r="U100" s="45">
        <v>0</v>
      </c>
      <c r="W100" s="45">
        <v>0</v>
      </c>
      <c r="Y100" s="45">
        <v>0</v>
      </c>
      <c r="AA100" s="45">
        <v>0</v>
      </c>
      <c r="AF100" s="2">
        <f>SUM(C100,E100,G100,I100,K100,M100,O100,Q100,S100,U100,W100,Y100,AA100)</f>
        <v>26000</v>
      </c>
    </row>
    <row r="101" spans="1:32" x14ac:dyDescent="0.25">
      <c r="C101" s="2">
        <v>75000</v>
      </c>
      <c r="D101" s="2" t="s">
        <v>133</v>
      </c>
      <c r="E101" s="2">
        <v>0</v>
      </c>
      <c r="G101" s="2">
        <v>0</v>
      </c>
      <c r="I101" s="2">
        <v>0</v>
      </c>
      <c r="K101" s="2">
        <v>0</v>
      </c>
      <c r="M101" s="2">
        <v>0</v>
      </c>
      <c r="O101" s="2">
        <v>0</v>
      </c>
      <c r="Q101" s="2">
        <v>0</v>
      </c>
      <c r="S101" s="2">
        <v>0</v>
      </c>
      <c r="U101" s="2">
        <v>0</v>
      </c>
      <c r="W101" s="2">
        <v>0</v>
      </c>
      <c r="Y101" s="2">
        <v>0</v>
      </c>
      <c r="AA101" s="2">
        <v>0</v>
      </c>
      <c r="AF101" s="2">
        <f>SUM(C101,E101,G101,I101,K101,M101,O101,Q101,S101,U101,W101,Y101,AA101)</f>
        <v>75000</v>
      </c>
    </row>
    <row r="102" spans="1:32" ht="15" customHeight="1" x14ac:dyDescent="0.25">
      <c r="C102" s="2">
        <v>0</v>
      </c>
      <c r="D102" s="2"/>
      <c r="E102" s="2">
        <v>0</v>
      </c>
      <c r="G102" s="2">
        <v>0</v>
      </c>
      <c r="I102" s="2">
        <v>0</v>
      </c>
      <c r="K102" s="2">
        <v>0</v>
      </c>
      <c r="M102" s="2">
        <v>0</v>
      </c>
      <c r="O102" s="2">
        <v>0</v>
      </c>
      <c r="Q102" s="2">
        <v>0</v>
      </c>
      <c r="S102" s="2">
        <v>0</v>
      </c>
      <c r="U102" s="2">
        <v>0</v>
      </c>
      <c r="W102" s="2">
        <v>0</v>
      </c>
      <c r="Y102" s="2">
        <v>0</v>
      </c>
      <c r="AA102" s="2">
        <v>0</v>
      </c>
      <c r="AD102" s="2187"/>
      <c r="AE102" s="2187"/>
      <c r="AF102" s="2">
        <f>SUM(C102,E102,G102,I102,K102,M102,O102,Q102,S102,U102,W102,Y102,AA102)</f>
        <v>0</v>
      </c>
    </row>
    <row r="103" spans="1:32" x14ac:dyDescent="0.25">
      <c r="C103" s="16">
        <v>0</v>
      </c>
      <c r="D103" s="2"/>
      <c r="E103" s="16">
        <v>0</v>
      </c>
      <c r="G103" s="16">
        <v>0</v>
      </c>
      <c r="I103" s="16">
        <v>0</v>
      </c>
      <c r="K103" s="16">
        <v>0</v>
      </c>
      <c r="M103" s="16">
        <v>0</v>
      </c>
      <c r="O103" s="16">
        <v>0</v>
      </c>
      <c r="Q103" s="16">
        <v>0</v>
      </c>
      <c r="S103" s="16">
        <v>0</v>
      </c>
      <c r="U103" s="16">
        <v>0</v>
      </c>
      <c r="W103" s="16">
        <v>0</v>
      </c>
      <c r="Y103" s="16">
        <v>0</v>
      </c>
      <c r="AA103" s="16">
        <v>0</v>
      </c>
      <c r="AD103" s="2187"/>
      <c r="AE103" s="2187"/>
      <c r="AF103" s="2">
        <f>SUM(C103,E103,G103,I103,K103,M103,O103,Q103,S103,U103,W103,Y103,AA103)</f>
        <v>0</v>
      </c>
    </row>
    <row r="104" spans="1:32" x14ac:dyDescent="0.25">
      <c r="C104" s="38">
        <f>SUM(C99:C103)</f>
        <v>439000</v>
      </c>
      <c r="D104" s="2" t="s">
        <v>57</v>
      </c>
      <c r="E104" s="38">
        <f>SUM(E99:E103)</f>
        <v>0</v>
      </c>
      <c r="G104" s="38">
        <f>SUM(G99:G103)</f>
        <v>39000</v>
      </c>
      <c r="I104" s="38">
        <f>SUM(I99:I103)</f>
        <v>0</v>
      </c>
      <c r="K104" s="38">
        <f>SUM(K99:K103)</f>
        <v>39000</v>
      </c>
      <c r="M104" s="38">
        <f>SUM(M99:M103)</f>
        <v>0</v>
      </c>
      <c r="O104" s="38">
        <f>SUM(O99:O103)</f>
        <v>61621</v>
      </c>
      <c r="Q104" s="38">
        <f>SUM(Q99:Q103)</f>
        <v>16378.88</v>
      </c>
      <c r="S104" s="38">
        <f>SUM(S99:S103)</f>
        <v>0</v>
      </c>
      <c r="U104" s="38">
        <f>SUM(U99:U103)</f>
        <v>0</v>
      </c>
      <c r="W104" s="38">
        <f>SUM(W99:W103)</f>
        <v>0</v>
      </c>
      <c r="Y104" s="38">
        <f>SUM(Y99:Y103)</f>
        <v>0</v>
      </c>
      <c r="AA104" s="38">
        <f>SUM(AA99:AA103)</f>
        <v>0</v>
      </c>
      <c r="AF104" s="38">
        <f>SUM(AF99:AF103)</f>
        <v>594999.88</v>
      </c>
    </row>
    <row r="105" spans="1:32" x14ac:dyDescent="0.25">
      <c r="C105"/>
      <c r="D105" s="2"/>
      <c r="I105" s="39"/>
    </row>
    <row r="106" spans="1:32" x14ac:dyDescent="0.25">
      <c r="C106" s="2"/>
      <c r="D106" s="2"/>
      <c r="P106" s="45"/>
    </row>
    <row r="107" spans="1:32" ht="28.5" customHeight="1" x14ac:dyDescent="0.25">
      <c r="A107" s="2187" t="s">
        <v>135</v>
      </c>
      <c r="B107" s="2187"/>
      <c r="C107" s="49">
        <f>C96-C104</f>
        <v>159888.78000000026</v>
      </c>
      <c r="E107" s="49">
        <f>E96-E104</f>
        <v>24134.57</v>
      </c>
      <c r="G107" s="49">
        <f>G96-G104</f>
        <v>-29504.65</v>
      </c>
      <c r="I107" s="49">
        <f>I96-I104</f>
        <v>72562.39</v>
      </c>
      <c r="K107" s="49">
        <f>K96-K104</f>
        <v>4495.8899999999994</v>
      </c>
      <c r="M107" s="49">
        <f>M96-M104</f>
        <v>53044.880000000005</v>
      </c>
      <c r="O107" s="49">
        <f>O96-O104</f>
        <v>7901.8999999999942</v>
      </c>
      <c r="Q107" s="49">
        <f>Q96-Q104</f>
        <v>-8546.659999999998</v>
      </c>
      <c r="S107" s="49">
        <f>S96-S104</f>
        <v>62596.57</v>
      </c>
      <c r="U107" s="49">
        <f>U96-U104</f>
        <v>20340.799999999996</v>
      </c>
      <c r="W107" s="49">
        <f>W96-W104</f>
        <v>29077.72</v>
      </c>
      <c r="Y107" s="49">
        <f>Y96-Y104</f>
        <v>30243.88</v>
      </c>
      <c r="AA107" s="49">
        <f>AA96-AA104</f>
        <v>48872.72</v>
      </c>
      <c r="AF107" s="49">
        <f>AF96-AF104</f>
        <v>377686.79000000039</v>
      </c>
    </row>
    <row r="108" spans="1:32" x14ac:dyDescent="0.25">
      <c r="A108" s="54"/>
      <c r="B108" s="54"/>
      <c r="C108" s="2"/>
      <c r="D108" s="2"/>
    </row>
    <row r="109" spans="1:32" x14ac:dyDescent="0.25">
      <c r="C109" s="2"/>
      <c r="D109" s="2"/>
    </row>
  </sheetData>
  <mergeCells count="7">
    <mergeCell ref="A99:B100"/>
    <mergeCell ref="A107:B107"/>
    <mergeCell ref="A6:G6"/>
    <mergeCell ref="AD102:AE103"/>
    <mergeCell ref="H6:N6"/>
    <mergeCell ref="O6:U6"/>
    <mergeCell ref="V6:AB6"/>
  </mergeCells>
  <pageMargins left="0.25" right="0.25" top="0.17" bottom="0.17" header="0.17" footer="0.17"/>
  <pageSetup paperSize="17" scale="39" orientation="landscape" r:id="rId1"/>
  <headerFooter>
    <oddHeader>&amp;R&amp;A</oddHeader>
    <oddFooter>&amp;L&amp;F&amp;R&amp;A</oddFooter>
  </headerFooter>
  <colBreaks count="1" manualBreakCount="1">
    <brk id="8" max="1048575" man="1"/>
  </colBreaks>
  <ignoredErrors>
    <ignoredError sqref="A56 A41:A42 A21:A27 A80:A81 A83:A85 A29:A38 A71 A74 A76:A78 A66:A69" numberStoredAsText="1"/>
  </ignoredError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55"/>
  <sheetViews>
    <sheetView zoomScale="115" zoomScaleNormal="115" workbookViewId="0">
      <selection activeCell="C10" sqref="C10"/>
    </sheetView>
  </sheetViews>
  <sheetFormatPr defaultRowHeight="15" x14ac:dyDescent="0.25"/>
  <cols>
    <col min="1" max="1" width="8.5703125" style="37" customWidth="1"/>
    <col min="2" max="2" width="18.42578125" style="2" customWidth="1"/>
    <col min="3" max="3" width="16" style="3" customWidth="1"/>
    <col min="4" max="4" width="53.42578125" style="30" customWidth="1"/>
    <col min="5" max="5" width="16" style="2" customWidth="1"/>
    <col min="6" max="6" width="32.5703125" style="2" customWidth="1"/>
    <col min="7" max="7" width="16" style="2" customWidth="1"/>
    <col min="8" max="8" width="40.42578125" style="2" bestFit="1" customWidth="1"/>
    <col min="9" max="9" width="16" style="161" customWidth="1"/>
    <col min="10" max="10" width="26.7109375" style="2" bestFit="1" customWidth="1"/>
    <col min="11" max="11" width="16" style="2" customWidth="1"/>
    <col min="12" max="12" width="40.42578125" style="2" bestFit="1" customWidth="1"/>
    <col min="13" max="13" width="16" style="2" customWidth="1"/>
    <col min="14" max="14" width="26.7109375" style="2" bestFit="1" customWidth="1"/>
    <col min="15" max="15" width="16" style="2" customWidth="1"/>
    <col min="16" max="16" width="40.42578125" style="2" bestFit="1" customWidth="1"/>
    <col min="17" max="17" width="16" style="2" customWidth="1"/>
    <col min="18" max="18" width="54.140625" style="2" bestFit="1" customWidth="1"/>
    <col min="19" max="19" width="16" style="161" customWidth="1"/>
    <col min="20" max="20" width="47.5703125" style="2" bestFit="1" customWidth="1"/>
    <col min="21" max="21" width="16" style="2" customWidth="1"/>
    <col min="22" max="22" width="47.5703125" style="2" bestFit="1" customWidth="1"/>
    <col min="23" max="23" width="16" style="161" customWidth="1"/>
    <col min="24" max="24" width="47.5703125" style="2" bestFit="1" customWidth="1"/>
    <col min="25" max="25" width="16" style="2" customWidth="1"/>
    <col min="26" max="26" width="26.7109375" style="2" bestFit="1" customWidth="1"/>
    <col min="27" max="27" width="16" style="2" customWidth="1"/>
    <col min="28" max="28" width="47.5703125" style="2" bestFit="1" customWidth="1"/>
    <col min="29" max="29" width="4.140625" style="108" customWidth="1"/>
    <col min="30" max="30" width="8.5703125" style="37" customWidth="1"/>
    <col min="31" max="31" width="18.28515625" style="2" customWidth="1"/>
    <col min="32" max="32" width="16" style="2" customWidth="1"/>
    <col min="33" max="33" width="37.140625" style="2" bestFit="1" customWidth="1"/>
    <col min="34" max="34" width="23.85546875" style="2" bestFit="1" customWidth="1"/>
    <col min="35" max="16384" width="9.140625" style="2"/>
  </cols>
  <sheetData>
    <row r="1" spans="1:32" x14ac:dyDescent="0.25">
      <c r="A1" s="37" t="s">
        <v>61</v>
      </c>
      <c r="B1" s="17" t="s">
        <v>60</v>
      </c>
      <c r="C1" s="278"/>
      <c r="D1" s="279" t="s">
        <v>59</v>
      </c>
      <c r="E1" s="280">
        <v>3010</v>
      </c>
      <c r="AD1" s="281"/>
      <c r="AE1" s="36"/>
    </row>
    <row r="2" spans="1:32" x14ac:dyDescent="0.25">
      <c r="A2" s="37" t="s">
        <v>58</v>
      </c>
      <c r="B2" s="17" t="s">
        <v>57</v>
      </c>
      <c r="C2" s="278"/>
      <c r="AE2" s="36"/>
    </row>
    <row r="6" spans="1:32" s="853" customFormat="1" ht="15.75" x14ac:dyDescent="0.25">
      <c r="A6" s="851" t="s">
        <v>672</v>
      </c>
      <c r="B6" s="851"/>
      <c r="C6" s="851"/>
      <c r="D6" s="851"/>
      <c r="E6" s="851" t="str">
        <f>+A6</f>
        <v>2017-2018</v>
      </c>
      <c r="F6" s="851"/>
      <c r="G6" s="851"/>
      <c r="H6" s="2214" t="str">
        <f>+A6</f>
        <v>2017-2018</v>
      </c>
      <c r="I6" s="2214"/>
      <c r="J6" s="2214"/>
      <c r="K6" s="2214"/>
      <c r="L6" s="2214"/>
      <c r="M6" s="2214"/>
      <c r="N6" s="2214"/>
      <c r="O6" s="2214" t="str">
        <f>+A6</f>
        <v>2017-2018</v>
      </c>
      <c r="P6" s="2214"/>
      <c r="Q6" s="2214"/>
      <c r="R6" s="2214"/>
      <c r="S6" s="2214"/>
      <c r="T6" s="2214"/>
      <c r="U6" s="2214"/>
      <c r="V6" s="2214" t="str">
        <f>+A6</f>
        <v>2017-2018</v>
      </c>
      <c r="W6" s="2214"/>
      <c r="X6" s="2214"/>
      <c r="Y6" s="2214"/>
      <c r="Z6" s="2214"/>
      <c r="AA6" s="2214"/>
      <c r="AB6" s="2214"/>
      <c r="AC6" s="852"/>
      <c r="AF6" s="852" t="str">
        <f>+A6</f>
        <v>2017-2018</v>
      </c>
    </row>
    <row r="7" spans="1:32" x14ac:dyDescent="0.25">
      <c r="A7" s="126" t="s">
        <v>54</v>
      </c>
      <c r="C7" s="3">
        <v>0</v>
      </c>
      <c r="AD7" s="126" t="str">
        <f>A7</f>
        <v>Beginning Balance</v>
      </c>
      <c r="AF7" s="2">
        <f>C7</f>
        <v>0</v>
      </c>
    </row>
    <row r="8" spans="1:32" x14ac:dyDescent="0.25">
      <c r="B8" s="617" t="s">
        <v>780</v>
      </c>
      <c r="C8" s="1004"/>
      <c r="G8" s="37" t="s">
        <v>112</v>
      </c>
    </row>
    <row r="9" spans="1:32" x14ac:dyDescent="0.25">
      <c r="A9" s="37" t="s">
        <v>52</v>
      </c>
      <c r="B9" s="2" t="s">
        <v>778</v>
      </c>
      <c r="C9" s="3">
        <f>+E11</f>
        <v>1668077</v>
      </c>
      <c r="D9" s="37" t="s">
        <v>113</v>
      </c>
      <c r="E9" s="3">
        <v>1962443</v>
      </c>
      <c r="F9" s="130" t="s">
        <v>62</v>
      </c>
      <c r="G9" s="2">
        <v>400423.37</v>
      </c>
      <c r="AD9" s="126" t="str">
        <f>A9</f>
        <v>Revenue</v>
      </c>
      <c r="AE9" s="2" t="str">
        <f>B9</f>
        <v>Current Year - 2017-18</v>
      </c>
      <c r="AF9" s="2">
        <f>C9</f>
        <v>1668077</v>
      </c>
    </row>
    <row r="10" spans="1:32" x14ac:dyDescent="0.25">
      <c r="B10" s="2" t="s">
        <v>51</v>
      </c>
      <c r="C10" s="3">
        <v>1062358.3700000001</v>
      </c>
      <c r="D10" s="37" t="s">
        <v>111</v>
      </c>
      <c r="E10" s="2">
        <f>ROUND(+E9*0.15,0)</f>
        <v>294366</v>
      </c>
      <c r="F10" s="130" t="s">
        <v>62</v>
      </c>
      <c r="G10" s="2">
        <v>449954</v>
      </c>
      <c r="AE10" s="2" t="str">
        <f>B10</f>
        <v>Prior Carryover</v>
      </c>
      <c r="AF10" s="2">
        <f>C10</f>
        <v>1062358.3700000001</v>
      </c>
    </row>
    <row r="11" spans="1:32" x14ac:dyDescent="0.25">
      <c r="A11" s="126" t="s">
        <v>137</v>
      </c>
      <c r="C11" s="24">
        <f>SUM(C8:C10)</f>
        <v>2730435.37</v>
      </c>
      <c r="E11" s="160">
        <f>+E9-E10</f>
        <v>1668077</v>
      </c>
      <c r="F11" s="130" t="s">
        <v>63</v>
      </c>
      <c r="G11" s="17">
        <v>211981</v>
      </c>
      <c r="AD11" s="126" t="str">
        <f>A11</f>
        <v>TOTAL REVENUE</v>
      </c>
      <c r="AF11" s="8">
        <f>SUM(AF9:AF10)</f>
        <v>2730435.37</v>
      </c>
    </row>
    <row r="12" spans="1:32" x14ac:dyDescent="0.25">
      <c r="F12" s="130"/>
      <c r="G12" s="10">
        <f>SUM(G9:G11)</f>
        <v>1062358.3700000001</v>
      </c>
    </row>
    <row r="13" spans="1:32" x14ac:dyDescent="0.25">
      <c r="A13" s="1005">
        <v>3.6999999999999998E-2</v>
      </c>
      <c r="B13" s="2" t="s">
        <v>64</v>
      </c>
      <c r="C13" s="3">
        <f>ROUND(C11-(C11/(1+A13)),0)</f>
        <v>97422</v>
      </c>
      <c r="E13" s="2">
        <f>+E9*0.1</f>
        <v>196244.30000000002</v>
      </c>
      <c r="AD13" s="52">
        <f>A13</f>
        <v>3.6999999999999998E-2</v>
      </c>
      <c r="AE13" s="10" t="str">
        <f>B13</f>
        <v>Indirect Costs</v>
      </c>
      <c r="AF13" s="10">
        <f>C13</f>
        <v>97422</v>
      </c>
    </row>
    <row r="15" spans="1:32" x14ac:dyDescent="0.25">
      <c r="A15" s="126" t="s">
        <v>50</v>
      </c>
      <c r="C15" s="9">
        <f>SUM(C7,C11)-C13</f>
        <v>2633013.37</v>
      </c>
      <c r="D15" s="33"/>
      <c r="AD15" s="126" t="str">
        <f>A15</f>
        <v xml:space="preserve">TOTAL AVAILABLE </v>
      </c>
      <c r="AF15" s="10">
        <f>AF11-AF13</f>
        <v>2633013.37</v>
      </c>
    </row>
    <row r="16" spans="1:32" x14ac:dyDescent="0.25">
      <c r="D16" s="285"/>
    </row>
    <row r="17" spans="1:33" x14ac:dyDescent="0.25">
      <c r="B17" s="37" t="s">
        <v>98</v>
      </c>
      <c r="C17" s="320"/>
      <c r="D17" s="32"/>
      <c r="AE17" s="37"/>
    </row>
    <row r="18" spans="1:33" x14ac:dyDescent="0.25">
      <c r="C18" s="9" t="s">
        <v>715</v>
      </c>
      <c r="D18" s="32"/>
      <c r="E18" s="9" t="s">
        <v>715</v>
      </c>
      <c r="F18" s="32"/>
      <c r="G18" s="9" t="s">
        <v>715</v>
      </c>
      <c r="H18" s="32"/>
      <c r="I18" s="809" t="s">
        <v>715</v>
      </c>
      <c r="J18" s="32"/>
      <c r="K18" s="9" t="s">
        <v>715</v>
      </c>
      <c r="L18" s="32"/>
      <c r="M18" s="9" t="s">
        <v>715</v>
      </c>
      <c r="N18" s="32"/>
      <c r="O18" s="9" t="s">
        <v>715</v>
      </c>
      <c r="P18" s="32"/>
      <c r="Q18" s="9" t="s">
        <v>715</v>
      </c>
      <c r="R18" s="32"/>
      <c r="S18" s="809" t="s">
        <v>715</v>
      </c>
      <c r="T18" s="32"/>
      <c r="U18" s="9" t="s">
        <v>715</v>
      </c>
      <c r="V18" s="32"/>
      <c r="W18" s="809" t="s">
        <v>715</v>
      </c>
      <c r="X18" s="32"/>
      <c r="Y18" s="9" t="s">
        <v>715</v>
      </c>
      <c r="Z18" s="32"/>
      <c r="AA18" s="9" t="s">
        <v>715</v>
      </c>
      <c r="AB18" s="32"/>
      <c r="AC18" s="32"/>
      <c r="AF18" s="32"/>
      <c r="AG18" s="32"/>
    </row>
    <row r="19" spans="1:33" ht="17.25" x14ac:dyDescent="0.4">
      <c r="C19" s="35" t="s">
        <v>75</v>
      </c>
      <c r="D19" s="34" t="s">
        <v>47</v>
      </c>
      <c r="E19" s="35" t="s">
        <v>99</v>
      </c>
      <c r="F19" s="34" t="s">
        <v>47</v>
      </c>
      <c r="G19" s="35" t="s">
        <v>100</v>
      </c>
      <c r="H19" s="34" t="s">
        <v>47</v>
      </c>
      <c r="I19" s="810" t="s">
        <v>101</v>
      </c>
      <c r="J19" s="34" t="s">
        <v>47</v>
      </c>
      <c r="K19" s="35" t="s">
        <v>102</v>
      </c>
      <c r="L19" s="34" t="s">
        <v>47</v>
      </c>
      <c r="M19" s="35" t="s">
        <v>103</v>
      </c>
      <c r="N19" s="34" t="s">
        <v>47</v>
      </c>
      <c r="O19" s="35" t="s">
        <v>201</v>
      </c>
      <c r="P19" s="34" t="s">
        <v>47</v>
      </c>
      <c r="Q19" s="35" t="s">
        <v>202</v>
      </c>
      <c r="R19" s="34" t="s">
        <v>47</v>
      </c>
      <c r="S19" s="810" t="s">
        <v>106</v>
      </c>
      <c r="T19" s="34" t="s">
        <v>47</v>
      </c>
      <c r="U19" s="35" t="s">
        <v>107</v>
      </c>
      <c r="V19" s="34" t="s">
        <v>47</v>
      </c>
      <c r="W19" s="810" t="s">
        <v>108</v>
      </c>
      <c r="X19" s="34" t="s">
        <v>47</v>
      </c>
      <c r="Y19" s="35" t="s">
        <v>109</v>
      </c>
      <c r="Z19" s="34" t="s">
        <v>47</v>
      </c>
      <c r="AA19" s="35" t="s">
        <v>110</v>
      </c>
      <c r="AB19" s="34" t="s">
        <v>47</v>
      </c>
      <c r="AC19" s="79"/>
      <c r="AF19" s="35" t="s">
        <v>118</v>
      </c>
      <c r="AG19" s="34"/>
    </row>
    <row r="20" spans="1:33" s="10" customFormat="1" x14ac:dyDescent="0.25">
      <c r="A20" s="126" t="s">
        <v>46</v>
      </c>
      <c r="D20" s="33"/>
      <c r="F20" s="6"/>
      <c r="H20" s="6"/>
      <c r="I20" s="616"/>
      <c r="J20" s="6"/>
      <c r="L20" s="6"/>
      <c r="N20" s="6"/>
      <c r="P20" s="6"/>
      <c r="R20" s="6"/>
      <c r="S20" s="616"/>
      <c r="T20" s="6"/>
      <c r="V20" s="6"/>
      <c r="W20" s="616"/>
      <c r="X20" s="6"/>
      <c r="Z20" s="6"/>
      <c r="AB20" s="6"/>
      <c r="AC20" s="57"/>
      <c r="AD20" s="126" t="str">
        <f t="shared" ref="AD20:AE28" si="0">A20</f>
        <v xml:space="preserve">Certificated </v>
      </c>
    </row>
    <row r="21" spans="1:33" s="114" customFormat="1" x14ac:dyDescent="0.25">
      <c r="A21" s="286" t="s">
        <v>65</v>
      </c>
      <c r="B21" s="114" t="s">
        <v>66</v>
      </c>
      <c r="C21" s="117">
        <v>0</v>
      </c>
      <c r="D21" s="842" t="s">
        <v>756</v>
      </c>
      <c r="E21" s="117">
        <v>2000</v>
      </c>
      <c r="F21" s="117"/>
      <c r="G21" s="117">
        <v>1000</v>
      </c>
      <c r="H21" s="117"/>
      <c r="I21" s="811">
        <v>7313</v>
      </c>
      <c r="J21" s="117"/>
      <c r="K21" s="117">
        <f>+K138+3657</f>
        <v>11657</v>
      </c>
      <c r="L21" s="117"/>
      <c r="M21" s="117">
        <v>2600</v>
      </c>
      <c r="N21" s="117"/>
      <c r="O21" s="117">
        <v>9657</v>
      </c>
      <c r="P21" s="117"/>
      <c r="Q21" s="117">
        <f>4307+Q138</f>
        <v>7307</v>
      </c>
      <c r="R21" s="117"/>
      <c r="S21" s="811">
        <v>8207</v>
      </c>
      <c r="T21" s="117"/>
      <c r="U21" s="117">
        <v>3605</v>
      </c>
      <c r="V21" s="117"/>
      <c r="W21" s="811">
        <v>4662</v>
      </c>
      <c r="X21" s="117"/>
      <c r="Y21" s="117">
        <v>7800</v>
      </c>
      <c r="Z21" s="117"/>
      <c r="AA21" s="117">
        <v>8778</v>
      </c>
      <c r="AB21" s="117"/>
      <c r="AC21" s="118"/>
      <c r="AD21" s="286" t="str">
        <f t="shared" si="0"/>
        <v>1110</v>
      </c>
      <c r="AE21" s="114" t="str">
        <f t="shared" si="0"/>
        <v>Intervention Tchr.</v>
      </c>
      <c r="AF21" s="114">
        <f>SUM(C21,E21,G21,I21,K21,M21,O21,Q21,S21,U21,W21,Y21,AA21)</f>
        <v>74586</v>
      </c>
    </row>
    <row r="22" spans="1:33" s="114" customFormat="1" x14ac:dyDescent="0.25">
      <c r="A22" s="286" t="s">
        <v>45</v>
      </c>
      <c r="B22" s="114" t="s">
        <v>758</v>
      </c>
      <c r="C22" s="113">
        <v>9089</v>
      </c>
      <c r="D22" s="842" t="s">
        <v>757</v>
      </c>
      <c r="E22" s="114">
        <v>0</v>
      </c>
      <c r="F22" s="115"/>
      <c r="G22" s="114">
        <v>0</v>
      </c>
      <c r="H22" s="115"/>
      <c r="I22" s="812">
        <v>0</v>
      </c>
      <c r="J22" s="115"/>
      <c r="K22" s="114">
        <v>0</v>
      </c>
      <c r="L22" s="115"/>
      <c r="M22" s="114">
        <v>1050</v>
      </c>
      <c r="N22" s="115"/>
      <c r="O22" s="114">
        <v>0</v>
      </c>
      <c r="P22" s="115"/>
      <c r="Q22" s="114">
        <v>0</v>
      </c>
      <c r="R22" s="115"/>
      <c r="S22" s="812">
        <v>150</v>
      </c>
      <c r="T22" s="115"/>
      <c r="U22" s="114">
        <v>0</v>
      </c>
      <c r="V22" s="115"/>
      <c r="W22" s="812">
        <v>0</v>
      </c>
      <c r="X22" s="115"/>
      <c r="Y22" s="114">
        <v>0</v>
      </c>
      <c r="Z22" s="115"/>
      <c r="AA22" s="114">
        <v>0</v>
      </c>
      <c r="AB22" s="115"/>
      <c r="AC22" s="116"/>
      <c r="AD22" s="286" t="str">
        <f t="shared" si="0"/>
        <v>1112</v>
      </c>
      <c r="AE22" s="114" t="str">
        <f t="shared" si="0"/>
        <v>Supplemental Tchr./Extra Duty/Training</v>
      </c>
      <c r="AF22" s="114">
        <f t="shared" ref="AF22:AF28" si="1">SUM(C22,E22,G22,I22,K22,M22,O22,Q22,S22,U22,W22,Y22,AA22)</f>
        <v>10289</v>
      </c>
    </row>
    <row r="23" spans="1:33" s="114" customFormat="1" x14ac:dyDescent="0.25">
      <c r="A23" s="286" t="s">
        <v>43</v>
      </c>
      <c r="B23" s="114" t="s">
        <v>42</v>
      </c>
      <c r="C23" s="113">
        <v>69521</v>
      </c>
      <c r="D23" s="287"/>
      <c r="E23" s="114">
        <v>2500</v>
      </c>
      <c r="F23" s="115"/>
      <c r="G23" s="114">
        <v>4175</v>
      </c>
      <c r="H23" s="115"/>
      <c r="I23" s="812">
        <v>12600</v>
      </c>
      <c r="J23" s="115"/>
      <c r="K23" s="114">
        <v>9672</v>
      </c>
      <c r="L23" s="115"/>
      <c r="M23" s="114">
        <v>9310</v>
      </c>
      <c r="N23" s="115"/>
      <c r="O23" s="114">
        <v>1050</v>
      </c>
      <c r="P23" s="115"/>
      <c r="Q23" s="114">
        <v>4340</v>
      </c>
      <c r="R23" s="115"/>
      <c r="S23" s="812">
        <v>6591</v>
      </c>
      <c r="T23" s="115"/>
      <c r="U23" s="114">
        <v>7280</v>
      </c>
      <c r="V23" s="115"/>
      <c r="W23" s="812">
        <v>3310</v>
      </c>
      <c r="X23" s="115"/>
      <c r="Y23" s="114">
        <v>6300</v>
      </c>
      <c r="Z23" s="115"/>
      <c r="AA23" s="114">
        <v>10000</v>
      </c>
      <c r="AB23" s="115"/>
      <c r="AC23" s="116"/>
      <c r="AD23" s="286" t="str">
        <f t="shared" si="0"/>
        <v>1181</v>
      </c>
      <c r="AE23" s="114" t="str">
        <f t="shared" si="0"/>
        <v>Subs</v>
      </c>
      <c r="AF23" s="114">
        <f t="shared" si="1"/>
        <v>146649</v>
      </c>
    </row>
    <row r="24" spans="1:33" s="114" customFormat="1" ht="30" x14ac:dyDescent="0.25">
      <c r="A24" s="286" t="s">
        <v>41</v>
      </c>
      <c r="B24" s="114" t="s">
        <v>40</v>
      </c>
      <c r="C24" s="113">
        <v>250203</v>
      </c>
      <c r="D24" s="288" t="s">
        <v>206</v>
      </c>
      <c r="E24" s="114">
        <v>0</v>
      </c>
      <c r="F24" s="115"/>
      <c r="G24" s="114">
        <v>0</v>
      </c>
      <c r="H24" s="115"/>
      <c r="I24" s="812">
        <v>0</v>
      </c>
      <c r="J24" s="115"/>
      <c r="K24" s="114">
        <v>0</v>
      </c>
      <c r="L24" s="115"/>
      <c r="M24" s="114">
        <v>0</v>
      </c>
      <c r="N24" s="115"/>
      <c r="O24" s="114">
        <v>0</v>
      </c>
      <c r="P24" s="115"/>
      <c r="Q24" s="114">
        <v>0</v>
      </c>
      <c r="R24" s="115"/>
      <c r="S24" s="812">
        <v>0</v>
      </c>
      <c r="T24" s="115"/>
      <c r="U24" s="114">
        <v>0</v>
      </c>
      <c r="V24" s="115"/>
      <c r="W24" s="812">
        <v>0</v>
      </c>
      <c r="X24" s="115"/>
      <c r="Y24" s="114">
        <v>0</v>
      </c>
      <c r="Z24" s="115"/>
      <c r="AA24" s="114">
        <v>0</v>
      </c>
      <c r="AB24" s="115"/>
      <c r="AC24" s="116"/>
      <c r="AD24" s="286" t="str">
        <f t="shared" si="0"/>
        <v>1204</v>
      </c>
      <c r="AE24" s="114" t="str">
        <f t="shared" si="0"/>
        <v>Counselor</v>
      </c>
      <c r="AF24" s="114">
        <f t="shared" si="1"/>
        <v>250203</v>
      </c>
    </row>
    <row r="25" spans="1:33" s="114" customFormat="1" x14ac:dyDescent="0.25">
      <c r="A25" s="286" t="s">
        <v>67</v>
      </c>
      <c r="B25" s="114" t="s">
        <v>68</v>
      </c>
      <c r="C25" s="113">
        <v>0</v>
      </c>
      <c r="E25" s="114">
        <v>500</v>
      </c>
      <c r="F25" s="115"/>
      <c r="G25" s="114">
        <v>0</v>
      </c>
      <c r="H25" s="115"/>
      <c r="I25" s="812">
        <v>457</v>
      </c>
      <c r="J25" s="115"/>
      <c r="K25" s="114">
        <v>0</v>
      </c>
      <c r="L25" s="115"/>
      <c r="M25" s="114">
        <v>0</v>
      </c>
      <c r="N25" s="115"/>
      <c r="O25" s="114">
        <v>0</v>
      </c>
      <c r="P25" s="115"/>
      <c r="Q25" s="114">
        <v>863</v>
      </c>
      <c r="R25" s="115"/>
      <c r="S25" s="812">
        <v>0</v>
      </c>
      <c r="T25" s="115"/>
      <c r="U25" s="114">
        <v>0</v>
      </c>
      <c r="V25" s="115"/>
      <c r="W25" s="812">
        <v>609</v>
      </c>
      <c r="X25" s="115"/>
      <c r="Y25" s="114">
        <v>0</v>
      </c>
      <c r="Z25" s="115"/>
      <c r="AA25" s="114">
        <v>1016</v>
      </c>
      <c r="AB25" s="115"/>
      <c r="AC25" s="116"/>
      <c r="AD25" s="286" t="str">
        <f t="shared" si="0"/>
        <v>1208</v>
      </c>
      <c r="AE25" s="114" t="str">
        <f t="shared" si="0"/>
        <v>Parent Instruction</v>
      </c>
      <c r="AF25" s="114">
        <f t="shared" si="1"/>
        <v>3445</v>
      </c>
    </row>
    <row r="26" spans="1:33" s="114" customFormat="1" x14ac:dyDescent="0.25">
      <c r="A26" s="286" t="s">
        <v>39</v>
      </c>
      <c r="B26" s="114" t="s">
        <v>38</v>
      </c>
      <c r="C26" s="113">
        <v>60345</v>
      </c>
      <c r="D26" s="115" t="s">
        <v>116</v>
      </c>
      <c r="E26" s="114">
        <v>0</v>
      </c>
      <c r="F26" s="115"/>
      <c r="G26" s="114">
        <v>0</v>
      </c>
      <c r="H26" s="115"/>
      <c r="I26" s="812">
        <v>0</v>
      </c>
      <c r="J26" s="115"/>
      <c r="K26" s="114">
        <v>0</v>
      </c>
      <c r="L26" s="115"/>
      <c r="M26" s="114">
        <v>0</v>
      </c>
      <c r="N26" s="115"/>
      <c r="O26" s="114">
        <v>0</v>
      </c>
      <c r="P26" s="115"/>
      <c r="Q26" s="114">
        <v>0</v>
      </c>
      <c r="R26" s="115"/>
      <c r="S26" s="812">
        <v>0</v>
      </c>
      <c r="T26" s="115"/>
      <c r="U26" s="114">
        <v>0</v>
      </c>
      <c r="V26" s="115"/>
      <c r="W26" s="812">
        <v>0</v>
      </c>
      <c r="X26" s="115"/>
      <c r="Y26" s="114">
        <v>0</v>
      </c>
      <c r="Z26" s="115"/>
      <c r="AA26" s="114">
        <v>0</v>
      </c>
      <c r="AB26" s="115"/>
      <c r="AC26" s="116"/>
      <c r="AD26" s="286" t="str">
        <f t="shared" si="0"/>
        <v>1305</v>
      </c>
      <c r="AE26" s="114" t="str">
        <f t="shared" si="0"/>
        <v>Director</v>
      </c>
      <c r="AF26" s="114">
        <f t="shared" si="1"/>
        <v>60345</v>
      </c>
    </row>
    <row r="27" spans="1:33" s="114" customFormat="1" ht="75" x14ac:dyDescent="0.25">
      <c r="A27" s="286" t="s">
        <v>37</v>
      </c>
      <c r="B27" s="114" t="s">
        <v>36</v>
      </c>
      <c r="C27" s="117">
        <v>499600</v>
      </c>
      <c r="D27" s="288" t="s">
        <v>207</v>
      </c>
      <c r="E27" s="115">
        <v>0</v>
      </c>
      <c r="F27" s="115"/>
      <c r="G27" s="115">
        <v>0</v>
      </c>
      <c r="H27" s="115"/>
      <c r="I27" s="813">
        <v>0</v>
      </c>
      <c r="J27" s="115"/>
      <c r="K27" s="115">
        <v>0</v>
      </c>
      <c r="L27" s="115"/>
      <c r="M27" s="115">
        <v>0</v>
      </c>
      <c r="N27" s="115"/>
      <c r="O27" s="115">
        <v>0</v>
      </c>
      <c r="P27" s="115"/>
      <c r="Q27" s="115">
        <v>0</v>
      </c>
      <c r="R27" s="115"/>
      <c r="S27" s="813">
        <v>0</v>
      </c>
      <c r="T27" s="115"/>
      <c r="U27" s="115">
        <v>0</v>
      </c>
      <c r="V27" s="115"/>
      <c r="W27" s="813">
        <v>0</v>
      </c>
      <c r="X27" s="115"/>
      <c r="Y27" s="115">
        <v>0</v>
      </c>
      <c r="Z27" s="115"/>
      <c r="AA27" s="115">
        <v>0</v>
      </c>
      <c r="AB27" s="115"/>
      <c r="AC27" s="116"/>
      <c r="AD27" s="286" t="str">
        <f t="shared" si="0"/>
        <v>1901</v>
      </c>
      <c r="AE27" s="114" t="str">
        <f t="shared" si="0"/>
        <v>Inst. Coaches</v>
      </c>
      <c r="AF27" s="114">
        <f>SUM(C27,E27,G27,I27,K27,M27,O27,Q27,S27,U27,W27,Y27,AA27)</f>
        <v>499600</v>
      </c>
    </row>
    <row r="28" spans="1:33" x14ac:dyDescent="0.25">
      <c r="A28" s="130" t="s">
        <v>204</v>
      </c>
      <c r="B28" s="2" t="s">
        <v>205</v>
      </c>
      <c r="C28" s="25">
        <f>+C132</f>
        <v>10000</v>
      </c>
      <c r="E28" s="36">
        <v>0</v>
      </c>
      <c r="F28" s="36"/>
      <c r="G28" s="36">
        <v>0</v>
      </c>
      <c r="H28" s="36"/>
      <c r="I28" s="814">
        <v>0</v>
      </c>
      <c r="J28" s="36"/>
      <c r="K28" s="36">
        <v>0</v>
      </c>
      <c r="L28" s="36"/>
      <c r="M28" s="36">
        <v>0</v>
      </c>
      <c r="N28" s="36"/>
      <c r="O28" s="36">
        <v>0</v>
      </c>
      <c r="P28" s="36"/>
      <c r="Q28" s="36">
        <v>0</v>
      </c>
      <c r="R28" s="36"/>
      <c r="S28" s="814">
        <v>0</v>
      </c>
      <c r="T28" s="36"/>
      <c r="U28" s="36">
        <v>0</v>
      </c>
      <c r="V28" s="36"/>
      <c r="W28" s="814">
        <v>0</v>
      </c>
      <c r="X28" s="36"/>
      <c r="Y28" s="36">
        <v>0</v>
      </c>
      <c r="Z28" s="36"/>
      <c r="AA28" s="36">
        <v>0</v>
      </c>
      <c r="AB28" s="36"/>
      <c r="AC28" s="66"/>
      <c r="AD28" s="130" t="str">
        <f t="shared" si="0"/>
        <v>1923</v>
      </c>
      <c r="AE28" s="2" t="str">
        <f t="shared" si="0"/>
        <v>Mentors</v>
      </c>
      <c r="AF28" s="2">
        <f t="shared" si="1"/>
        <v>10000</v>
      </c>
    </row>
    <row r="29" spans="1:33" ht="6.75" customHeight="1" x14ac:dyDescent="0.25">
      <c r="A29" s="130"/>
      <c r="C29" s="25"/>
      <c r="E29" s="36"/>
      <c r="F29" s="36"/>
      <c r="G29" s="36"/>
      <c r="H29" s="36"/>
      <c r="I29" s="814"/>
      <c r="J29" s="36"/>
      <c r="K29" s="36"/>
      <c r="L29" s="36"/>
      <c r="M29" s="36"/>
      <c r="N29" s="36"/>
      <c r="O29" s="36"/>
      <c r="P29" s="36"/>
      <c r="Q29" s="36"/>
      <c r="R29" s="36"/>
      <c r="S29" s="814"/>
      <c r="T29" s="36"/>
      <c r="U29" s="36"/>
      <c r="V29" s="36"/>
      <c r="W29" s="814"/>
      <c r="X29" s="36"/>
      <c r="Y29" s="36"/>
      <c r="Z29" s="36"/>
      <c r="AA29" s="36"/>
      <c r="AB29" s="36"/>
      <c r="AC29" s="66"/>
      <c r="AD29" s="130"/>
    </row>
    <row r="30" spans="1:33" x14ac:dyDescent="0.25">
      <c r="A30" s="130"/>
      <c r="C30" s="8">
        <f>SUM(C21:C29)</f>
        <v>898758</v>
      </c>
      <c r="D30" s="2"/>
      <c r="E30" s="8">
        <f>SUM(E21:E29)</f>
        <v>5000</v>
      </c>
      <c r="F30" s="5"/>
      <c r="G30" s="8">
        <f>SUM(G21:G29)</f>
        <v>5175</v>
      </c>
      <c r="H30" s="5"/>
      <c r="I30" s="815">
        <f>SUM(I21:I29)</f>
        <v>20370</v>
      </c>
      <c r="J30" s="5"/>
      <c r="K30" s="8">
        <f>SUM(K21:K29)</f>
        <v>21329</v>
      </c>
      <c r="L30" s="5"/>
      <c r="M30" s="8">
        <f>SUM(M21:M29)</f>
        <v>12960</v>
      </c>
      <c r="N30" s="5"/>
      <c r="O30" s="8">
        <f>SUM(O21:O29)</f>
        <v>10707</v>
      </c>
      <c r="P30" s="5"/>
      <c r="Q30" s="8">
        <f>SUM(Q21:Q29)</f>
        <v>12510</v>
      </c>
      <c r="R30" s="5"/>
      <c r="S30" s="815">
        <f>SUM(S21:S29)</f>
        <v>14948</v>
      </c>
      <c r="T30" s="5"/>
      <c r="U30" s="8">
        <f>SUM(U21:U29)</f>
        <v>10885</v>
      </c>
      <c r="V30" s="5"/>
      <c r="W30" s="815">
        <f>SUM(W21:W29)</f>
        <v>8581</v>
      </c>
      <c r="X30" s="5"/>
      <c r="Y30" s="8">
        <f>SUM(Y21:Y29)</f>
        <v>14100</v>
      </c>
      <c r="Z30" s="5"/>
      <c r="AA30" s="8">
        <f>SUM(AA21:AA29)</f>
        <v>19794</v>
      </c>
      <c r="AB30" s="5"/>
      <c r="AC30" s="29"/>
      <c r="AD30" s="130"/>
      <c r="AF30" s="8">
        <f>SUM(AF21:AF29)</f>
        <v>1055117</v>
      </c>
    </row>
    <row r="31" spans="1:33" x14ac:dyDescent="0.25">
      <c r="D31" s="2"/>
      <c r="F31" s="36"/>
      <c r="H31" s="36"/>
      <c r="J31" s="36"/>
      <c r="L31" s="36"/>
      <c r="N31" s="36"/>
      <c r="P31" s="36"/>
      <c r="R31" s="36"/>
      <c r="T31" s="36"/>
      <c r="V31" s="36"/>
      <c r="X31" s="36"/>
      <c r="Z31" s="36"/>
      <c r="AB31" s="36"/>
      <c r="AC31" s="66"/>
    </row>
    <row r="32" spans="1:33" s="6" customFormat="1" x14ac:dyDescent="0.25">
      <c r="A32" s="33" t="s">
        <v>35</v>
      </c>
      <c r="D32" s="33"/>
      <c r="I32" s="816"/>
      <c r="S32" s="816"/>
      <c r="W32" s="816"/>
      <c r="AC32" s="57"/>
      <c r="AD32" s="33" t="str">
        <f t="shared" ref="AD32:AE39" si="2">A32</f>
        <v>Classified</v>
      </c>
    </row>
    <row r="33" spans="1:32" x14ac:dyDescent="0.25">
      <c r="A33" s="130" t="s">
        <v>69</v>
      </c>
      <c r="B33" s="2" t="s">
        <v>70</v>
      </c>
      <c r="C33" s="3">
        <v>0</v>
      </c>
      <c r="E33" s="2">
        <v>0</v>
      </c>
      <c r="F33" s="36"/>
      <c r="G33" s="2">
        <f>16243+G144</f>
        <v>18243</v>
      </c>
      <c r="H33" s="36"/>
      <c r="I33" s="161">
        <v>28486</v>
      </c>
      <c r="J33" s="36"/>
      <c r="K33" s="2">
        <v>0</v>
      </c>
      <c r="L33" s="36"/>
      <c r="M33" s="2">
        <v>0</v>
      </c>
      <c r="N33" s="36"/>
      <c r="O33" s="2">
        <v>0</v>
      </c>
      <c r="P33" s="36"/>
      <c r="Q33" s="2">
        <v>0</v>
      </c>
      <c r="R33" s="36"/>
      <c r="S33" s="161">
        <v>25204</v>
      </c>
      <c r="T33" s="36"/>
      <c r="U33" s="2">
        <v>0</v>
      </c>
      <c r="V33" s="36"/>
      <c r="W33" s="161">
        <v>27270</v>
      </c>
      <c r="X33" s="36"/>
      <c r="Y33" s="2">
        <v>0</v>
      </c>
      <c r="Z33" s="36"/>
      <c r="AA33" s="2">
        <v>0</v>
      </c>
      <c r="AB33" s="36"/>
      <c r="AC33" s="66"/>
      <c r="AD33" s="130" t="str">
        <f t="shared" si="2"/>
        <v>2101</v>
      </c>
      <c r="AE33" s="2" t="str">
        <f t="shared" si="2"/>
        <v>Para Lrning Asstnt</v>
      </c>
      <c r="AF33" s="2">
        <f>SUM(C33,E33,G33,I33,K33,M33,O33,Q33,S33,U33,W33,Y33,AA33)</f>
        <v>99203</v>
      </c>
    </row>
    <row r="34" spans="1:32" x14ac:dyDescent="0.25">
      <c r="A34" s="130" t="s">
        <v>34</v>
      </c>
      <c r="B34" s="2" t="s">
        <v>33</v>
      </c>
      <c r="C34" s="3">
        <v>0</v>
      </c>
      <c r="E34" s="2">
        <v>0</v>
      </c>
      <c r="F34" s="36"/>
      <c r="G34" s="2">
        <v>0</v>
      </c>
      <c r="H34" s="36"/>
      <c r="I34" s="161">
        <v>0</v>
      </c>
      <c r="J34" s="36"/>
      <c r="K34" s="2">
        <v>0</v>
      </c>
      <c r="L34" s="36"/>
      <c r="M34" s="2">
        <v>0</v>
      </c>
      <c r="N34" s="36"/>
      <c r="O34" s="2">
        <v>0</v>
      </c>
      <c r="P34" s="36"/>
      <c r="Q34" s="2">
        <v>0</v>
      </c>
      <c r="R34" s="36"/>
      <c r="S34" s="161">
        <v>0</v>
      </c>
      <c r="T34" s="36"/>
      <c r="U34" s="2">
        <v>0</v>
      </c>
      <c r="V34" s="36"/>
      <c r="W34" s="161">
        <v>0</v>
      </c>
      <c r="X34" s="36"/>
      <c r="Y34" s="2">
        <v>0</v>
      </c>
      <c r="Z34" s="36"/>
      <c r="AA34" s="2">
        <v>0</v>
      </c>
      <c r="AB34" s="36"/>
      <c r="AC34" s="66"/>
      <c r="AD34" s="130" t="str">
        <f t="shared" si="2"/>
        <v>2273</v>
      </c>
      <c r="AE34" s="2" t="str">
        <f t="shared" si="2"/>
        <v>Extra Clss Support</v>
      </c>
      <c r="AF34" s="2">
        <f t="shared" ref="AF34:AF39" si="3">SUM(C34,E34,G34,I34,K34,M34,O34,Q34,S34,U34,W34,Y34,AA34)</f>
        <v>0</v>
      </c>
    </row>
    <row r="35" spans="1:32" x14ac:dyDescent="0.25">
      <c r="A35" s="130" t="s">
        <v>32</v>
      </c>
      <c r="B35" s="2" t="s">
        <v>31</v>
      </c>
      <c r="C35" s="3">
        <v>18222</v>
      </c>
      <c r="D35" s="30" t="s">
        <v>115</v>
      </c>
      <c r="E35" s="2">
        <v>0</v>
      </c>
      <c r="F35" s="36"/>
      <c r="G35" s="2">
        <v>0</v>
      </c>
      <c r="H35" s="36"/>
      <c r="I35" s="161">
        <v>0</v>
      </c>
      <c r="J35" s="36"/>
      <c r="K35" s="2">
        <v>0</v>
      </c>
      <c r="L35" s="36"/>
      <c r="M35" s="2">
        <v>0</v>
      </c>
      <c r="N35" s="36"/>
      <c r="O35" s="2">
        <v>0</v>
      </c>
      <c r="P35" s="36"/>
      <c r="Q35" s="2">
        <v>0</v>
      </c>
      <c r="R35" s="36"/>
      <c r="S35" s="161">
        <v>0</v>
      </c>
      <c r="T35" s="36"/>
      <c r="U35" s="2">
        <v>0</v>
      </c>
      <c r="V35" s="36"/>
      <c r="W35" s="161">
        <v>0</v>
      </c>
      <c r="X35" s="36"/>
      <c r="Y35" s="2">
        <v>0</v>
      </c>
      <c r="Z35" s="36"/>
      <c r="AA35" s="2">
        <v>0</v>
      </c>
      <c r="AB35" s="36"/>
      <c r="AC35" s="66"/>
      <c r="AD35" s="130" t="str">
        <f t="shared" si="2"/>
        <v>2404</v>
      </c>
      <c r="AE35" s="2" t="str">
        <f t="shared" si="2"/>
        <v>Secretary</v>
      </c>
      <c r="AF35" s="2">
        <f t="shared" si="3"/>
        <v>18222</v>
      </c>
    </row>
    <row r="36" spans="1:32" x14ac:dyDescent="0.25">
      <c r="A36" s="130" t="s">
        <v>30</v>
      </c>
      <c r="B36" s="2" t="s">
        <v>29</v>
      </c>
      <c r="C36" s="3">
        <v>1236</v>
      </c>
      <c r="E36" s="2">
        <v>0</v>
      </c>
      <c r="F36" s="36"/>
      <c r="G36" s="2">
        <v>0</v>
      </c>
      <c r="H36" s="36"/>
      <c r="I36" s="161">
        <v>0</v>
      </c>
      <c r="J36" s="36"/>
      <c r="K36" s="2">
        <v>102</v>
      </c>
      <c r="L36" s="36"/>
      <c r="M36" s="2">
        <v>0</v>
      </c>
      <c r="N36" s="36"/>
      <c r="O36" s="2">
        <v>0</v>
      </c>
      <c r="P36" s="36"/>
      <c r="Q36" s="2">
        <v>0</v>
      </c>
      <c r="R36" s="36"/>
      <c r="S36" s="161">
        <v>0</v>
      </c>
      <c r="T36" s="36"/>
      <c r="U36" s="2">
        <v>0</v>
      </c>
      <c r="V36" s="36"/>
      <c r="W36" s="161">
        <v>0</v>
      </c>
      <c r="X36" s="36"/>
      <c r="Y36" s="2">
        <v>0</v>
      </c>
      <c r="Z36" s="36"/>
      <c r="AA36" s="2">
        <v>0</v>
      </c>
      <c r="AB36" s="36"/>
      <c r="AC36" s="66"/>
      <c r="AD36" s="130" t="str">
        <f t="shared" si="2"/>
        <v>2481</v>
      </c>
      <c r="AE36" s="2" t="str">
        <f t="shared" si="2"/>
        <v>Sub. Office</v>
      </c>
      <c r="AF36" s="2">
        <f t="shared" si="3"/>
        <v>1338</v>
      </c>
    </row>
    <row r="37" spans="1:32" x14ac:dyDescent="0.25">
      <c r="A37" s="130" t="s">
        <v>72</v>
      </c>
      <c r="B37" s="2" t="s">
        <v>71</v>
      </c>
      <c r="C37" s="3">
        <v>0</v>
      </c>
      <c r="E37" s="2">
        <v>0</v>
      </c>
      <c r="F37" s="36"/>
      <c r="G37" s="2">
        <v>0</v>
      </c>
      <c r="H37" s="36"/>
      <c r="I37" s="161">
        <v>0</v>
      </c>
      <c r="J37" s="36"/>
      <c r="K37" s="2">
        <v>0</v>
      </c>
      <c r="L37" s="36"/>
      <c r="M37" s="2">
        <v>0</v>
      </c>
      <c r="N37" s="36"/>
      <c r="O37" s="2">
        <v>0</v>
      </c>
      <c r="P37" s="36"/>
      <c r="Q37" s="2">
        <v>407</v>
      </c>
      <c r="R37" s="36"/>
      <c r="S37" s="161">
        <v>0</v>
      </c>
      <c r="T37" s="36"/>
      <c r="U37" s="2">
        <v>167</v>
      </c>
      <c r="V37" s="36"/>
      <c r="W37" s="161">
        <v>370</v>
      </c>
      <c r="X37" s="36"/>
      <c r="Y37" s="2">
        <v>0</v>
      </c>
      <c r="Z37" s="36"/>
      <c r="AA37" s="2">
        <v>556</v>
      </c>
      <c r="AB37" s="36"/>
      <c r="AC37" s="66"/>
      <c r="AD37" s="130" t="str">
        <f t="shared" si="2"/>
        <v>2901</v>
      </c>
      <c r="AE37" s="2" t="str">
        <f t="shared" si="2"/>
        <v>Babysitter</v>
      </c>
      <c r="AF37" s="2">
        <f t="shared" si="3"/>
        <v>1500</v>
      </c>
    </row>
    <row r="38" spans="1:32" x14ac:dyDescent="0.25">
      <c r="A38" s="130" t="s">
        <v>114</v>
      </c>
      <c r="B38" s="2" t="s">
        <v>117</v>
      </c>
      <c r="C38" s="3">
        <v>0</v>
      </c>
      <c r="E38" s="2">
        <v>210</v>
      </c>
      <c r="F38" s="36"/>
      <c r="G38" s="2">
        <v>304</v>
      </c>
      <c r="H38" s="36"/>
      <c r="I38" s="161">
        <v>85</v>
      </c>
      <c r="J38" s="36"/>
      <c r="K38" s="2">
        <v>406</v>
      </c>
      <c r="L38" s="36"/>
      <c r="M38" s="2">
        <v>1388</v>
      </c>
      <c r="N38" s="36"/>
      <c r="O38" s="2">
        <v>793</v>
      </c>
      <c r="P38" s="36"/>
      <c r="Q38" s="2">
        <v>814</v>
      </c>
      <c r="R38" s="36"/>
      <c r="S38" s="161">
        <v>169</v>
      </c>
      <c r="T38" s="36"/>
      <c r="U38" s="2">
        <v>339</v>
      </c>
      <c r="V38" s="36"/>
      <c r="W38" s="161">
        <v>337</v>
      </c>
      <c r="X38" s="36"/>
      <c r="Y38" s="2">
        <v>237</v>
      </c>
      <c r="Z38" s="36"/>
      <c r="AA38" s="2">
        <v>4233</v>
      </c>
      <c r="AB38" s="36"/>
      <c r="AC38" s="66"/>
      <c r="AD38" s="130" t="str">
        <f t="shared" si="2"/>
        <v>2910</v>
      </c>
      <c r="AE38" s="2" t="str">
        <f t="shared" si="2"/>
        <v>Interpreters</v>
      </c>
      <c r="AF38" s="2">
        <f t="shared" si="3"/>
        <v>9315</v>
      </c>
    </row>
    <row r="39" spans="1:32" x14ac:dyDescent="0.25">
      <c r="A39" s="130" t="s">
        <v>73</v>
      </c>
      <c r="B39" s="2" t="s">
        <v>74</v>
      </c>
      <c r="C39" s="3">
        <v>0</v>
      </c>
      <c r="E39" s="2">
        <v>0</v>
      </c>
      <c r="F39" s="36"/>
      <c r="G39" s="2">
        <v>0</v>
      </c>
      <c r="H39" s="36"/>
      <c r="I39" s="161">
        <v>0</v>
      </c>
      <c r="J39" s="36"/>
      <c r="K39" s="2">
        <v>0</v>
      </c>
      <c r="L39" s="36"/>
      <c r="M39" s="2">
        <v>0</v>
      </c>
      <c r="N39" s="36"/>
      <c r="O39" s="2">
        <v>0</v>
      </c>
      <c r="P39" s="36"/>
      <c r="Q39" s="2">
        <v>0</v>
      </c>
      <c r="R39" s="36"/>
      <c r="S39" s="161">
        <v>0</v>
      </c>
      <c r="T39" s="36"/>
      <c r="U39" s="2">
        <v>0</v>
      </c>
      <c r="V39" s="36"/>
      <c r="W39" s="161">
        <v>0</v>
      </c>
      <c r="X39" s="36"/>
      <c r="Y39" s="2">
        <v>0</v>
      </c>
      <c r="Z39" s="36"/>
      <c r="AA39" s="2">
        <v>440</v>
      </c>
      <c r="AB39" s="36"/>
      <c r="AC39" s="66"/>
      <c r="AD39" s="130" t="str">
        <f t="shared" si="2"/>
        <v>2924</v>
      </c>
      <c r="AE39" s="2" t="str">
        <f t="shared" si="2"/>
        <v>Parent Ed. Aide</v>
      </c>
      <c r="AF39" s="2">
        <f t="shared" si="3"/>
        <v>440</v>
      </c>
    </row>
    <row r="40" spans="1:32" ht="6" customHeight="1" x14ac:dyDescent="0.25">
      <c r="A40" s="130"/>
      <c r="F40" s="36"/>
      <c r="H40" s="36"/>
      <c r="J40" s="36"/>
      <c r="L40" s="36"/>
      <c r="N40" s="36"/>
      <c r="P40" s="36"/>
      <c r="R40" s="36"/>
      <c r="T40" s="36"/>
      <c r="V40" s="36"/>
      <c r="X40" s="36"/>
      <c r="Z40" s="36"/>
      <c r="AB40" s="36"/>
      <c r="AC40" s="66"/>
      <c r="AD40" s="130"/>
    </row>
    <row r="41" spans="1:32" x14ac:dyDescent="0.25">
      <c r="A41" s="130"/>
      <c r="C41" s="8">
        <f>SUM(C33:C40)</f>
        <v>19458</v>
      </c>
      <c r="D41" s="33"/>
      <c r="E41" s="8">
        <f>SUM(E33:E40)</f>
        <v>210</v>
      </c>
      <c r="F41" s="5"/>
      <c r="G41" s="8">
        <f>SUM(G33:G40)</f>
        <v>18547</v>
      </c>
      <c r="H41" s="5"/>
      <c r="I41" s="815">
        <f>SUM(I33:I40)</f>
        <v>28571</v>
      </c>
      <c r="J41" s="5"/>
      <c r="K41" s="8">
        <f>SUM(K33:K40)</f>
        <v>508</v>
      </c>
      <c r="L41" s="5"/>
      <c r="M41" s="8">
        <f>SUM(M33:M40)</f>
        <v>1388</v>
      </c>
      <c r="N41" s="5"/>
      <c r="O41" s="8">
        <f>SUM(O33:O40)</f>
        <v>793</v>
      </c>
      <c r="P41" s="5"/>
      <c r="Q41" s="8">
        <f>SUM(Q33:Q40)</f>
        <v>1221</v>
      </c>
      <c r="R41" s="5"/>
      <c r="S41" s="815">
        <f>SUM(S33:S40)</f>
        <v>25373</v>
      </c>
      <c r="T41" s="5"/>
      <c r="U41" s="8">
        <f>SUM(U33:U40)</f>
        <v>506</v>
      </c>
      <c r="V41" s="5"/>
      <c r="W41" s="815">
        <f>SUM(W33:W40)</f>
        <v>27977</v>
      </c>
      <c r="X41" s="5"/>
      <c r="Y41" s="8">
        <f>SUM(Y33:Y40)</f>
        <v>237</v>
      </c>
      <c r="Z41" s="5"/>
      <c r="AA41" s="8">
        <f>SUM(AA33:AA40)</f>
        <v>5229</v>
      </c>
      <c r="AB41" s="5"/>
      <c r="AC41" s="29"/>
      <c r="AD41" s="130"/>
      <c r="AF41" s="8">
        <f>SUM(AF33:AF40)</f>
        <v>130018</v>
      </c>
    </row>
    <row r="42" spans="1:32" x14ac:dyDescent="0.25">
      <c r="A42" s="37" t="s">
        <v>28</v>
      </c>
      <c r="F42" s="36"/>
      <c r="H42" s="36"/>
      <c r="J42" s="36"/>
      <c r="L42" s="36"/>
      <c r="N42" s="36"/>
      <c r="P42" s="36"/>
      <c r="R42" s="36"/>
      <c r="T42" s="36"/>
      <c r="V42" s="36"/>
      <c r="X42" s="36"/>
      <c r="Z42" s="36"/>
      <c r="AB42" s="36"/>
      <c r="AC42" s="66"/>
      <c r="AD42" s="37" t="str">
        <f t="shared" ref="AD42:AE51" si="4">A42</f>
        <v xml:space="preserve">  </v>
      </c>
    </row>
    <row r="43" spans="1:32" x14ac:dyDescent="0.25">
      <c r="A43" s="126" t="s">
        <v>27</v>
      </c>
      <c r="C43" s="9"/>
      <c r="D43" s="33"/>
      <c r="E43" s="10"/>
      <c r="F43" s="6"/>
      <c r="G43" s="10"/>
      <c r="H43" s="6"/>
      <c r="I43" s="616"/>
      <c r="J43" s="6"/>
      <c r="K43" s="10"/>
      <c r="L43" s="6"/>
      <c r="M43" s="10"/>
      <c r="N43" s="6"/>
      <c r="O43" s="10"/>
      <c r="P43" s="6"/>
      <c r="Q43" s="10"/>
      <c r="R43" s="6"/>
      <c r="S43" s="616"/>
      <c r="T43" s="6"/>
      <c r="U43" s="10"/>
      <c r="V43" s="6"/>
      <c r="W43" s="616"/>
      <c r="X43" s="6"/>
      <c r="Y43" s="10"/>
      <c r="Z43" s="6"/>
      <c r="AA43" s="10"/>
      <c r="AB43" s="6"/>
      <c r="AC43" s="57"/>
      <c r="AD43" s="126" t="str">
        <f t="shared" si="4"/>
        <v>Benefits</v>
      </c>
    </row>
    <row r="44" spans="1:32" x14ac:dyDescent="0.25">
      <c r="A44" s="130" t="s">
        <v>83</v>
      </c>
      <c r="B44" s="2" t="s">
        <v>76</v>
      </c>
      <c r="C44" s="3">
        <f>119847-9892+C133</f>
        <v>111213</v>
      </c>
      <c r="E44" s="2">
        <v>2437</v>
      </c>
      <c r="F44" s="36"/>
      <c r="G44" s="2">
        <f>1032+G139</f>
        <v>2290</v>
      </c>
      <c r="H44" s="36"/>
      <c r="I44" s="161">
        <v>1282</v>
      </c>
      <c r="J44" s="36"/>
      <c r="K44" s="2">
        <f>1694+K139</f>
        <v>2700</v>
      </c>
      <c r="L44" s="36"/>
      <c r="M44" s="2">
        <v>1630</v>
      </c>
      <c r="N44" s="36"/>
      <c r="O44" s="2">
        <f>687+O139</f>
        <v>1190</v>
      </c>
      <c r="P44" s="36"/>
      <c r="Q44" s="2">
        <f>1196+Q139</f>
        <v>1573</v>
      </c>
      <c r="R44" s="36"/>
      <c r="S44" s="161">
        <v>1485</v>
      </c>
      <c r="T44" s="36"/>
      <c r="U44" s="2">
        <f>2971+23</f>
        <v>2994</v>
      </c>
      <c r="V44" s="36"/>
      <c r="W44" s="161">
        <v>2425</v>
      </c>
      <c r="X44" s="36"/>
      <c r="Y44" s="2">
        <v>1774</v>
      </c>
      <c r="Z44" s="36"/>
      <c r="AA44" s="2">
        <v>2490</v>
      </c>
      <c r="AB44" s="36"/>
      <c r="AC44" s="66"/>
      <c r="AD44" s="130" t="str">
        <f t="shared" si="4"/>
        <v>310X</v>
      </c>
      <c r="AE44" s="2" t="str">
        <f t="shared" si="4"/>
        <v>STRS</v>
      </c>
      <c r="AF44" s="2">
        <f>SUM(C44,E44,G44,I44,K44,M44,O44,Q44,S44,U44,W44,Y44,AA44)</f>
        <v>135483</v>
      </c>
    </row>
    <row r="45" spans="1:32" x14ac:dyDescent="0.25">
      <c r="A45" s="130" t="s">
        <v>84</v>
      </c>
      <c r="B45" s="2" t="s">
        <v>77</v>
      </c>
      <c r="C45" s="3">
        <v>2702</v>
      </c>
      <c r="E45" s="2">
        <v>56</v>
      </c>
      <c r="F45" s="36"/>
      <c r="G45" s="2">
        <f>2303+G145</f>
        <v>2581</v>
      </c>
      <c r="H45" s="36"/>
      <c r="I45" s="161">
        <v>3973</v>
      </c>
      <c r="J45" s="36"/>
      <c r="K45" s="2">
        <v>64</v>
      </c>
      <c r="L45" s="36"/>
      <c r="M45" s="2">
        <v>193</v>
      </c>
      <c r="N45" s="36"/>
      <c r="O45" s="2">
        <v>287</v>
      </c>
      <c r="P45" s="36"/>
      <c r="Q45" s="2">
        <v>169</v>
      </c>
      <c r="R45" s="36"/>
      <c r="S45" s="161">
        <v>3530</v>
      </c>
      <c r="T45" s="36"/>
      <c r="U45" s="2">
        <f>47</f>
        <v>47</v>
      </c>
      <c r="V45" s="36"/>
      <c r="W45" s="161">
        <v>3886</v>
      </c>
      <c r="X45" s="36"/>
      <c r="Y45" s="2">
        <v>33</v>
      </c>
      <c r="Z45" s="36"/>
      <c r="AA45" s="2">
        <v>726</v>
      </c>
      <c r="AB45" s="36"/>
      <c r="AC45" s="66"/>
      <c r="AD45" s="130" t="str">
        <f t="shared" si="4"/>
        <v>320X</v>
      </c>
      <c r="AE45" s="2" t="str">
        <f t="shared" si="4"/>
        <v>PERS</v>
      </c>
      <c r="AF45" s="2">
        <f t="shared" ref="AF45:AF50" si="5">SUM(C45,E45,G45,I45,K45,M45,O45,Q45,S45,U45,W45,Y45,AA45)</f>
        <v>18247</v>
      </c>
    </row>
    <row r="46" spans="1:32" x14ac:dyDescent="0.25">
      <c r="A46" s="130" t="s">
        <v>85</v>
      </c>
      <c r="B46" s="2" t="s">
        <v>78</v>
      </c>
      <c r="C46" s="3">
        <f>223+1207</f>
        <v>1430</v>
      </c>
      <c r="E46" s="2">
        <f>30+25</f>
        <v>55</v>
      </c>
      <c r="F46" s="36"/>
      <c r="G46" s="2">
        <f>960+G146</f>
        <v>1084</v>
      </c>
      <c r="H46" s="36"/>
      <c r="I46" s="161">
        <v>1688</v>
      </c>
      <c r="J46" s="36"/>
      <c r="K46" s="2">
        <f>17+38</f>
        <v>55</v>
      </c>
      <c r="L46" s="36"/>
      <c r="M46" s="2">
        <v>86</v>
      </c>
      <c r="N46" s="36"/>
      <c r="O46" s="2">
        <f>9+128</f>
        <v>137</v>
      </c>
      <c r="P46" s="36"/>
      <c r="Q46" s="2">
        <f>17+77</f>
        <v>94</v>
      </c>
      <c r="R46" s="36"/>
      <c r="S46" s="161">
        <f>5+1568</f>
        <v>1573</v>
      </c>
      <c r="T46" s="36"/>
      <c r="U46" s="2">
        <f>4+30</f>
        <v>34</v>
      </c>
      <c r="V46" s="36"/>
      <c r="W46" s="161">
        <f>9+1735</f>
        <v>1744</v>
      </c>
      <c r="X46" s="36"/>
      <c r="Y46" s="2">
        <f>18+14</f>
        <v>32</v>
      </c>
      <c r="Z46" s="36"/>
      <c r="AA46" s="2">
        <f>9+323</f>
        <v>332</v>
      </c>
      <c r="AB46" s="36"/>
      <c r="AC46" s="66"/>
      <c r="AD46" s="130" t="str">
        <f t="shared" si="4"/>
        <v>330X</v>
      </c>
      <c r="AE46" s="2" t="str">
        <f t="shared" si="4"/>
        <v>SS</v>
      </c>
      <c r="AF46" s="2">
        <f t="shared" si="5"/>
        <v>8344</v>
      </c>
    </row>
    <row r="47" spans="1:32" x14ac:dyDescent="0.25">
      <c r="A47" s="130" t="s">
        <v>86</v>
      </c>
      <c r="B47" s="2" t="s">
        <v>79</v>
      </c>
      <c r="C47" s="3">
        <f>12793+282</f>
        <v>13075</v>
      </c>
      <c r="E47" s="2">
        <f>251+6</f>
        <v>257</v>
      </c>
      <c r="F47" s="36"/>
      <c r="G47" s="2">
        <f>263+270</f>
        <v>533</v>
      </c>
      <c r="H47" s="36"/>
      <c r="I47" s="161">
        <f>296+415</f>
        <v>711</v>
      </c>
      <c r="J47" s="36"/>
      <c r="K47" s="2">
        <f>194+8+K140</f>
        <v>318</v>
      </c>
      <c r="L47" s="36"/>
      <c r="M47" s="2">
        <f>188+20</f>
        <v>208</v>
      </c>
      <c r="N47" s="36"/>
      <c r="O47" s="2">
        <f>136+29</f>
        <v>165</v>
      </c>
      <c r="P47" s="36"/>
      <c r="Q47" s="2">
        <f>182+18</f>
        <v>200</v>
      </c>
      <c r="R47" s="36"/>
      <c r="S47" s="161">
        <f>219+363</f>
        <v>582</v>
      </c>
      <c r="T47" s="36"/>
      <c r="U47" s="2">
        <f>342+7</f>
        <v>349</v>
      </c>
      <c r="V47" s="36"/>
      <c r="W47" s="161">
        <f>280+405</f>
        <v>685</v>
      </c>
      <c r="X47" s="36"/>
      <c r="Y47" s="2">
        <v>210</v>
      </c>
      <c r="Z47" s="36"/>
      <c r="AA47" s="2">
        <f>287+76</f>
        <v>363</v>
      </c>
      <c r="AB47" s="36"/>
      <c r="AC47" s="66"/>
      <c r="AD47" s="130" t="str">
        <f t="shared" si="4"/>
        <v>331X</v>
      </c>
      <c r="AE47" s="2" t="str">
        <f t="shared" si="4"/>
        <v>Medicare</v>
      </c>
      <c r="AF47" s="2">
        <f t="shared" si="5"/>
        <v>17656</v>
      </c>
    </row>
    <row r="48" spans="1:32" x14ac:dyDescent="0.25">
      <c r="A48" s="130" t="s">
        <v>87</v>
      </c>
      <c r="B48" s="2" t="s">
        <v>80</v>
      </c>
      <c r="C48" s="3">
        <f>90288+6504</f>
        <v>96792</v>
      </c>
      <c r="E48" s="2">
        <v>0</v>
      </c>
      <c r="F48" s="36"/>
      <c r="G48" s="2">
        <v>593</v>
      </c>
      <c r="H48" s="36"/>
      <c r="I48" s="161">
        <v>310</v>
      </c>
      <c r="J48" s="36"/>
      <c r="K48" s="2">
        <v>0</v>
      </c>
      <c r="L48" s="36"/>
      <c r="M48" s="2">
        <v>0</v>
      </c>
      <c r="N48" s="36"/>
      <c r="O48" s="2">
        <v>0</v>
      </c>
      <c r="P48" s="36"/>
      <c r="Q48" s="2">
        <v>0</v>
      </c>
      <c r="R48" s="36"/>
      <c r="S48" s="161">
        <v>395</v>
      </c>
      <c r="T48" s="36"/>
      <c r="U48" s="2">
        <v>0</v>
      </c>
      <c r="V48" s="36"/>
      <c r="W48" s="161">
        <v>4848</v>
      </c>
      <c r="X48" s="36"/>
      <c r="Y48" s="2">
        <v>0</v>
      </c>
      <c r="Z48" s="36"/>
      <c r="AA48" s="2">
        <v>0</v>
      </c>
      <c r="AB48" s="36"/>
      <c r="AC48" s="66"/>
      <c r="AD48" s="130" t="str">
        <f t="shared" si="4"/>
        <v>340X</v>
      </c>
      <c r="AE48" s="2" t="str">
        <f t="shared" si="4"/>
        <v>H&amp;W</v>
      </c>
      <c r="AF48" s="2">
        <f t="shared" si="5"/>
        <v>102938</v>
      </c>
    </row>
    <row r="49" spans="1:32" x14ac:dyDescent="0.25">
      <c r="A49" s="130" t="s">
        <v>88</v>
      </c>
      <c r="B49" s="2" t="s">
        <v>81</v>
      </c>
      <c r="C49" s="3">
        <f>456+10</f>
        <v>466</v>
      </c>
      <c r="E49" s="2">
        <f>11+1</f>
        <v>12</v>
      </c>
      <c r="F49" s="36"/>
      <c r="G49" s="2">
        <f>4+8+G141+G148</f>
        <v>18</v>
      </c>
      <c r="H49" s="36"/>
      <c r="I49" s="161">
        <f>10+14</f>
        <v>24</v>
      </c>
      <c r="J49" s="36"/>
      <c r="K49" s="2">
        <f>7+1+K141</f>
        <v>12</v>
      </c>
      <c r="L49" s="36"/>
      <c r="M49" s="2">
        <f>8+1</f>
        <v>9</v>
      </c>
      <c r="N49" s="36"/>
      <c r="O49" s="2">
        <f>2+O141</f>
        <v>4</v>
      </c>
      <c r="P49" s="36"/>
      <c r="Q49" s="2">
        <f>4+Q141</f>
        <v>6</v>
      </c>
      <c r="R49" s="36"/>
      <c r="S49" s="161">
        <f>7+13</f>
        <v>20</v>
      </c>
      <c r="T49" s="36"/>
      <c r="U49" s="2">
        <v>13</v>
      </c>
      <c r="V49" s="36"/>
      <c r="W49" s="161">
        <v>24</v>
      </c>
      <c r="X49" s="36"/>
      <c r="Y49" s="2">
        <v>7</v>
      </c>
      <c r="Z49" s="36"/>
      <c r="AA49" s="2">
        <f>10+2</f>
        <v>12</v>
      </c>
      <c r="AB49" s="36"/>
      <c r="AC49" s="66"/>
      <c r="AD49" s="130" t="str">
        <f t="shared" si="4"/>
        <v>350X</v>
      </c>
      <c r="AE49" s="2" t="str">
        <f t="shared" si="4"/>
        <v>SUI</v>
      </c>
      <c r="AF49" s="2">
        <f t="shared" si="5"/>
        <v>627</v>
      </c>
    </row>
    <row r="50" spans="1:32" x14ac:dyDescent="0.25">
      <c r="A50" s="130" t="s">
        <v>89</v>
      </c>
      <c r="B50" s="2" t="s">
        <v>82</v>
      </c>
      <c r="C50" s="3">
        <f>9157+215</f>
        <v>9372</v>
      </c>
      <c r="E50" s="2">
        <f>212+5</f>
        <v>217</v>
      </c>
      <c r="F50" s="36"/>
      <c r="G50" s="2">
        <f>190+203</f>
        <v>393</v>
      </c>
      <c r="H50" s="36"/>
      <c r="I50" s="161">
        <f>224+314</f>
        <v>538</v>
      </c>
      <c r="J50" s="36"/>
      <c r="K50" s="2">
        <f>149+7+K142</f>
        <v>244</v>
      </c>
      <c r="L50" s="36"/>
      <c r="M50" s="2">
        <f>143+15</f>
        <v>158</v>
      </c>
      <c r="N50" s="36"/>
      <c r="O50" s="2">
        <f>60+22+O142</f>
        <v>126</v>
      </c>
      <c r="P50" s="36"/>
      <c r="Q50" s="2">
        <f>135+14</f>
        <v>149</v>
      </c>
      <c r="R50" s="36"/>
      <c r="S50" s="161">
        <f>166+277</f>
        <v>443</v>
      </c>
      <c r="T50" s="36"/>
      <c r="U50" s="2">
        <f>260+5</f>
        <v>265</v>
      </c>
      <c r="V50" s="36"/>
      <c r="W50" s="161">
        <f>223+308</f>
        <v>531</v>
      </c>
      <c r="X50" s="36"/>
      <c r="Y50" s="2">
        <f>158+3</f>
        <v>161</v>
      </c>
      <c r="Z50" s="36"/>
      <c r="AA50" s="2">
        <f>218+58</f>
        <v>276</v>
      </c>
      <c r="AB50" s="36"/>
      <c r="AC50" s="66"/>
      <c r="AD50" s="130" t="str">
        <f t="shared" si="4"/>
        <v>360X</v>
      </c>
      <c r="AE50" s="2" t="str">
        <f t="shared" si="4"/>
        <v>W/C</v>
      </c>
      <c r="AF50" s="2">
        <f t="shared" si="5"/>
        <v>12873</v>
      </c>
    </row>
    <row r="51" spans="1:32" x14ac:dyDescent="0.25">
      <c r="A51" s="130" t="s">
        <v>91</v>
      </c>
      <c r="B51" s="2" t="s">
        <v>93</v>
      </c>
      <c r="C51" s="3">
        <v>5685</v>
      </c>
      <c r="E51" s="2">
        <v>0</v>
      </c>
      <c r="F51" s="36"/>
      <c r="G51" s="2">
        <v>0</v>
      </c>
      <c r="H51" s="36"/>
      <c r="I51" s="161">
        <v>0</v>
      </c>
      <c r="J51" s="36"/>
      <c r="K51" s="2">
        <v>0</v>
      </c>
      <c r="L51" s="36"/>
      <c r="M51" s="2">
        <v>0</v>
      </c>
      <c r="N51" s="36"/>
      <c r="O51" s="2">
        <v>0</v>
      </c>
      <c r="P51" s="36"/>
      <c r="Q51" s="2">
        <v>0</v>
      </c>
      <c r="R51" s="36"/>
      <c r="S51" s="161">
        <v>0</v>
      </c>
      <c r="T51" s="36"/>
      <c r="U51" s="2">
        <v>0</v>
      </c>
      <c r="V51" s="36"/>
      <c r="W51" s="161">
        <v>0</v>
      </c>
      <c r="X51" s="36"/>
      <c r="Y51" s="2">
        <v>0</v>
      </c>
      <c r="Z51" s="36"/>
      <c r="AA51" s="2">
        <v>0</v>
      </c>
      <c r="AB51" s="36"/>
      <c r="AC51" s="66"/>
      <c r="AD51" s="130" t="str">
        <f t="shared" si="4"/>
        <v>390X</v>
      </c>
      <c r="AE51" s="2" t="str">
        <f t="shared" si="4"/>
        <v>Other Benefits</v>
      </c>
      <c r="AF51" s="2">
        <f>SUM(C51,E51,G51,I51,K51,M51,O51,Q51,S51,U51,W51,Y51,AA51)</f>
        <v>5685</v>
      </c>
    </row>
    <row r="52" spans="1:32" x14ac:dyDescent="0.25">
      <c r="A52" s="130"/>
      <c r="F52" s="36"/>
      <c r="H52" s="36"/>
      <c r="J52" s="36"/>
      <c r="L52" s="36"/>
      <c r="N52" s="36"/>
      <c r="P52" s="36"/>
      <c r="R52" s="36"/>
      <c r="T52" s="36"/>
      <c r="V52" s="36"/>
      <c r="X52" s="36"/>
      <c r="Z52" s="36"/>
      <c r="AB52" s="36"/>
      <c r="AC52" s="66"/>
      <c r="AD52" s="130"/>
    </row>
    <row r="53" spans="1:32" x14ac:dyDescent="0.25">
      <c r="A53" s="130"/>
      <c r="C53" s="8">
        <f>SUM(C44:C52)</f>
        <v>240735</v>
      </c>
      <c r="D53" s="33"/>
      <c r="E53" s="8">
        <f>SUM(E44:E52)</f>
        <v>3034</v>
      </c>
      <c r="F53" s="5"/>
      <c r="G53" s="8">
        <f>SUM(G44:G52)</f>
        <v>7492</v>
      </c>
      <c r="H53" s="5"/>
      <c r="I53" s="815">
        <f>SUM(I44:I52)</f>
        <v>8526</v>
      </c>
      <c r="J53" s="5"/>
      <c r="K53" s="8">
        <f>SUM(K44:K52)</f>
        <v>3393</v>
      </c>
      <c r="L53" s="5"/>
      <c r="M53" s="8">
        <f>SUM(M44:M52)</f>
        <v>2284</v>
      </c>
      <c r="N53" s="5"/>
      <c r="O53" s="8">
        <f>SUM(O44:O52)</f>
        <v>1909</v>
      </c>
      <c r="P53" s="5"/>
      <c r="Q53" s="8">
        <f>SUM(Q44:Q52)</f>
        <v>2191</v>
      </c>
      <c r="R53" s="5"/>
      <c r="S53" s="815">
        <f>SUM(S44:S52)</f>
        <v>8028</v>
      </c>
      <c r="T53" s="5"/>
      <c r="U53" s="8">
        <f>SUM(U44:U52)</f>
        <v>3702</v>
      </c>
      <c r="V53" s="5"/>
      <c r="W53" s="815">
        <f>SUM(W44:W52)</f>
        <v>14143</v>
      </c>
      <c r="X53" s="5"/>
      <c r="Y53" s="8">
        <f>SUM(Y44:Y52)</f>
        <v>2217</v>
      </c>
      <c r="Z53" s="5"/>
      <c r="AA53" s="8">
        <f>SUM(AA44:AA52)</f>
        <v>4199</v>
      </c>
      <c r="AB53" s="5"/>
      <c r="AC53" s="29"/>
      <c r="AD53" s="130"/>
      <c r="AF53" s="8">
        <f>SUM(AF44:AF52)</f>
        <v>301853</v>
      </c>
    </row>
    <row r="54" spans="1:32" x14ac:dyDescent="0.25">
      <c r="A54" s="130"/>
      <c r="C54" s="9"/>
      <c r="D54" s="33"/>
      <c r="E54" s="10"/>
      <c r="F54" s="6"/>
      <c r="G54" s="10"/>
      <c r="H54" s="6"/>
      <c r="I54" s="616"/>
      <c r="J54" s="6"/>
      <c r="K54" s="10"/>
      <c r="L54" s="6"/>
      <c r="M54" s="10"/>
      <c r="N54" s="6"/>
      <c r="O54" s="10"/>
      <c r="P54" s="6"/>
      <c r="Q54" s="10"/>
      <c r="R54" s="6"/>
      <c r="S54" s="616"/>
      <c r="T54" s="6"/>
      <c r="U54" s="10"/>
      <c r="V54" s="6"/>
      <c r="W54" s="616"/>
      <c r="X54" s="6"/>
      <c r="Y54" s="10"/>
      <c r="Z54" s="6"/>
      <c r="AA54" s="10"/>
      <c r="AB54" s="6"/>
      <c r="AC54" s="57"/>
      <c r="AD54" s="130"/>
    </row>
    <row r="55" spans="1:32" x14ac:dyDescent="0.25">
      <c r="A55" s="126" t="s">
        <v>26</v>
      </c>
      <c r="C55" s="8">
        <f>SUM(C53,C41,C30)</f>
        <v>1158951</v>
      </c>
      <c r="D55" s="33"/>
      <c r="E55" s="8">
        <f>SUM(E53,E41,E30)</f>
        <v>8244</v>
      </c>
      <c r="F55" s="5"/>
      <c r="G55" s="8">
        <f>SUM(G53,G41,G30)</f>
        <v>31214</v>
      </c>
      <c r="H55" s="5"/>
      <c r="I55" s="815">
        <f>SUM(I53,I41,I30)</f>
        <v>57467</v>
      </c>
      <c r="J55" s="5"/>
      <c r="K55" s="8">
        <f>SUM(K53,K41,K30)</f>
        <v>25230</v>
      </c>
      <c r="L55" s="5"/>
      <c r="M55" s="8">
        <f>SUM(M53,M41,M30)</f>
        <v>16632</v>
      </c>
      <c r="N55" s="5"/>
      <c r="O55" s="8">
        <f>SUM(O53,O41,O30)</f>
        <v>13409</v>
      </c>
      <c r="P55" s="5"/>
      <c r="Q55" s="8">
        <f>SUM(Q53,Q41,Q30)</f>
        <v>15922</v>
      </c>
      <c r="R55" s="5"/>
      <c r="S55" s="815">
        <f>SUM(S53,S41,S30)</f>
        <v>48349</v>
      </c>
      <c r="T55" s="5"/>
      <c r="U55" s="8">
        <f>SUM(U53,U41,U30)</f>
        <v>15093</v>
      </c>
      <c r="V55" s="5"/>
      <c r="W55" s="815">
        <f>SUM(W53,W41,W30)</f>
        <v>50701</v>
      </c>
      <c r="X55" s="5"/>
      <c r="Y55" s="8">
        <f>SUM(Y53,Y41,Y30)</f>
        <v>16554</v>
      </c>
      <c r="Z55" s="5"/>
      <c r="AA55" s="8">
        <f>SUM(AA53,AA41,AA30)</f>
        <v>29222</v>
      </c>
      <c r="AB55" s="5"/>
      <c r="AC55" s="29"/>
      <c r="AD55" s="126" t="str">
        <f>A55</f>
        <v>Total Salaries and Benefits</v>
      </c>
      <c r="AF55" s="8">
        <f>SUM(AF53,AF41,AF30)</f>
        <v>1486988</v>
      </c>
    </row>
    <row r="56" spans="1:32" x14ac:dyDescent="0.25">
      <c r="F56" s="36"/>
      <c r="H56" s="36"/>
      <c r="J56" s="36"/>
      <c r="L56" s="36"/>
      <c r="N56" s="36"/>
      <c r="P56" s="36"/>
      <c r="R56" s="36"/>
      <c r="T56" s="36"/>
      <c r="V56" s="36"/>
      <c r="X56" s="36"/>
      <c r="Z56" s="36"/>
      <c r="AB56" s="36"/>
      <c r="AC56" s="66"/>
    </row>
    <row r="57" spans="1:32" x14ac:dyDescent="0.25">
      <c r="F57" s="36"/>
      <c r="H57" s="36"/>
      <c r="J57" s="36"/>
      <c r="L57" s="36"/>
      <c r="N57" s="36"/>
      <c r="P57" s="36"/>
      <c r="R57" s="36"/>
      <c r="T57" s="36"/>
      <c r="V57" s="36"/>
      <c r="X57" s="36"/>
      <c r="Z57" s="36"/>
      <c r="AB57" s="36"/>
      <c r="AC57" s="66"/>
    </row>
    <row r="58" spans="1:32" x14ac:dyDescent="0.25">
      <c r="A58" s="33" t="s">
        <v>25</v>
      </c>
      <c r="B58" s="6"/>
      <c r="F58" s="36"/>
      <c r="H58" s="36"/>
      <c r="J58" s="36"/>
      <c r="L58" s="36"/>
      <c r="N58" s="36"/>
      <c r="P58" s="36"/>
      <c r="R58" s="36"/>
      <c r="T58" s="36"/>
      <c r="V58" s="36"/>
      <c r="X58" s="36"/>
      <c r="Z58" s="36"/>
      <c r="AB58" s="36"/>
      <c r="AC58" s="66"/>
      <c r="AD58" s="33" t="str">
        <f t="shared" ref="AD58:AE65" si="6">A58</f>
        <v>Supplies</v>
      </c>
      <c r="AE58" s="6"/>
    </row>
    <row r="59" spans="1:32" x14ac:dyDescent="0.25">
      <c r="A59" s="130" t="s">
        <v>24</v>
      </c>
      <c r="B59" s="2" t="s">
        <v>23</v>
      </c>
      <c r="C59" s="3">
        <v>4700</v>
      </c>
      <c r="E59" s="2">
        <v>0</v>
      </c>
      <c r="F59" s="36"/>
      <c r="G59" s="2">
        <v>0</v>
      </c>
      <c r="H59" s="36"/>
      <c r="I59" s="161">
        <v>750</v>
      </c>
      <c r="J59" s="36"/>
      <c r="K59" s="2">
        <v>75</v>
      </c>
      <c r="L59" s="36"/>
      <c r="M59" s="2">
        <v>563</v>
      </c>
      <c r="N59" s="36"/>
      <c r="O59" s="2">
        <v>0</v>
      </c>
      <c r="P59" s="36"/>
      <c r="Q59" s="2">
        <v>999</v>
      </c>
      <c r="R59" s="36"/>
      <c r="S59" s="161">
        <v>0</v>
      </c>
      <c r="T59" s="36"/>
      <c r="U59" s="2">
        <v>691</v>
      </c>
      <c r="V59" s="36"/>
      <c r="W59" s="161">
        <v>335</v>
      </c>
      <c r="X59" s="36"/>
      <c r="Y59" s="2">
        <v>0</v>
      </c>
      <c r="Z59" s="36"/>
      <c r="AA59" s="2">
        <v>800</v>
      </c>
      <c r="AB59" s="36"/>
      <c r="AC59" s="66"/>
      <c r="AD59" s="130" t="str">
        <f t="shared" si="6"/>
        <v>4210</v>
      </c>
      <c r="AE59" s="2" t="str">
        <f t="shared" si="6"/>
        <v>Other Books</v>
      </c>
      <c r="AF59" s="2">
        <f>SUM(C59,E59,G59,I59,K59,M59,O59,Q59,S59,U59,W59,Y59,AA59)</f>
        <v>8913</v>
      </c>
    </row>
    <row r="60" spans="1:32" x14ac:dyDescent="0.25">
      <c r="A60" s="130" t="s">
        <v>94</v>
      </c>
      <c r="B60" s="2" t="s">
        <v>96</v>
      </c>
      <c r="C60" s="3">
        <v>0</v>
      </c>
      <c r="E60" s="2">
        <v>0</v>
      </c>
      <c r="F60" s="36"/>
      <c r="G60" s="2">
        <v>160</v>
      </c>
      <c r="H60" s="36"/>
      <c r="I60" s="161">
        <v>0</v>
      </c>
      <c r="J60" s="36"/>
      <c r="K60" s="2">
        <v>0</v>
      </c>
      <c r="L60" s="36"/>
      <c r="M60" s="2">
        <v>31580</v>
      </c>
      <c r="N60" s="36"/>
      <c r="O60" s="2">
        <v>0</v>
      </c>
      <c r="P60" s="36"/>
      <c r="Q60" s="2">
        <v>0</v>
      </c>
      <c r="R60" s="36"/>
      <c r="S60" s="161">
        <v>0</v>
      </c>
      <c r="T60" s="36"/>
      <c r="U60" s="2">
        <v>0</v>
      </c>
      <c r="V60" s="36"/>
      <c r="W60" s="161">
        <v>0</v>
      </c>
      <c r="X60" s="36"/>
      <c r="Y60" s="2">
        <v>0</v>
      </c>
      <c r="Z60" s="36"/>
      <c r="AA60" s="2">
        <v>0</v>
      </c>
      <c r="AB60" s="36"/>
      <c r="AC60" s="66"/>
      <c r="AD60" s="130" t="str">
        <f t="shared" si="6"/>
        <v>4211</v>
      </c>
      <c r="AE60" s="2" t="str">
        <f t="shared" si="6"/>
        <v>Reference Books</v>
      </c>
      <c r="AF60" s="2">
        <f t="shared" ref="AF60:AF65" si="7">SUM(C60,E60,G60,I60,K60,M60,O60,Q60,S60,U60,W60,Y60,AA60)</f>
        <v>31740</v>
      </c>
    </row>
    <row r="61" spans="1:32" x14ac:dyDescent="0.25">
      <c r="A61" s="130" t="s">
        <v>95</v>
      </c>
      <c r="B61" s="2" t="s">
        <v>97</v>
      </c>
      <c r="C61" s="3">
        <v>0</v>
      </c>
      <c r="E61" s="2">
        <v>0</v>
      </c>
      <c r="F61" s="36"/>
      <c r="G61" s="2">
        <v>0</v>
      </c>
      <c r="H61" s="36"/>
      <c r="I61" s="161">
        <v>0</v>
      </c>
      <c r="J61" s="36"/>
      <c r="K61" s="2">
        <v>2747</v>
      </c>
      <c r="L61" s="36"/>
      <c r="M61" s="2">
        <v>0</v>
      </c>
      <c r="N61" s="36"/>
      <c r="O61" s="2">
        <v>0</v>
      </c>
      <c r="P61" s="36"/>
      <c r="Q61" s="2">
        <v>0</v>
      </c>
      <c r="R61" s="36"/>
      <c r="S61" s="161">
        <v>0</v>
      </c>
      <c r="T61" s="36"/>
      <c r="U61" s="2">
        <v>0</v>
      </c>
      <c r="V61" s="36"/>
      <c r="W61" s="161">
        <v>0</v>
      </c>
      <c r="X61" s="36"/>
      <c r="Y61" s="2">
        <v>0</v>
      </c>
      <c r="Z61" s="36"/>
      <c r="AA61" s="2">
        <v>0</v>
      </c>
      <c r="AB61" s="36"/>
      <c r="AC61" s="66"/>
      <c r="AD61" s="130" t="str">
        <f t="shared" si="6"/>
        <v>4212</v>
      </c>
      <c r="AE61" s="2" t="str">
        <f t="shared" si="6"/>
        <v>Library Books</v>
      </c>
      <c r="AF61" s="2">
        <f t="shared" si="7"/>
        <v>2747</v>
      </c>
    </row>
    <row r="62" spans="1:32" x14ac:dyDescent="0.25">
      <c r="A62" s="130" t="s">
        <v>22</v>
      </c>
      <c r="B62" s="2" t="s">
        <v>21</v>
      </c>
      <c r="C62" s="3">
        <v>10944</v>
      </c>
      <c r="E62" s="2">
        <v>27172.23</v>
      </c>
      <c r="F62" s="36"/>
      <c r="G62" s="2">
        <f>28979+G135+G151</f>
        <v>50019</v>
      </c>
      <c r="H62" s="36"/>
      <c r="I62" s="161">
        <v>51238</v>
      </c>
      <c r="J62" s="36"/>
      <c r="K62" s="2">
        <f>23641+K135</f>
        <v>48641</v>
      </c>
      <c r="L62" s="36"/>
      <c r="M62" s="2">
        <v>0</v>
      </c>
      <c r="N62" s="36"/>
      <c r="O62" s="2">
        <v>94881</v>
      </c>
      <c r="P62" s="36"/>
      <c r="Q62" s="2">
        <f>34526+Q135+Q138+Q151</f>
        <v>66426</v>
      </c>
      <c r="R62" s="36"/>
      <c r="S62" s="161">
        <v>32648</v>
      </c>
      <c r="T62" s="36"/>
      <c r="U62" s="2">
        <v>38127</v>
      </c>
      <c r="V62" s="36"/>
      <c r="W62" s="161">
        <v>31924</v>
      </c>
      <c r="X62" s="36"/>
      <c r="Y62" s="2">
        <v>25349</v>
      </c>
      <c r="Z62" s="36"/>
      <c r="AA62" s="2">
        <v>22677</v>
      </c>
      <c r="AB62" s="36"/>
      <c r="AC62" s="66"/>
      <c r="AD62" s="130" t="str">
        <f t="shared" si="6"/>
        <v>4310</v>
      </c>
      <c r="AE62" s="2" t="str">
        <f t="shared" si="6"/>
        <v>Inst. Materials</v>
      </c>
      <c r="AF62" s="2">
        <f t="shared" si="7"/>
        <v>500046.23</v>
      </c>
    </row>
    <row r="63" spans="1:32" x14ac:dyDescent="0.25">
      <c r="A63" s="130" t="s">
        <v>20</v>
      </c>
      <c r="B63" s="2" t="s">
        <v>19</v>
      </c>
      <c r="C63" s="3">
        <v>9400</v>
      </c>
      <c r="E63" s="2">
        <v>0</v>
      </c>
      <c r="F63" s="36"/>
      <c r="G63" s="2">
        <v>255</v>
      </c>
      <c r="H63" s="36"/>
      <c r="I63" s="161">
        <v>653</v>
      </c>
      <c r="J63" s="36"/>
      <c r="K63" s="2">
        <v>0</v>
      </c>
      <c r="L63" s="36"/>
      <c r="M63" s="2">
        <v>100</v>
      </c>
      <c r="N63" s="36"/>
      <c r="O63" s="2">
        <v>0</v>
      </c>
      <c r="P63" s="36"/>
      <c r="Q63" s="2">
        <v>1250</v>
      </c>
      <c r="R63" s="36"/>
      <c r="S63" s="161">
        <v>7996</v>
      </c>
      <c r="T63" s="36"/>
      <c r="U63" s="2">
        <v>245</v>
      </c>
      <c r="V63" s="36"/>
      <c r="W63" s="161">
        <v>2000</v>
      </c>
      <c r="X63" s="36"/>
      <c r="Y63" s="2">
        <v>3642</v>
      </c>
      <c r="Z63" s="36"/>
      <c r="AA63" s="2">
        <v>350</v>
      </c>
      <c r="AB63" s="36"/>
      <c r="AC63" s="66"/>
      <c r="AD63" s="130" t="str">
        <f t="shared" si="6"/>
        <v xml:space="preserve">4353 </v>
      </c>
      <c r="AE63" s="2" t="str">
        <f t="shared" si="6"/>
        <v>Non-Inst. Materials</v>
      </c>
      <c r="AF63" s="2">
        <f t="shared" si="7"/>
        <v>25891</v>
      </c>
    </row>
    <row r="64" spans="1:32" x14ac:dyDescent="0.25">
      <c r="A64" s="130" t="s">
        <v>18</v>
      </c>
      <c r="B64" s="2" t="s">
        <v>17</v>
      </c>
      <c r="C64" s="3">
        <v>785</v>
      </c>
      <c r="E64" s="2">
        <v>4707.72</v>
      </c>
      <c r="F64" s="36"/>
      <c r="G64" s="2">
        <f>7216+G136</f>
        <v>10716</v>
      </c>
      <c r="H64" s="36"/>
      <c r="I64" s="161">
        <v>14879</v>
      </c>
      <c r="J64" s="36"/>
      <c r="K64" s="2">
        <f>+K136</f>
        <v>4794</v>
      </c>
      <c r="L64" s="36"/>
      <c r="M64" s="2">
        <v>6198</v>
      </c>
      <c r="N64" s="36"/>
      <c r="O64" s="2">
        <f>+O136</f>
        <v>4397</v>
      </c>
      <c r="P64" s="36"/>
      <c r="Q64" s="2">
        <f>1573+Q136</f>
        <v>4720</v>
      </c>
      <c r="R64" s="36"/>
      <c r="S64" s="161">
        <v>2737</v>
      </c>
      <c r="T64" s="36"/>
      <c r="U64" s="2">
        <v>4989</v>
      </c>
      <c r="V64" s="36"/>
      <c r="W64" s="161">
        <v>3000</v>
      </c>
      <c r="X64" s="36"/>
      <c r="Y64" s="2">
        <v>0</v>
      </c>
      <c r="Z64" s="36"/>
      <c r="AA64" s="2">
        <v>0</v>
      </c>
      <c r="AB64" s="36"/>
      <c r="AC64" s="66"/>
      <c r="AD64" s="130" t="str">
        <f t="shared" si="6"/>
        <v>4400</v>
      </c>
      <c r="AE64" s="2" t="str">
        <f t="shared" si="6"/>
        <v>Non-cap. Equipment</v>
      </c>
      <c r="AF64" s="2">
        <f t="shared" si="7"/>
        <v>61922.720000000001</v>
      </c>
    </row>
    <row r="65" spans="1:32" x14ac:dyDescent="0.25">
      <c r="A65" s="130"/>
      <c r="B65" s="125"/>
      <c r="C65" s="3">
        <v>0</v>
      </c>
      <c r="E65" s="2">
        <v>0</v>
      </c>
      <c r="F65" s="36"/>
      <c r="G65" s="2">
        <v>0</v>
      </c>
      <c r="H65" s="36"/>
      <c r="I65" s="161">
        <v>0</v>
      </c>
      <c r="J65" s="36"/>
      <c r="K65" s="2">
        <v>0</v>
      </c>
      <c r="L65" s="36"/>
      <c r="M65" s="2">
        <v>0</v>
      </c>
      <c r="N65" s="36"/>
      <c r="O65" s="2">
        <v>0</v>
      </c>
      <c r="P65" s="36"/>
      <c r="Q65" s="2">
        <v>0</v>
      </c>
      <c r="R65" s="36"/>
      <c r="S65" s="161">
        <v>0</v>
      </c>
      <c r="T65" s="36"/>
      <c r="U65" s="2">
        <v>0</v>
      </c>
      <c r="V65" s="36"/>
      <c r="W65" s="161">
        <v>0</v>
      </c>
      <c r="X65" s="36"/>
      <c r="Y65" s="2">
        <v>0</v>
      </c>
      <c r="Z65" s="36"/>
      <c r="AA65" s="2">
        <v>0</v>
      </c>
      <c r="AB65" s="36"/>
      <c r="AC65" s="66"/>
      <c r="AD65" s="130">
        <f t="shared" si="6"/>
        <v>0</v>
      </c>
      <c r="AE65" s="125">
        <f t="shared" si="6"/>
        <v>0</v>
      </c>
      <c r="AF65" s="2">
        <f t="shared" si="7"/>
        <v>0</v>
      </c>
    </row>
    <row r="66" spans="1:32" x14ac:dyDescent="0.25">
      <c r="A66" s="2"/>
      <c r="C66" s="8">
        <f>SUM(C59:C65)</f>
        <v>25829</v>
      </c>
      <c r="D66" s="33"/>
      <c r="E66" s="8">
        <f>SUM(E59:E65)</f>
        <v>31879.95</v>
      </c>
      <c r="F66" s="5"/>
      <c r="G66" s="8">
        <f>SUM(G59:G65)</f>
        <v>61150</v>
      </c>
      <c r="H66" s="5"/>
      <c r="I66" s="815">
        <f>SUM(I59:I65)</f>
        <v>67520</v>
      </c>
      <c r="J66" s="5"/>
      <c r="K66" s="8">
        <f>SUM(K59:K65)</f>
        <v>56257</v>
      </c>
      <c r="L66" s="5"/>
      <c r="M66" s="8">
        <f>SUM(M59:M65)</f>
        <v>38441</v>
      </c>
      <c r="N66" s="5"/>
      <c r="O66" s="8">
        <f>SUM(O59:O65)</f>
        <v>99278</v>
      </c>
      <c r="P66" s="5"/>
      <c r="Q66" s="8">
        <f>SUM(Q59:Q65)</f>
        <v>73395</v>
      </c>
      <c r="R66" s="5"/>
      <c r="S66" s="815">
        <f>SUM(S59:S65)</f>
        <v>43381</v>
      </c>
      <c r="T66" s="5"/>
      <c r="U66" s="8">
        <f>SUM(U59:U65)</f>
        <v>44052</v>
      </c>
      <c r="V66" s="5"/>
      <c r="W66" s="815">
        <f>SUM(W59:W65)</f>
        <v>37259</v>
      </c>
      <c r="X66" s="5"/>
      <c r="Y66" s="8">
        <f>SUM(Y59:Y65)</f>
        <v>28991</v>
      </c>
      <c r="Z66" s="5"/>
      <c r="AA66" s="8">
        <f>SUM(AA59:AA65)</f>
        <v>23827</v>
      </c>
      <c r="AB66" s="5"/>
      <c r="AC66" s="29"/>
      <c r="AD66" s="2"/>
      <c r="AF66" s="8">
        <f>SUM(AF59:AF65)</f>
        <v>631259.94999999995</v>
      </c>
    </row>
    <row r="67" spans="1:32" x14ac:dyDescent="0.25">
      <c r="F67" s="36"/>
      <c r="H67" s="36"/>
      <c r="J67" s="36"/>
      <c r="L67" s="36"/>
      <c r="N67" s="36"/>
      <c r="P67" s="36"/>
      <c r="R67" s="36"/>
      <c r="T67" s="36"/>
      <c r="V67" s="36"/>
      <c r="X67" s="36"/>
      <c r="Z67" s="36"/>
      <c r="AB67" s="36"/>
      <c r="AC67" s="66"/>
    </row>
    <row r="68" spans="1:32" s="6" customFormat="1" x14ac:dyDescent="0.25">
      <c r="A68" s="126" t="s">
        <v>16</v>
      </c>
      <c r="D68" s="33"/>
      <c r="I68" s="816"/>
      <c r="S68" s="816"/>
      <c r="W68" s="816"/>
      <c r="AC68" s="57"/>
      <c r="AD68" s="126" t="str">
        <f t="shared" ref="AD68:AE82" si="8">A68</f>
        <v>Services, Other Oprtng Exp.</v>
      </c>
    </row>
    <row r="69" spans="1:32" x14ac:dyDescent="0.25">
      <c r="A69" s="130" t="s">
        <v>15</v>
      </c>
      <c r="B69" s="2" t="s">
        <v>14</v>
      </c>
      <c r="C69" s="3">
        <v>290288</v>
      </c>
      <c r="E69" s="2">
        <v>775.44</v>
      </c>
      <c r="F69" s="36"/>
      <c r="G69" s="2">
        <v>0</v>
      </c>
      <c r="H69" s="36"/>
      <c r="I69" s="161">
        <v>12000</v>
      </c>
      <c r="J69" s="36"/>
      <c r="K69" s="2">
        <v>9000</v>
      </c>
      <c r="L69" s="36"/>
      <c r="M69" s="2">
        <v>7500</v>
      </c>
      <c r="N69" s="36"/>
      <c r="O69" s="2">
        <v>1971</v>
      </c>
      <c r="P69" s="36"/>
      <c r="Q69" s="2">
        <v>6631</v>
      </c>
      <c r="R69" s="36"/>
      <c r="S69" s="161">
        <v>4000</v>
      </c>
      <c r="T69" s="36"/>
      <c r="U69" s="2">
        <v>3526</v>
      </c>
      <c r="V69" s="36"/>
      <c r="W69" s="161">
        <v>6500</v>
      </c>
      <c r="X69" s="36"/>
      <c r="Y69" s="2">
        <v>800</v>
      </c>
      <c r="Z69" s="36"/>
      <c r="AA69" s="2">
        <v>7000</v>
      </c>
      <c r="AB69" s="36"/>
      <c r="AC69" s="66"/>
      <c r="AD69" s="130" t="str">
        <f t="shared" si="8"/>
        <v>5213</v>
      </c>
      <c r="AE69" s="2" t="str">
        <f t="shared" si="8"/>
        <v>Conf. &amp; Travel</v>
      </c>
      <c r="AF69" s="2">
        <f>SUM(C69,E69,G69,I69,K69,M69,O69,Q69,S69,U69,W69,Y69,AA69)</f>
        <v>349991.44</v>
      </c>
    </row>
    <row r="70" spans="1:32" x14ac:dyDescent="0.25">
      <c r="A70" s="130" t="s">
        <v>13</v>
      </c>
      <c r="B70" s="2" t="s">
        <v>12</v>
      </c>
      <c r="C70" s="3">
        <v>800</v>
      </c>
      <c r="E70" s="2">
        <v>0</v>
      </c>
      <c r="F70" s="36"/>
      <c r="G70" s="2">
        <v>0</v>
      </c>
      <c r="H70" s="36"/>
      <c r="I70" s="161">
        <v>0</v>
      </c>
      <c r="J70" s="36"/>
      <c r="K70" s="2">
        <v>0</v>
      </c>
      <c r="L70" s="36"/>
      <c r="M70" s="2">
        <v>0</v>
      </c>
      <c r="N70" s="36"/>
      <c r="O70" s="2">
        <v>0</v>
      </c>
      <c r="P70" s="36"/>
      <c r="Q70" s="2">
        <v>0</v>
      </c>
      <c r="R70" s="36"/>
      <c r="S70" s="161">
        <v>0</v>
      </c>
      <c r="T70" s="36"/>
      <c r="U70" s="2">
        <v>0</v>
      </c>
      <c r="V70" s="36"/>
      <c r="W70" s="161">
        <v>0</v>
      </c>
      <c r="X70" s="36"/>
      <c r="Y70" s="2">
        <v>0</v>
      </c>
      <c r="Z70" s="36"/>
      <c r="AA70" s="2">
        <v>0</v>
      </c>
      <c r="AB70" s="36"/>
      <c r="AC70" s="66"/>
      <c r="AD70" s="130" t="str">
        <f t="shared" si="8"/>
        <v>5310</v>
      </c>
      <c r="AE70" s="2" t="str">
        <f t="shared" si="8"/>
        <v>Membership/Dues</v>
      </c>
      <c r="AF70" s="2">
        <f t="shared" ref="AF70:AF81" si="9">SUM(C70,E70,G70,I70,K70,M70,O70,Q70,S70,U70,W70,Y70,AA70)</f>
        <v>800</v>
      </c>
    </row>
    <row r="71" spans="1:32" x14ac:dyDescent="0.25">
      <c r="A71" s="130" t="s">
        <v>128</v>
      </c>
      <c r="B71" s="2" t="s">
        <v>129</v>
      </c>
      <c r="C71" s="3">
        <v>0</v>
      </c>
      <c r="E71" s="2">
        <v>0</v>
      </c>
      <c r="F71" s="36"/>
      <c r="G71" s="2">
        <v>0</v>
      </c>
      <c r="H71" s="36"/>
      <c r="I71" s="161">
        <v>0</v>
      </c>
      <c r="J71" s="36"/>
      <c r="K71" s="2">
        <v>0</v>
      </c>
      <c r="L71" s="36"/>
      <c r="M71" s="2">
        <v>0</v>
      </c>
      <c r="N71" s="36"/>
      <c r="O71" s="2">
        <v>0</v>
      </c>
      <c r="P71" s="36"/>
      <c r="Q71" s="2">
        <v>0</v>
      </c>
      <c r="R71" s="36"/>
      <c r="S71" s="161">
        <v>0</v>
      </c>
      <c r="T71" s="36"/>
      <c r="U71" s="2">
        <v>0</v>
      </c>
      <c r="V71" s="36"/>
      <c r="W71" s="161">
        <v>1500</v>
      </c>
      <c r="X71" s="36"/>
      <c r="Z71" s="36"/>
      <c r="AB71" s="36"/>
      <c r="AC71" s="66"/>
      <c r="AD71" s="130" t="str">
        <f t="shared" si="8"/>
        <v>5607</v>
      </c>
      <c r="AE71" s="2" t="str">
        <f t="shared" si="8"/>
        <v>Repairs-Other</v>
      </c>
      <c r="AF71" s="2">
        <f t="shared" si="9"/>
        <v>1500</v>
      </c>
    </row>
    <row r="72" spans="1:32" x14ac:dyDescent="0.25">
      <c r="A72" s="130" t="s">
        <v>11</v>
      </c>
      <c r="B72" s="2" t="s">
        <v>10</v>
      </c>
      <c r="C72" s="3">
        <v>3199</v>
      </c>
      <c r="E72" s="2">
        <v>0</v>
      </c>
      <c r="F72" s="36"/>
      <c r="G72" s="2">
        <f>+G152</f>
        <v>500</v>
      </c>
      <c r="H72" s="36"/>
      <c r="I72" s="161">
        <v>0</v>
      </c>
      <c r="J72" s="36"/>
      <c r="K72" s="2">
        <v>0</v>
      </c>
      <c r="L72" s="36"/>
      <c r="M72" s="2">
        <v>0</v>
      </c>
      <c r="N72" s="36"/>
      <c r="O72" s="2">
        <v>0</v>
      </c>
      <c r="P72" s="36"/>
      <c r="Q72" s="2">
        <v>1500</v>
      </c>
      <c r="R72" s="36"/>
      <c r="S72" s="161">
        <v>0</v>
      </c>
      <c r="T72" s="36"/>
      <c r="U72" s="2">
        <v>0</v>
      </c>
      <c r="V72" s="36"/>
      <c r="W72" s="161">
        <v>0</v>
      </c>
      <c r="X72" s="36"/>
      <c r="Y72" s="2">
        <v>0</v>
      </c>
      <c r="Z72" s="36"/>
      <c r="AA72" s="2">
        <v>0</v>
      </c>
      <c r="AB72" s="36"/>
      <c r="AC72" s="66"/>
      <c r="AD72" s="130" t="str">
        <f t="shared" si="8"/>
        <v>5725</v>
      </c>
      <c r="AE72" s="2" t="str">
        <f t="shared" si="8"/>
        <v>Field Trip Transp.</v>
      </c>
      <c r="AF72" s="2">
        <f t="shared" si="9"/>
        <v>5199</v>
      </c>
    </row>
    <row r="73" spans="1:32" x14ac:dyDescent="0.25">
      <c r="A73" s="130" t="s">
        <v>120</v>
      </c>
      <c r="B73" s="2" t="s">
        <v>121</v>
      </c>
      <c r="C73" s="3">
        <v>0</v>
      </c>
      <c r="E73" s="2">
        <v>0</v>
      </c>
      <c r="F73" s="36"/>
      <c r="G73" s="2">
        <v>0</v>
      </c>
      <c r="H73" s="36"/>
      <c r="I73" s="161">
        <v>0</v>
      </c>
      <c r="J73" s="36"/>
      <c r="K73" s="2">
        <v>0</v>
      </c>
      <c r="L73" s="36"/>
      <c r="M73" s="2">
        <v>0</v>
      </c>
      <c r="N73" s="36"/>
      <c r="O73" s="2">
        <v>0</v>
      </c>
      <c r="P73" s="36"/>
      <c r="Q73" s="2">
        <v>750</v>
      </c>
      <c r="R73" s="36"/>
      <c r="S73" s="161">
        <v>4000</v>
      </c>
      <c r="T73" s="36"/>
      <c r="U73" s="2">
        <v>0</v>
      </c>
      <c r="V73" s="36"/>
      <c r="X73" s="36"/>
      <c r="Z73" s="36"/>
      <c r="AB73" s="36"/>
      <c r="AC73" s="66"/>
      <c r="AD73" s="130" t="str">
        <f t="shared" si="8"/>
        <v>5752</v>
      </c>
      <c r="AE73" s="2" t="str">
        <f t="shared" si="8"/>
        <v>Direct Srvc-Food Srvc.</v>
      </c>
      <c r="AF73" s="2">
        <f t="shared" si="9"/>
        <v>4750</v>
      </c>
    </row>
    <row r="74" spans="1:32" x14ac:dyDescent="0.25">
      <c r="A74" s="130" t="s">
        <v>126</v>
      </c>
      <c r="B74" s="2" t="s">
        <v>127</v>
      </c>
      <c r="C74" s="3">
        <v>0</v>
      </c>
      <c r="E74" s="2">
        <v>0</v>
      </c>
      <c r="F74" s="36"/>
      <c r="G74" s="2">
        <v>0</v>
      </c>
      <c r="H74" s="36"/>
      <c r="I74" s="161">
        <v>0</v>
      </c>
      <c r="J74" s="36"/>
      <c r="K74" s="2">
        <v>0</v>
      </c>
      <c r="L74" s="36"/>
      <c r="M74" s="2">
        <v>0</v>
      </c>
      <c r="N74" s="36"/>
      <c r="O74" s="2">
        <v>0</v>
      </c>
      <c r="P74" s="36"/>
      <c r="Q74" s="2">
        <v>0</v>
      </c>
      <c r="R74" s="36"/>
      <c r="S74" s="161">
        <v>0</v>
      </c>
      <c r="T74" s="36"/>
      <c r="U74" s="2">
        <v>640</v>
      </c>
      <c r="V74" s="36"/>
      <c r="X74" s="36"/>
      <c r="Z74" s="36"/>
      <c r="AB74" s="36"/>
      <c r="AC74" s="66"/>
      <c r="AD74" s="130" t="str">
        <f t="shared" si="8"/>
        <v>5806</v>
      </c>
      <c r="AE74" s="2" t="str">
        <f t="shared" si="8"/>
        <v>Outside Interpreter</v>
      </c>
      <c r="AF74" s="2">
        <f t="shared" si="9"/>
        <v>640</v>
      </c>
    </row>
    <row r="75" spans="1:32" x14ac:dyDescent="0.25">
      <c r="A75" s="130" t="s">
        <v>9</v>
      </c>
      <c r="B75" s="2" t="s">
        <v>8</v>
      </c>
      <c r="C75" s="3">
        <v>27678.37</v>
      </c>
      <c r="E75" s="2">
        <v>0</v>
      </c>
      <c r="F75" s="36"/>
      <c r="G75" s="2">
        <v>0</v>
      </c>
      <c r="H75" s="36"/>
      <c r="I75" s="161">
        <v>0</v>
      </c>
      <c r="J75" s="36"/>
      <c r="K75" s="2">
        <v>4950</v>
      </c>
      <c r="L75" s="36"/>
      <c r="M75" s="2">
        <v>0</v>
      </c>
      <c r="N75" s="36"/>
      <c r="O75" s="2">
        <v>0</v>
      </c>
      <c r="P75" s="36"/>
      <c r="Q75" s="2">
        <v>0</v>
      </c>
      <c r="R75" s="36"/>
      <c r="S75" s="161">
        <v>0</v>
      </c>
      <c r="T75" s="36"/>
      <c r="U75" s="2">
        <v>0</v>
      </c>
      <c r="V75" s="36"/>
      <c r="W75" s="161">
        <v>500</v>
      </c>
      <c r="X75" s="36"/>
      <c r="Y75" s="2">
        <v>5572</v>
      </c>
      <c r="Z75" s="36"/>
      <c r="AA75" s="2">
        <v>0</v>
      </c>
      <c r="AB75" s="36"/>
      <c r="AC75" s="66"/>
      <c r="AD75" s="130" t="str">
        <f t="shared" si="8"/>
        <v>5807</v>
      </c>
      <c r="AE75" s="2" t="str">
        <f t="shared" si="8"/>
        <v>Consultants</v>
      </c>
      <c r="AF75" s="2">
        <f t="shared" si="9"/>
        <v>38700.369999999995</v>
      </c>
    </row>
    <row r="76" spans="1:32" x14ac:dyDescent="0.25">
      <c r="A76" s="130" t="s">
        <v>122</v>
      </c>
      <c r="B76" s="2" t="s">
        <v>123</v>
      </c>
      <c r="C76" s="3">
        <v>0</v>
      </c>
      <c r="E76" s="2">
        <v>0</v>
      </c>
      <c r="F76" s="36"/>
      <c r="G76" s="2">
        <v>0</v>
      </c>
      <c r="H76" s="36"/>
      <c r="I76" s="161">
        <v>0</v>
      </c>
      <c r="J76" s="36"/>
      <c r="K76" s="2">
        <v>0</v>
      </c>
      <c r="L76" s="36"/>
      <c r="M76" s="2">
        <v>0</v>
      </c>
      <c r="N76" s="36"/>
      <c r="O76" s="2">
        <v>0</v>
      </c>
      <c r="P76" s="36"/>
      <c r="Q76" s="2">
        <v>390</v>
      </c>
      <c r="R76" s="36"/>
      <c r="S76" s="161">
        <v>0</v>
      </c>
      <c r="T76" s="36"/>
      <c r="U76" s="2">
        <v>0</v>
      </c>
      <c r="V76" s="36"/>
      <c r="W76" s="161">
        <v>0</v>
      </c>
      <c r="X76" s="36"/>
      <c r="Y76" s="2">
        <v>0</v>
      </c>
      <c r="Z76" s="36"/>
      <c r="AB76" s="36"/>
      <c r="AC76" s="66"/>
      <c r="AD76" s="130" t="str">
        <f t="shared" si="8"/>
        <v>5809</v>
      </c>
      <c r="AE76" s="2" t="str">
        <f t="shared" si="8"/>
        <v>Fees</v>
      </c>
      <c r="AF76" s="2">
        <f t="shared" si="9"/>
        <v>390</v>
      </c>
    </row>
    <row r="77" spans="1:32" x14ac:dyDescent="0.25">
      <c r="A77" s="130" t="s">
        <v>7</v>
      </c>
      <c r="B77" s="2" t="s">
        <v>6</v>
      </c>
      <c r="C77" s="3">
        <v>16000</v>
      </c>
      <c r="E77" s="2">
        <v>0</v>
      </c>
      <c r="F77" s="36"/>
      <c r="G77" s="2">
        <v>0</v>
      </c>
      <c r="H77" s="36"/>
      <c r="I77" s="161">
        <v>9922</v>
      </c>
      <c r="J77" s="36"/>
      <c r="K77" s="2">
        <v>2000</v>
      </c>
      <c r="L77" s="36"/>
      <c r="M77" s="2">
        <v>3000</v>
      </c>
      <c r="N77" s="36"/>
      <c r="O77" s="2">
        <v>0</v>
      </c>
      <c r="P77" s="36"/>
      <c r="Q77" s="2">
        <v>1000</v>
      </c>
      <c r="R77" s="36"/>
      <c r="S77" s="161">
        <v>4000</v>
      </c>
      <c r="T77" s="36"/>
      <c r="U77" s="2">
        <v>4450</v>
      </c>
      <c r="V77" s="36"/>
      <c r="W77" s="161">
        <v>300</v>
      </c>
      <c r="X77" s="36"/>
      <c r="Y77" s="2">
        <v>500</v>
      </c>
      <c r="Z77" s="36"/>
      <c r="AA77" s="2">
        <v>3500</v>
      </c>
      <c r="AB77" s="36"/>
      <c r="AC77" s="66"/>
      <c r="AD77" s="130" t="str">
        <f t="shared" si="8"/>
        <v>5813</v>
      </c>
      <c r="AE77" s="2" t="str">
        <f t="shared" si="8"/>
        <v>Outside Services</v>
      </c>
      <c r="AF77" s="2">
        <f t="shared" si="9"/>
        <v>44672</v>
      </c>
    </row>
    <row r="78" spans="1:32" x14ac:dyDescent="0.25">
      <c r="A78" s="130" t="s">
        <v>5</v>
      </c>
      <c r="B78" s="2" t="s">
        <v>4</v>
      </c>
      <c r="C78" s="3">
        <v>24998</v>
      </c>
      <c r="E78" s="2">
        <v>0</v>
      </c>
      <c r="F78" s="36"/>
      <c r="G78" s="2">
        <v>0</v>
      </c>
      <c r="H78" s="36"/>
      <c r="I78" s="161">
        <v>0</v>
      </c>
      <c r="J78" s="36"/>
      <c r="K78" s="2">
        <v>1614</v>
      </c>
      <c r="L78" s="36"/>
      <c r="M78" s="2">
        <v>0</v>
      </c>
      <c r="N78" s="36"/>
      <c r="O78" s="2">
        <v>300</v>
      </c>
      <c r="P78" s="36"/>
      <c r="Q78" s="2">
        <v>500</v>
      </c>
      <c r="R78" s="36"/>
      <c r="S78" s="161">
        <v>2689</v>
      </c>
      <c r="T78" s="36"/>
      <c r="U78" s="2">
        <v>0</v>
      </c>
      <c r="V78" s="36"/>
      <c r="W78" s="161">
        <v>4200</v>
      </c>
      <c r="X78" s="36"/>
      <c r="Y78" s="2">
        <v>1554</v>
      </c>
      <c r="Z78" s="36"/>
      <c r="AA78" s="2">
        <v>0</v>
      </c>
      <c r="AB78" s="36"/>
      <c r="AC78" s="66"/>
      <c r="AD78" s="130" t="str">
        <f t="shared" si="8"/>
        <v>5814</v>
      </c>
      <c r="AE78" s="2" t="str">
        <f t="shared" si="8"/>
        <v>Other Services</v>
      </c>
      <c r="AF78" s="2">
        <f t="shared" si="9"/>
        <v>35855</v>
      </c>
    </row>
    <row r="79" spans="1:32" x14ac:dyDescent="0.25">
      <c r="A79" s="130" t="s">
        <v>3</v>
      </c>
      <c r="B79" s="2" t="s">
        <v>2</v>
      </c>
      <c r="C79" s="3">
        <v>2000</v>
      </c>
      <c r="E79" s="2">
        <v>0</v>
      </c>
      <c r="F79" s="36"/>
      <c r="G79" s="2">
        <v>0</v>
      </c>
      <c r="H79" s="36"/>
      <c r="I79" s="161">
        <v>1700</v>
      </c>
      <c r="J79" s="36"/>
      <c r="K79" s="2">
        <v>0</v>
      </c>
      <c r="L79" s="36"/>
      <c r="M79" s="2">
        <v>0</v>
      </c>
      <c r="N79" s="36"/>
      <c r="O79" s="2">
        <v>0</v>
      </c>
      <c r="P79" s="36"/>
      <c r="Q79" s="2">
        <v>0</v>
      </c>
      <c r="R79" s="36"/>
      <c r="S79" s="161">
        <v>0</v>
      </c>
      <c r="T79" s="36"/>
      <c r="U79" s="2">
        <v>0</v>
      </c>
      <c r="V79" s="36"/>
      <c r="W79" s="161">
        <v>0</v>
      </c>
      <c r="X79" s="36"/>
      <c r="Y79" s="2">
        <v>0</v>
      </c>
      <c r="Z79" s="36"/>
      <c r="AA79" s="2">
        <v>0</v>
      </c>
      <c r="AB79" s="36"/>
      <c r="AC79" s="66"/>
      <c r="AD79" s="130" t="str">
        <f t="shared" si="8"/>
        <v>5817</v>
      </c>
      <c r="AE79" s="2" t="str">
        <f t="shared" si="8"/>
        <v>Outside Transp.</v>
      </c>
      <c r="AF79" s="2">
        <f t="shared" si="9"/>
        <v>3700</v>
      </c>
    </row>
    <row r="80" spans="1:32" x14ac:dyDescent="0.25">
      <c r="A80" s="130" t="s">
        <v>124</v>
      </c>
      <c r="B80" s="2" t="s">
        <v>125</v>
      </c>
      <c r="C80" s="3">
        <v>0</v>
      </c>
      <c r="E80" s="2">
        <v>0</v>
      </c>
      <c r="F80" s="36"/>
      <c r="G80" s="2">
        <v>0</v>
      </c>
      <c r="H80" s="36"/>
      <c r="I80" s="161">
        <v>0</v>
      </c>
      <c r="J80" s="36"/>
      <c r="K80" s="2">
        <v>0</v>
      </c>
      <c r="L80" s="36"/>
      <c r="M80" s="2">
        <v>0</v>
      </c>
      <c r="N80" s="36"/>
      <c r="O80" s="2">
        <v>0</v>
      </c>
      <c r="P80" s="36"/>
      <c r="Q80" s="2">
        <v>200</v>
      </c>
      <c r="R80" s="36"/>
      <c r="S80" s="161">
        <v>200</v>
      </c>
      <c r="T80" s="36"/>
      <c r="U80" s="2">
        <v>0</v>
      </c>
      <c r="V80" s="36"/>
      <c r="X80" s="36"/>
      <c r="Y80" s="2">
        <v>1000</v>
      </c>
      <c r="Z80" s="36"/>
      <c r="AB80" s="36"/>
      <c r="AC80" s="66"/>
      <c r="AD80" s="130" t="str">
        <f t="shared" si="8"/>
        <v>5908</v>
      </c>
      <c r="AE80" s="2" t="str">
        <f t="shared" si="8"/>
        <v>Postage</v>
      </c>
      <c r="AF80" s="2">
        <f t="shared" si="9"/>
        <v>1400</v>
      </c>
    </row>
    <row r="81" spans="1:33" x14ac:dyDescent="0.25">
      <c r="A81" s="130" t="s">
        <v>1</v>
      </c>
      <c r="C81" s="3">
        <v>0</v>
      </c>
      <c r="E81" s="2">
        <v>0</v>
      </c>
      <c r="F81" s="36"/>
      <c r="G81" s="2">
        <v>0</v>
      </c>
      <c r="H81" s="36"/>
      <c r="I81" s="161">
        <v>0</v>
      </c>
      <c r="J81" s="36"/>
      <c r="K81" s="2">
        <v>0</v>
      </c>
      <c r="L81" s="36"/>
      <c r="M81" s="2">
        <v>0</v>
      </c>
      <c r="N81" s="36"/>
      <c r="O81" s="2">
        <v>0</v>
      </c>
      <c r="P81" s="36"/>
      <c r="Q81" s="2">
        <v>0</v>
      </c>
      <c r="R81" s="36"/>
      <c r="S81" s="161">
        <v>0</v>
      </c>
      <c r="T81" s="36"/>
      <c r="U81" s="2">
        <v>0</v>
      </c>
      <c r="V81" s="36"/>
      <c r="W81" s="161">
        <v>0</v>
      </c>
      <c r="X81" s="36"/>
      <c r="Y81" s="2">
        <v>0</v>
      </c>
      <c r="Z81" s="36"/>
      <c r="AA81" s="2">
        <v>0</v>
      </c>
      <c r="AB81" s="36"/>
      <c r="AC81" s="66"/>
      <c r="AD81" s="130" t="str">
        <f t="shared" si="8"/>
        <v>5000</v>
      </c>
      <c r="AE81" s="125">
        <f t="shared" si="8"/>
        <v>0</v>
      </c>
      <c r="AF81" s="2">
        <f t="shared" si="9"/>
        <v>0</v>
      </c>
    </row>
    <row r="82" spans="1:33" x14ac:dyDescent="0.25">
      <c r="C82" s="8">
        <f>SUM(C69:C81)</f>
        <v>364963.37</v>
      </c>
      <c r="D82" s="33"/>
      <c r="E82" s="8">
        <f>SUM(E69:E81)</f>
        <v>775.44</v>
      </c>
      <c r="F82" s="5"/>
      <c r="G82" s="8">
        <f>SUM(G69:G81)</f>
        <v>500</v>
      </c>
      <c r="H82" s="5"/>
      <c r="I82" s="815">
        <f>SUM(I69:I81)</f>
        <v>23622</v>
      </c>
      <c r="J82" s="5"/>
      <c r="K82" s="8">
        <f>SUM(K69:K81)</f>
        <v>17564</v>
      </c>
      <c r="L82" s="5"/>
      <c r="M82" s="8">
        <f>SUM(M69:M81)</f>
        <v>10500</v>
      </c>
      <c r="N82" s="5"/>
      <c r="O82" s="8">
        <f>SUM(O69:O81)</f>
        <v>2271</v>
      </c>
      <c r="P82" s="5"/>
      <c r="Q82" s="8">
        <f>SUM(Q69:Q81)</f>
        <v>10971</v>
      </c>
      <c r="R82" s="5"/>
      <c r="S82" s="815">
        <f>SUM(S69:S81)</f>
        <v>14889</v>
      </c>
      <c r="T82" s="5"/>
      <c r="U82" s="8">
        <f>SUM(U69:U81)</f>
        <v>8616</v>
      </c>
      <c r="V82" s="5"/>
      <c r="W82" s="815">
        <f>SUM(W69:W81)</f>
        <v>13000</v>
      </c>
      <c r="X82" s="5"/>
      <c r="Y82" s="8">
        <f>SUM(Y69:Y81)</f>
        <v>9426</v>
      </c>
      <c r="Z82" s="5"/>
      <c r="AA82" s="8">
        <f>SUM(AA69:AA81)</f>
        <v>10500</v>
      </c>
      <c r="AB82" s="5"/>
      <c r="AC82" s="29"/>
      <c r="AE82" s="125">
        <f t="shared" si="8"/>
        <v>0</v>
      </c>
      <c r="AF82" s="8">
        <f>SUM(AF69:AF81)</f>
        <v>487597.81</v>
      </c>
    </row>
    <row r="83" spans="1:33" x14ac:dyDescent="0.25">
      <c r="A83" s="126"/>
      <c r="F83" s="36"/>
      <c r="H83" s="36"/>
      <c r="J83" s="36"/>
      <c r="L83" s="36"/>
      <c r="N83" s="36"/>
      <c r="P83" s="36"/>
      <c r="R83" s="36"/>
      <c r="T83" s="36"/>
      <c r="V83" s="36"/>
      <c r="X83" s="36"/>
      <c r="Z83" s="36"/>
      <c r="AB83" s="36"/>
      <c r="AC83" s="66"/>
      <c r="AD83" s="126"/>
    </row>
    <row r="84" spans="1:33" x14ac:dyDescent="0.25">
      <c r="F84" s="36"/>
      <c r="H84" s="36"/>
      <c r="J84" s="36"/>
      <c r="L84" s="36"/>
      <c r="N84" s="36"/>
      <c r="P84" s="36"/>
      <c r="R84" s="36"/>
      <c r="T84" s="36"/>
      <c r="V84" s="36"/>
      <c r="X84" s="36"/>
      <c r="Z84" s="36"/>
      <c r="AB84" s="36"/>
      <c r="AC84" s="66"/>
    </row>
    <row r="85" spans="1:33" x14ac:dyDescent="0.25">
      <c r="A85" s="126" t="s">
        <v>0</v>
      </c>
      <c r="C85" s="8">
        <f>SUM(C82,C66,C55,C13)</f>
        <v>1647165.37</v>
      </c>
      <c r="D85" s="33"/>
      <c r="E85" s="8">
        <f>SUM(E82,E66,E55)</f>
        <v>40899.39</v>
      </c>
      <c r="F85" s="5"/>
      <c r="G85" s="8">
        <f>SUM(G82,G66,G55)</f>
        <v>92864</v>
      </c>
      <c r="H85" s="5"/>
      <c r="I85" s="815">
        <f>SUM(I82,I66,I55)</f>
        <v>148609</v>
      </c>
      <c r="J85" s="5"/>
      <c r="K85" s="8">
        <f>SUM(K82,K66,K55)</f>
        <v>99051</v>
      </c>
      <c r="L85" s="5"/>
      <c r="M85" s="8">
        <f>SUM(M82,M66,M55)</f>
        <v>65573</v>
      </c>
      <c r="N85" s="5"/>
      <c r="O85" s="8">
        <f>SUM(O82,O66,O55)</f>
        <v>114958</v>
      </c>
      <c r="P85" s="5"/>
      <c r="Q85" s="8">
        <f>SUM(Q82,Q66,Q55)</f>
        <v>100288</v>
      </c>
      <c r="R85" s="5"/>
      <c r="S85" s="815">
        <f>SUM(S82,S66,S55)</f>
        <v>106619</v>
      </c>
      <c r="T85" s="5"/>
      <c r="U85" s="8">
        <f>SUM(U82,U66,U55)</f>
        <v>67761</v>
      </c>
      <c r="V85" s="5"/>
      <c r="W85" s="815">
        <f>SUM(W82,W66,W55)</f>
        <v>100960</v>
      </c>
      <c r="X85" s="5"/>
      <c r="Y85" s="8">
        <f>SUM(Y82,Y66,Y55)</f>
        <v>54971</v>
      </c>
      <c r="Z85" s="5"/>
      <c r="AA85" s="8">
        <f>SUM(AA82,AA66,AA55)</f>
        <v>63549</v>
      </c>
      <c r="AB85" s="5"/>
      <c r="AC85" s="29"/>
      <c r="AD85" s="126" t="str">
        <f>A85</f>
        <v>TOTAL EXPENDITURES</v>
      </c>
      <c r="AF85" s="8">
        <f>SUM(AF82,AF66,AF55,AF13)</f>
        <v>2703267.76</v>
      </c>
      <c r="AG85" s="2">
        <f>+SUM(C85:AA85)</f>
        <v>2703267.76</v>
      </c>
    </row>
    <row r="86" spans="1:33" x14ac:dyDescent="0.25">
      <c r="F86" s="36"/>
      <c r="H86" s="36"/>
      <c r="J86" s="36"/>
      <c r="L86" s="36"/>
      <c r="N86" s="36"/>
      <c r="P86" s="36"/>
      <c r="R86" s="36"/>
      <c r="T86" s="36"/>
      <c r="V86" s="36"/>
      <c r="X86" s="36"/>
      <c r="Z86" s="36"/>
      <c r="AB86" s="36"/>
      <c r="AC86" s="66"/>
    </row>
    <row r="87" spans="1:33" ht="15.75" x14ac:dyDescent="0.25">
      <c r="B87" s="2" t="s">
        <v>717</v>
      </c>
      <c r="F87" s="36"/>
      <c r="G87" s="2">
        <v>63864</v>
      </c>
      <c r="H87" s="36" t="s">
        <v>187</v>
      </c>
      <c r="J87" s="36"/>
      <c r="K87" s="2">
        <v>60043</v>
      </c>
      <c r="L87" s="36" t="s">
        <v>187</v>
      </c>
      <c r="N87" s="36"/>
      <c r="O87" s="2">
        <v>75954</v>
      </c>
      <c r="P87" s="36" t="s">
        <v>187</v>
      </c>
      <c r="Q87" s="2">
        <v>61288</v>
      </c>
      <c r="R87" s="36" t="s">
        <v>187</v>
      </c>
      <c r="T87" s="36"/>
      <c r="V87" s="36"/>
      <c r="X87" s="36"/>
      <c r="Z87" s="36"/>
      <c r="AB87" s="36"/>
      <c r="AC87" s="66"/>
      <c r="AD87" s="126" t="s">
        <v>138</v>
      </c>
      <c r="AF87" s="119">
        <f>AF11-AF85</f>
        <v>27167.610000000335</v>
      </c>
    </row>
    <row r="88" spans="1:33" x14ac:dyDescent="0.25">
      <c r="B88" s="129" t="s">
        <v>181</v>
      </c>
      <c r="C88" s="97">
        <f>+C85</f>
        <v>1647165.37</v>
      </c>
      <c r="G88" s="2">
        <f>+G85-G87</f>
        <v>29000</v>
      </c>
      <c r="H88" s="2" t="s">
        <v>188</v>
      </c>
      <c r="K88" s="2">
        <f>+K85-K87</f>
        <v>39008</v>
      </c>
      <c r="L88" s="2" t="s">
        <v>188</v>
      </c>
      <c r="O88" s="2">
        <f>+O85-O87</f>
        <v>39004</v>
      </c>
      <c r="P88" s="2" t="s">
        <v>188</v>
      </c>
      <c r="Q88" s="2">
        <f>+Q85-Q87</f>
        <v>39000</v>
      </c>
      <c r="R88" s="2" t="s">
        <v>188</v>
      </c>
      <c r="AD88" s="126"/>
      <c r="AE88" s="37"/>
      <c r="AF88" s="3"/>
    </row>
    <row r="89" spans="1:33" ht="15.75" x14ac:dyDescent="0.25">
      <c r="B89" s="129" t="s">
        <v>180</v>
      </c>
      <c r="C89" s="97">
        <f>SUM(E85,G85,I85,K85,M85,O85,Q85,S85,U85,W85,Y85,AA85)</f>
        <v>1056102.3900000001</v>
      </c>
      <c r="AD89" s="126" t="s">
        <v>136</v>
      </c>
      <c r="AE89" s="126"/>
      <c r="AF89" s="119">
        <f>AF7+AF87</f>
        <v>27167.610000000335</v>
      </c>
    </row>
    <row r="90" spans="1:33" x14ac:dyDescent="0.25">
      <c r="B90" s="99"/>
      <c r="C90" s="289">
        <f>SUM(C88:C89)</f>
        <v>2703267.7600000002</v>
      </c>
      <c r="AE90" s="6"/>
    </row>
    <row r="91" spans="1:33" s="107" customFormat="1" x14ac:dyDescent="0.25">
      <c r="A91" s="290"/>
      <c r="B91" s="291"/>
      <c r="C91" s="292">
        <f>+C11-C90</f>
        <v>27167.60999999987</v>
      </c>
      <c r="D91" s="293"/>
      <c r="I91" s="817"/>
      <c r="S91" s="817"/>
      <c r="W91" s="817"/>
      <c r="AC91" s="294"/>
      <c r="AD91" s="295"/>
    </row>
    <row r="92" spans="1:33" s="844" customFormat="1" ht="17.25" x14ac:dyDescent="0.4">
      <c r="C92" s="844" t="str">
        <f>+C19</f>
        <v>200 - DO</v>
      </c>
      <c r="D92" s="35"/>
      <c r="E92" s="844" t="str">
        <f>+E19</f>
        <v>010 - CFB</v>
      </c>
      <c r="G92" s="844" t="str">
        <f>+G19</f>
        <v>020 - SH</v>
      </c>
      <c r="I92" s="844" t="str">
        <f>+I19</f>
        <v>030 - SO</v>
      </c>
      <c r="K92" s="844" t="str">
        <f>+K19</f>
        <v>040 - ST</v>
      </c>
      <c r="M92" s="844" t="str">
        <f>+M19</f>
        <v>050 - SC</v>
      </c>
      <c r="O92" s="844" t="str">
        <f>+O19</f>
        <v>060 - SY</v>
      </c>
      <c r="Q92" s="844" t="str">
        <f>+Q19</f>
        <v>070 - WO</v>
      </c>
      <c r="S92" s="844" t="str">
        <f>+S19</f>
        <v>080 - EU</v>
      </c>
      <c r="U92" s="844" t="str">
        <f>+U19</f>
        <v>090 - OR</v>
      </c>
      <c r="W92" s="844" t="str">
        <f>+W19</f>
        <v>110 - DS</v>
      </c>
      <c r="Y92" s="844" t="str">
        <f>+Y19</f>
        <v>120 - MAS</v>
      </c>
      <c r="AA92" s="844" t="str">
        <f>+AA19</f>
        <v>130 - CR</v>
      </c>
      <c r="AC92" s="845"/>
      <c r="AE92" s="35"/>
    </row>
    <row r="93" spans="1:33" s="535" customFormat="1" x14ac:dyDescent="0.25">
      <c r="A93" s="766"/>
      <c r="B93" s="617" t="str">
        <f>"Actuals as of "&amp;TEXT(C17,"mm/dd/yyyy")</f>
        <v>Actuals as of 01/00/1900</v>
      </c>
      <c r="C93" s="767">
        <v>930477.1</v>
      </c>
      <c r="D93" s="768"/>
      <c r="E93" s="767">
        <v>35714.79</v>
      </c>
      <c r="F93" s="769"/>
      <c r="G93" s="767">
        <v>57236.46</v>
      </c>
      <c r="H93" s="769" t="s">
        <v>745</v>
      </c>
      <c r="I93" s="384">
        <v>73443.199999999997</v>
      </c>
      <c r="J93" s="769"/>
      <c r="K93" s="767">
        <v>38531.620000000003</v>
      </c>
      <c r="L93" s="769" t="s">
        <v>745</v>
      </c>
      <c r="M93" s="767">
        <v>45807.040000000001</v>
      </c>
      <c r="N93" s="769"/>
      <c r="O93" s="767">
        <v>9374.16</v>
      </c>
      <c r="P93" s="769"/>
      <c r="Q93" s="767">
        <v>56854.27</v>
      </c>
      <c r="R93" s="769"/>
      <c r="S93" s="384">
        <v>36133.160000000003</v>
      </c>
      <c r="T93" s="769"/>
      <c r="U93" s="767">
        <v>46611.59</v>
      </c>
      <c r="V93" s="769"/>
      <c r="W93" s="384">
        <v>66249.31</v>
      </c>
      <c r="X93" s="769"/>
      <c r="Y93" s="767">
        <v>28964.639999999999</v>
      </c>
      <c r="Z93" s="769"/>
      <c r="AA93" s="767">
        <v>22021.87</v>
      </c>
      <c r="AB93" s="769"/>
      <c r="AC93" s="770"/>
      <c r="AD93" s="617"/>
      <c r="AE93" s="617" t="str">
        <f>B93</f>
        <v>Actuals as of 01/00/1900</v>
      </c>
      <c r="AF93" s="535">
        <f>SUM(C93,E93,G93,I93,K93,M93,O93,Q93,S93,U93,W93,Y93,AA93)</f>
        <v>1447419.2100000002</v>
      </c>
    </row>
    <row r="94" spans="1:33" s="535" customFormat="1" x14ac:dyDescent="0.25">
      <c r="A94" s="617"/>
      <c r="B94" s="617" t="str">
        <f>"Encumb. as of "&amp;TEXT(C17,"mm/dd/yyyy")</f>
        <v>Encumb. as of 01/00/1900</v>
      </c>
      <c r="C94" s="767">
        <v>327228.25</v>
      </c>
      <c r="D94" s="768"/>
      <c r="E94" s="767">
        <v>0</v>
      </c>
      <c r="F94" s="769"/>
      <c r="G94" s="767">
        <v>35679.75</v>
      </c>
      <c r="H94" s="769" t="s">
        <v>746</v>
      </c>
      <c r="I94" s="384">
        <v>8148.57</v>
      </c>
      <c r="J94" s="769"/>
      <c r="K94" s="767">
        <v>52541.599999999999</v>
      </c>
      <c r="L94" s="769" t="s">
        <v>746</v>
      </c>
      <c r="M94" s="767">
        <v>11354.21</v>
      </c>
      <c r="N94" s="769"/>
      <c r="O94" s="767">
        <v>101715.69</v>
      </c>
      <c r="P94" s="769"/>
      <c r="Q94" s="767">
        <f>11599.44+406.32+95.03</f>
        <v>12100.79</v>
      </c>
      <c r="R94" s="769" t="s">
        <v>767</v>
      </c>
      <c r="S94" s="384">
        <v>25494.69</v>
      </c>
      <c r="T94" s="769"/>
      <c r="U94" s="767">
        <v>4221.18</v>
      </c>
      <c r="V94" s="769"/>
      <c r="W94" s="384">
        <v>16945.87</v>
      </c>
      <c r="X94" s="769"/>
      <c r="Y94" s="767">
        <v>22633.94</v>
      </c>
      <c r="Z94" s="769"/>
      <c r="AA94" s="767">
        <v>18979.060000000001</v>
      </c>
      <c r="AB94" s="769"/>
      <c r="AC94" s="770"/>
      <c r="AD94" s="617"/>
      <c r="AE94" s="617" t="str">
        <f>B94</f>
        <v>Encumb. as of 01/00/1900</v>
      </c>
      <c r="AF94" s="535">
        <f>SUM(C94,E94,G94,I94,K94,M94,O94,Q94,S94,U94,W94,Y94,AA94)</f>
        <v>637043.60000000009</v>
      </c>
    </row>
    <row r="95" spans="1:33" s="535" customFormat="1" ht="15" customHeight="1" x14ac:dyDescent="0.25">
      <c r="A95" s="617"/>
      <c r="B95" s="618" t="s">
        <v>118</v>
      </c>
      <c r="C95" s="771">
        <f>SUM(C93:C94)</f>
        <v>1257705.3500000001</v>
      </c>
      <c r="D95" s="768"/>
      <c r="E95" s="771">
        <f>SUM(E93:E94)</f>
        <v>35714.79</v>
      </c>
      <c r="F95" s="769"/>
      <c r="G95" s="771">
        <f>SUM(G93:G94)</f>
        <v>92916.209999999992</v>
      </c>
      <c r="H95" s="769" t="s">
        <v>747</v>
      </c>
      <c r="I95" s="818">
        <f>SUM(I93:I94)</f>
        <v>81591.76999999999</v>
      </c>
      <c r="J95" s="769"/>
      <c r="K95" s="771">
        <f>SUM(K93:K94)</f>
        <v>91073.22</v>
      </c>
      <c r="L95" s="769" t="s">
        <v>747</v>
      </c>
      <c r="M95" s="771">
        <f>SUM(M93:M94)</f>
        <v>57161.25</v>
      </c>
      <c r="N95" s="769"/>
      <c r="O95" s="771">
        <f>SUM(O93:O94)</f>
        <v>111089.85</v>
      </c>
      <c r="P95" s="769"/>
      <c r="Q95" s="771">
        <f>SUM(Q93:Q94)</f>
        <v>68955.06</v>
      </c>
      <c r="R95" s="769"/>
      <c r="S95" s="818">
        <f>SUM(S93:S94)</f>
        <v>61627.850000000006</v>
      </c>
      <c r="T95" s="769"/>
      <c r="U95" s="771">
        <f>SUM(U93:U94)</f>
        <v>50832.77</v>
      </c>
      <c r="V95" s="769"/>
      <c r="W95" s="818">
        <f>SUM(W93:W94)</f>
        <v>83195.179999999993</v>
      </c>
      <c r="X95" s="769"/>
      <c r="Y95" s="771">
        <f>SUM(Y93:Y94)</f>
        <v>51598.58</v>
      </c>
      <c r="Z95" s="769"/>
      <c r="AA95" s="771">
        <f>SUM(AA93:AA94)</f>
        <v>41000.93</v>
      </c>
      <c r="AB95" s="769"/>
      <c r="AC95" s="770"/>
      <c r="AD95" s="617"/>
      <c r="AE95" s="617" t="str">
        <f>B95</f>
        <v>TOTAL</v>
      </c>
      <c r="AF95" s="772">
        <f>SUM(AF93:AF94)</f>
        <v>2084462.8100000003</v>
      </c>
    </row>
    <row r="96" spans="1:33" x14ac:dyDescent="0.25">
      <c r="E96" s="3"/>
      <c r="F96" s="36"/>
      <c r="G96" s="3"/>
      <c r="H96" s="36"/>
      <c r="I96" s="384"/>
      <c r="J96" s="36"/>
      <c r="K96" s="3"/>
      <c r="L96" s="36"/>
      <c r="M96" s="781"/>
      <c r="N96" s="36"/>
      <c r="O96" s="3"/>
      <c r="P96" s="36"/>
      <c r="Q96" s="3"/>
      <c r="R96" s="36"/>
      <c r="S96" s="384"/>
      <c r="T96" s="36"/>
      <c r="U96" s="3"/>
      <c r="V96" s="36"/>
      <c r="W96" s="384"/>
      <c r="X96" s="36"/>
      <c r="Y96" s="3"/>
      <c r="Z96" s="36"/>
      <c r="AA96" s="3"/>
      <c r="AB96" s="36"/>
      <c r="AC96" s="66"/>
      <c r="AD96" s="847"/>
      <c r="AE96" s="847"/>
    </row>
    <row r="97" spans="1:33" x14ac:dyDescent="0.25">
      <c r="B97" s="617" t="s">
        <v>718</v>
      </c>
      <c r="C97" s="778">
        <f>C85-C95</f>
        <v>389460.02</v>
      </c>
      <c r="D97" s="779"/>
      <c r="E97" s="778">
        <f>E85-E95</f>
        <v>5184.5999999999985</v>
      </c>
      <c r="F97" s="780"/>
      <c r="G97" s="778">
        <f>G85-G95</f>
        <v>-52.209999999991851</v>
      </c>
      <c r="H97" s="780"/>
      <c r="I97" s="819">
        <f>I85-I95</f>
        <v>67017.23000000001</v>
      </c>
      <c r="J97" s="780"/>
      <c r="K97" s="778">
        <f>K85-K95</f>
        <v>7977.7799999999988</v>
      </c>
      <c r="L97" s="780"/>
      <c r="M97" s="778">
        <f>M85-M95</f>
        <v>8411.75</v>
      </c>
      <c r="N97" s="780"/>
      <c r="O97" s="778">
        <f>O85-O95</f>
        <v>3868.1499999999942</v>
      </c>
      <c r="P97" s="780"/>
      <c r="Q97" s="778">
        <f>Q85-Q95</f>
        <v>31332.940000000002</v>
      </c>
      <c r="R97" s="780"/>
      <c r="S97" s="819">
        <f>S85-S95</f>
        <v>44991.149999999994</v>
      </c>
      <c r="T97" s="780"/>
      <c r="U97" s="778">
        <f>U85-U95</f>
        <v>16928.230000000003</v>
      </c>
      <c r="V97" s="780"/>
      <c r="W97" s="819">
        <f>W85-W95</f>
        <v>17764.820000000007</v>
      </c>
      <c r="X97" s="780"/>
      <c r="Y97" s="778">
        <f>Y85-Y95</f>
        <v>3372.4199999999983</v>
      </c>
      <c r="Z97" s="780"/>
      <c r="AA97" s="778">
        <f>AA85-AA95</f>
        <v>22548.07</v>
      </c>
      <c r="AB97" s="36"/>
      <c r="AC97" s="66"/>
      <c r="AE97" s="617" t="str">
        <f>B97</f>
        <v>Balance Available</v>
      </c>
      <c r="AF97" s="778">
        <f>AF85-AF95</f>
        <v>618804.94999999949</v>
      </c>
    </row>
    <row r="98" spans="1:33" x14ac:dyDescent="0.25">
      <c r="L98" s="836" t="s">
        <v>755</v>
      </c>
      <c r="AE98" s="37"/>
    </row>
    <row r="99" spans="1:33" x14ac:dyDescent="0.25">
      <c r="E99" s="389"/>
      <c r="F99" s="389"/>
      <c r="H99" s="836" t="s">
        <v>755</v>
      </c>
      <c r="J99" s="836" t="s">
        <v>755</v>
      </c>
      <c r="L99" s="835" t="s">
        <v>754</v>
      </c>
      <c r="N99" s="836" t="s">
        <v>755</v>
      </c>
      <c r="P99" s="836" t="s">
        <v>755</v>
      </c>
      <c r="AE99" s="37"/>
    </row>
    <row r="100" spans="1:33" ht="15" customHeight="1" x14ac:dyDescent="0.25">
      <c r="B100" s="2210" t="s">
        <v>768</v>
      </c>
      <c r="C100" s="2">
        <v>338000</v>
      </c>
      <c r="D100" s="2" t="s">
        <v>130</v>
      </c>
      <c r="E100" s="389">
        <v>2545.7800000000002</v>
      </c>
      <c r="F100" s="389" t="s">
        <v>543</v>
      </c>
      <c r="G100" s="825">
        <v>1160</v>
      </c>
      <c r="H100" s="825" t="s">
        <v>774</v>
      </c>
      <c r="I100" s="825">
        <v>14749.19</v>
      </c>
      <c r="J100" s="825" t="s">
        <v>741</v>
      </c>
      <c r="K100" s="825">
        <f>1029.42+401.96</f>
        <v>1431.38</v>
      </c>
      <c r="L100" s="825" t="s">
        <v>774</v>
      </c>
      <c r="M100" s="825">
        <v>5444.6</v>
      </c>
      <c r="N100" s="825" t="s">
        <v>741</v>
      </c>
      <c r="O100" s="838">
        <v>833</v>
      </c>
      <c r="P100" s="838" t="s">
        <v>760</v>
      </c>
      <c r="Q100" s="825">
        <v>6858.37</v>
      </c>
      <c r="R100" s="825" t="s">
        <v>749</v>
      </c>
      <c r="S100" s="825">
        <v>14378</v>
      </c>
      <c r="T100" s="825" t="s">
        <v>741</v>
      </c>
      <c r="U100" s="825">
        <v>6660</v>
      </c>
      <c r="V100" s="825" t="s">
        <v>741</v>
      </c>
      <c r="W100" s="825">
        <v>5603.54</v>
      </c>
      <c r="X100" s="825" t="s">
        <v>741</v>
      </c>
      <c r="Y100" s="825">
        <v>1032.5</v>
      </c>
      <c r="Z100" s="825" t="s">
        <v>741</v>
      </c>
      <c r="AA100" s="825">
        <v>13808.99</v>
      </c>
      <c r="AB100" s="825" t="s">
        <v>741</v>
      </c>
      <c r="AE100" s="2213" t="str">
        <f>+B100</f>
        <v>2016-2017 c/o to be expensed in 2017-18 and/or trying to expese by June 30, 2017</v>
      </c>
      <c r="AF100" s="535">
        <f>SUM(C100,E100,G100,I100,K100,M100,O100,Q100,S100,U100,W100,Y100,AA100)</f>
        <v>412505.35</v>
      </c>
      <c r="AG100" s="535" t="s">
        <v>771</v>
      </c>
    </row>
    <row r="101" spans="1:33" x14ac:dyDescent="0.25">
      <c r="A101" s="839"/>
      <c r="B101" s="2210"/>
      <c r="C101" s="2">
        <v>26000</v>
      </c>
      <c r="D101" s="2" t="s">
        <v>131</v>
      </c>
      <c r="E101" s="389">
        <v>108.42</v>
      </c>
      <c r="F101" s="389" t="s">
        <v>35</v>
      </c>
      <c r="G101" s="825">
        <v>1627.47</v>
      </c>
      <c r="H101" s="825" t="s">
        <v>774</v>
      </c>
      <c r="I101" s="825">
        <v>3266.5</v>
      </c>
      <c r="J101" s="825" t="s">
        <v>742</v>
      </c>
      <c r="K101" s="825">
        <v>255.92</v>
      </c>
      <c r="L101" s="825" t="s">
        <v>774</v>
      </c>
      <c r="M101" s="825">
        <v>270.62</v>
      </c>
      <c r="N101" s="825" t="s">
        <v>742</v>
      </c>
      <c r="O101" s="838">
        <v>603</v>
      </c>
      <c r="P101" s="838" t="s">
        <v>761</v>
      </c>
      <c r="Q101" s="825">
        <f>1221-876.73</f>
        <v>344.27</v>
      </c>
      <c r="R101" s="825" t="s">
        <v>762</v>
      </c>
      <c r="S101" s="825">
        <v>5718.97</v>
      </c>
      <c r="T101" s="825" t="s">
        <v>742</v>
      </c>
      <c r="U101" s="825">
        <v>108.14</v>
      </c>
      <c r="V101" s="825" t="s">
        <v>742</v>
      </c>
      <c r="W101" s="825">
        <v>706.64</v>
      </c>
      <c r="X101" s="825" t="s">
        <v>742</v>
      </c>
      <c r="Y101" s="825">
        <v>84.63</v>
      </c>
      <c r="Z101" s="825" t="s">
        <v>742</v>
      </c>
      <c r="AA101" s="825">
        <v>649.42999999999995</v>
      </c>
      <c r="AB101" s="825" t="s">
        <v>742</v>
      </c>
      <c r="AD101" s="841"/>
      <c r="AE101" s="2213"/>
      <c r="AF101" s="535">
        <f>SUM(C101,E101,G101,I101,K101,M101,O101,Q101,S101,U101,W101,Y101,AA101)</f>
        <v>39744.009999999995</v>
      </c>
      <c r="AG101" s="535" t="s">
        <v>772</v>
      </c>
    </row>
    <row r="102" spans="1:33" x14ac:dyDescent="0.25">
      <c r="B102" s="2210"/>
      <c r="C102" s="824">
        <f>+(SUM(C95,E95,G95,I95,K95,M95,O95,Q95,S95,U95,W95,Y95,AA95,E105,G105,I105,K105,O105,Q105,S105,U105,W105,Y105,AA105)*0.037)</f>
        <v>81635.331470000005</v>
      </c>
      <c r="D102" s="30" t="s">
        <v>738</v>
      </c>
      <c r="E102" s="389">
        <v>2530.4</v>
      </c>
      <c r="F102" s="389" t="s">
        <v>27</v>
      </c>
      <c r="G102" s="825">
        <v>1013.24</v>
      </c>
      <c r="H102" s="825" t="s">
        <v>774</v>
      </c>
      <c r="I102" s="825">
        <v>1713.5</v>
      </c>
      <c r="J102" s="825" t="s">
        <v>740</v>
      </c>
      <c r="K102" s="825">
        <v>602.34</v>
      </c>
      <c r="L102" s="825" t="s">
        <v>774</v>
      </c>
      <c r="M102" s="825">
        <v>1297.4100000000001</v>
      </c>
      <c r="N102" s="825" t="s">
        <v>740</v>
      </c>
      <c r="O102" s="825">
        <v>2428.15</v>
      </c>
      <c r="P102" s="843"/>
      <c r="Q102" s="825">
        <f>1738-455.48</f>
        <v>1282.52</v>
      </c>
      <c r="R102" s="825" t="s">
        <v>769</v>
      </c>
      <c r="S102" s="825">
        <v>2952.69</v>
      </c>
      <c r="T102" s="825" t="s">
        <v>740</v>
      </c>
      <c r="U102" s="825">
        <v>3302.96</v>
      </c>
      <c r="V102" s="825" t="s">
        <v>740</v>
      </c>
      <c r="W102" s="825">
        <v>2961.55</v>
      </c>
      <c r="X102" s="825" t="s">
        <v>740</v>
      </c>
      <c r="Y102" s="825">
        <v>274.94</v>
      </c>
      <c r="Z102" s="825" t="s">
        <v>740</v>
      </c>
      <c r="AA102" s="825">
        <v>3035.93</v>
      </c>
      <c r="AB102" s="825" t="s">
        <v>740</v>
      </c>
      <c r="AD102" s="617"/>
      <c r="AE102" s="2213"/>
      <c r="AF102" s="535">
        <f>SUM(C102,E102,G102,I102,K102,M102,O102,Q102,S102,U102,W102,Y102,AA102)</f>
        <v>105030.96147000001</v>
      </c>
      <c r="AG102" s="535" t="s">
        <v>773</v>
      </c>
    </row>
    <row r="103" spans="1:33" ht="15" customHeight="1" x14ac:dyDescent="0.25">
      <c r="B103" s="2210"/>
      <c r="C103" s="2">
        <v>0</v>
      </c>
      <c r="D103" s="825" t="s">
        <v>739</v>
      </c>
      <c r="E103" s="2">
        <v>0</v>
      </c>
      <c r="G103" s="837">
        <f>3203.15+418.11+1289.09-254.13</f>
        <v>4656.22</v>
      </c>
      <c r="H103" s="837" t="s">
        <v>750</v>
      </c>
      <c r="I103" s="161">
        <v>0</v>
      </c>
      <c r="K103" s="837">
        <f>5287.82+794.28-401.96</f>
        <v>5680.1399999999994</v>
      </c>
      <c r="L103" s="837" t="s">
        <v>752</v>
      </c>
      <c r="M103" s="2">
        <v>0</v>
      </c>
      <c r="P103" s="2" t="s">
        <v>775</v>
      </c>
      <c r="Q103" s="837">
        <f>2837.47+428.32</f>
        <v>3265.79</v>
      </c>
      <c r="R103" s="837" t="s">
        <v>763</v>
      </c>
      <c r="S103" s="161">
        <v>0</v>
      </c>
      <c r="U103" s="2">
        <v>0</v>
      </c>
      <c r="W103" s="161">
        <v>0</v>
      </c>
      <c r="Y103" s="2">
        <v>0</v>
      </c>
      <c r="AA103" s="2">
        <v>0</v>
      </c>
      <c r="AD103" s="617"/>
      <c r="AE103" s="2213"/>
      <c r="AF103" s="535">
        <f>SUM(C103,E103,G103,I103,K103,M103,O103,Q103,S103,U103,W103,Y103,AA103)</f>
        <v>13602.150000000001</v>
      </c>
      <c r="AG103" s="535" t="s">
        <v>134</v>
      </c>
    </row>
    <row r="104" spans="1:33" x14ac:dyDescent="0.25">
      <c r="B104" s="2210"/>
      <c r="C104" s="2">
        <v>0</v>
      </c>
      <c r="D104" s="2"/>
      <c r="E104" s="2">
        <v>0</v>
      </c>
      <c r="G104" s="2">
        <v>0</v>
      </c>
      <c r="I104" s="161">
        <v>0</v>
      </c>
      <c r="K104" s="837">
        <v>0</v>
      </c>
      <c r="L104" s="837" t="s">
        <v>753</v>
      </c>
      <c r="M104" s="2">
        <v>0</v>
      </c>
      <c r="O104" s="2">
        <v>0</v>
      </c>
      <c r="Q104" s="837">
        <f>3162.99+500</f>
        <v>3662.99</v>
      </c>
      <c r="R104" s="837" t="s">
        <v>764</v>
      </c>
      <c r="S104" s="161">
        <v>0</v>
      </c>
      <c r="U104" s="2">
        <v>0</v>
      </c>
      <c r="W104" s="161">
        <v>0</v>
      </c>
      <c r="Y104" s="2">
        <v>0</v>
      </c>
      <c r="AA104" s="2">
        <v>0</v>
      </c>
      <c r="AD104" s="617"/>
      <c r="AE104" s="2213"/>
      <c r="AF104" s="535">
        <f>SUM(C104,E104,G104,I104,K104,M104,O104,Q104,S104,U104,W104,Y104,AA104)</f>
        <v>3662.99</v>
      </c>
      <c r="AG104" s="535" t="s">
        <v>134</v>
      </c>
    </row>
    <row r="105" spans="1:33" x14ac:dyDescent="0.25">
      <c r="B105" s="2210"/>
      <c r="C105" s="160">
        <f>SUM(C100:C104)</f>
        <v>445635.33146999998</v>
      </c>
      <c r="D105" s="2" t="s">
        <v>57</v>
      </c>
      <c r="E105" s="160">
        <f>SUM(E100:E104)</f>
        <v>5184.6000000000004</v>
      </c>
      <c r="G105" s="160">
        <f>SUM(G100:G104)</f>
        <v>8456.93</v>
      </c>
      <c r="I105" s="820">
        <f>SUM(I100:I104)</f>
        <v>19729.190000000002</v>
      </c>
      <c r="K105" s="160">
        <f>SUM(K100:K104)</f>
        <v>7969.78</v>
      </c>
      <c r="M105" s="160">
        <f>SUM(M100:M104)</f>
        <v>7012.63</v>
      </c>
      <c r="O105" s="160">
        <f>SUM(O100:O104)</f>
        <v>3864.15</v>
      </c>
      <c r="Q105" s="160">
        <f>SUM(Q100:Q104)</f>
        <v>15413.94</v>
      </c>
      <c r="S105" s="820">
        <f>SUM(S100:S104)</f>
        <v>23049.66</v>
      </c>
      <c r="U105" s="160">
        <f>SUM(U100:U104)</f>
        <v>10071.1</v>
      </c>
      <c r="W105" s="820">
        <f>SUM(W100:W104)</f>
        <v>9271.73</v>
      </c>
      <c r="Y105" s="160">
        <f>SUM(Y100:Y104)</f>
        <v>1392.0700000000002</v>
      </c>
      <c r="AA105" s="160">
        <f>SUM(AA100:AA104)</f>
        <v>17494.349999999999</v>
      </c>
      <c r="AD105" s="617"/>
      <c r="AE105" s="617" t="s">
        <v>702</v>
      </c>
      <c r="AF105" s="619">
        <f>SUM(AF100:AF104)</f>
        <v>574545.46146999998</v>
      </c>
      <c r="AG105" s="535"/>
    </row>
    <row r="106" spans="1:33" x14ac:dyDescent="0.25">
      <c r="C106" s="2"/>
      <c r="D106" s="2"/>
    </row>
    <row r="107" spans="1:33" x14ac:dyDescent="0.25">
      <c r="C107" s="2"/>
      <c r="D107" s="2"/>
    </row>
    <row r="108" spans="1:33" ht="28.5" customHeight="1" x14ac:dyDescent="0.25">
      <c r="A108" s="2210" t="s">
        <v>135</v>
      </c>
      <c r="B108" s="2210"/>
      <c r="C108" s="3">
        <f>C97-C105</f>
        <v>-56175.311469999957</v>
      </c>
      <c r="D108" s="2"/>
      <c r="E108" s="833">
        <f>E97-E105</f>
        <v>0</v>
      </c>
      <c r="F108" s="832"/>
      <c r="G108" s="297">
        <f>G97-G105</f>
        <v>-8509.1399999999921</v>
      </c>
      <c r="H108" s="832" t="s">
        <v>743</v>
      </c>
      <c r="I108" s="821">
        <f>I97-I105</f>
        <v>47288.040000000008</v>
      </c>
      <c r="J108" s="832" t="s">
        <v>743</v>
      </c>
      <c r="K108" s="3">
        <f>K97-K105</f>
        <v>7.9999999999990905</v>
      </c>
      <c r="L108" s="832"/>
      <c r="M108" s="3">
        <f>M97-M105</f>
        <v>1399.12</v>
      </c>
      <c r="N108" s="832" t="s">
        <v>743</v>
      </c>
      <c r="O108" s="3">
        <f>O97-O105</f>
        <v>3.9999999999940883</v>
      </c>
      <c r="P108" s="832"/>
      <c r="Q108" s="3">
        <f>Q97-Q105</f>
        <v>15919.000000000002</v>
      </c>
      <c r="R108" s="832" t="s">
        <v>743</v>
      </c>
      <c r="S108" s="384">
        <f>S97-S105</f>
        <v>21941.489999999994</v>
      </c>
      <c r="T108" s="832" t="s">
        <v>743</v>
      </c>
      <c r="U108" s="3">
        <f>U97-U105</f>
        <v>6857.1300000000028</v>
      </c>
      <c r="V108" s="832" t="s">
        <v>743</v>
      </c>
      <c r="W108" s="384">
        <f>W97-W105</f>
        <v>8493.0900000000074</v>
      </c>
      <c r="X108" s="832" t="s">
        <v>743</v>
      </c>
      <c r="Y108" s="3">
        <f>Y97-Y105</f>
        <v>1980.3499999999981</v>
      </c>
      <c r="Z108" s="832" t="s">
        <v>743</v>
      </c>
      <c r="AA108" s="3">
        <f>AA97-AA105</f>
        <v>5053.7200000000012</v>
      </c>
      <c r="AB108" s="832" t="s">
        <v>743</v>
      </c>
      <c r="AD108" s="2211" t="s">
        <v>135</v>
      </c>
      <c r="AE108" s="2211"/>
      <c r="AF108" s="620">
        <f>AF97-AF105</f>
        <v>44259.488529999508</v>
      </c>
      <c r="AG108" s="773">
        <f>SUM(C108,E108,G108,I108,K108,M108,O108,Q108,S108,U108,W108,Y108,AA108)</f>
        <v>44259.488530000053</v>
      </c>
    </row>
    <row r="109" spans="1:33" ht="10.5" customHeight="1" x14ac:dyDescent="0.25">
      <c r="A109" s="847"/>
      <c r="B109" s="847"/>
      <c r="D109" s="2"/>
      <c r="E109" s="297"/>
      <c r="F109" s="108"/>
      <c r="G109" s="297"/>
      <c r="H109" s="108"/>
      <c r="I109" s="821"/>
      <c r="J109" s="108"/>
      <c r="K109" s="3"/>
      <c r="M109" s="3"/>
      <c r="O109" s="3"/>
      <c r="Q109" s="3"/>
      <c r="S109" s="384"/>
      <c r="U109" s="3"/>
      <c r="W109" s="384"/>
      <c r="Y109" s="3"/>
      <c r="AA109" s="3"/>
      <c r="AD109" s="848"/>
      <c r="AE109" s="848"/>
      <c r="AF109" s="620"/>
      <c r="AG109" s="773">
        <f>AF108-AG108</f>
        <v>-5.4569682106375694E-10</v>
      </c>
    </row>
    <row r="110" spans="1:33" s="108" customFormat="1" x14ac:dyDescent="0.25">
      <c r="A110" s="298"/>
      <c r="B110" s="298"/>
      <c r="C110" s="297"/>
      <c r="D110" s="299"/>
      <c r="E110" s="297">
        <v>0</v>
      </c>
      <c r="G110" s="297">
        <v>1490.86</v>
      </c>
      <c r="H110" s="108" t="s">
        <v>25</v>
      </c>
      <c r="I110" s="390">
        <v>25241</v>
      </c>
      <c r="J110" s="108" t="s">
        <v>25</v>
      </c>
      <c r="K110" s="297"/>
      <c r="M110" s="390">
        <v>584.55999999999995</v>
      </c>
      <c r="N110" s="108" t="s">
        <v>25</v>
      </c>
      <c r="O110" s="390">
        <v>0</v>
      </c>
      <c r="P110" s="108" t="s">
        <v>25</v>
      </c>
      <c r="Q110" s="297">
        <v>7721.11</v>
      </c>
      <c r="R110" s="108" t="s">
        <v>744</v>
      </c>
      <c r="S110" s="840">
        <v>12502.24</v>
      </c>
      <c r="T110" s="108" t="s">
        <v>25</v>
      </c>
      <c r="U110" s="840">
        <v>2915.06</v>
      </c>
      <c r="V110" s="108" t="s">
        <v>25</v>
      </c>
      <c r="W110" s="840">
        <v>5105.3100000000004</v>
      </c>
      <c r="X110" s="108" t="s">
        <v>25</v>
      </c>
      <c r="Y110" s="840">
        <v>128.09</v>
      </c>
      <c r="Z110" s="108" t="s">
        <v>25</v>
      </c>
      <c r="AA110" s="840">
        <v>1760.35</v>
      </c>
      <c r="AB110" s="108" t="s">
        <v>25</v>
      </c>
      <c r="AD110" s="621"/>
      <c r="AE110" s="774" t="s">
        <v>716</v>
      </c>
      <c r="AF110" s="775">
        <f>SUM(E108:AA108)</f>
        <v>100434.80000000002</v>
      </c>
    </row>
    <row r="111" spans="1:33" x14ac:dyDescent="0.25">
      <c r="A111" s="847"/>
      <c r="B111" s="847"/>
      <c r="C111" s="2"/>
      <c r="D111" s="2"/>
      <c r="E111" s="2">
        <v>0</v>
      </c>
      <c r="G111" s="2">
        <v>0</v>
      </c>
      <c r="I111" s="390">
        <v>22047.040000000001</v>
      </c>
      <c r="J111" s="2" t="s">
        <v>751</v>
      </c>
      <c r="M111" s="390">
        <v>814.56</v>
      </c>
      <c r="N111" s="2" t="s">
        <v>751</v>
      </c>
      <c r="O111" s="390">
        <v>0</v>
      </c>
      <c r="P111" s="2" t="s">
        <v>751</v>
      </c>
      <c r="Q111" s="2">
        <v>8197.89</v>
      </c>
      <c r="R111" s="2" t="s">
        <v>765</v>
      </c>
      <c r="S111" s="390">
        <v>9439.25</v>
      </c>
      <c r="T111" s="2" t="s">
        <v>770</v>
      </c>
      <c r="U111" s="390">
        <v>3942.07</v>
      </c>
      <c r="V111" s="2" t="s">
        <v>770</v>
      </c>
      <c r="W111" s="390">
        <v>3387.78</v>
      </c>
      <c r="X111" s="2" t="s">
        <v>770</v>
      </c>
      <c r="Y111" s="390">
        <v>1852.26</v>
      </c>
      <c r="Z111" s="2" t="s">
        <v>770</v>
      </c>
      <c r="AA111" s="390">
        <v>3293.37</v>
      </c>
      <c r="AB111" s="2" t="s">
        <v>770</v>
      </c>
      <c r="AD111" s="848"/>
      <c r="AE111" s="776" t="s">
        <v>57</v>
      </c>
      <c r="AF111" s="777">
        <f>+C108</f>
        <v>-56175.311469999957</v>
      </c>
      <c r="AG111" s="2">
        <f>+AF110+AF111</f>
        <v>44259.488530000061</v>
      </c>
    </row>
    <row r="112" spans="1:33" x14ac:dyDescent="0.25">
      <c r="A112" s="847"/>
      <c r="B112" s="847"/>
      <c r="C112" s="2"/>
      <c r="D112" s="2"/>
      <c r="E112" s="112">
        <f>+E110+E111</f>
        <v>0</v>
      </c>
      <c r="G112" s="112">
        <f>+G110+G111</f>
        <v>1490.86</v>
      </c>
      <c r="I112" s="834">
        <f>+I110+I111</f>
        <v>47288.04</v>
      </c>
      <c r="M112" s="834">
        <f>+M110+M111</f>
        <v>1399.12</v>
      </c>
      <c r="O112" s="834">
        <f>+O110+O111</f>
        <v>0</v>
      </c>
      <c r="Q112" s="112">
        <f>+Q110+Q111</f>
        <v>15919</v>
      </c>
      <c r="S112" s="112">
        <f>+S110+S111</f>
        <v>21941.489999999998</v>
      </c>
      <c r="U112" s="112">
        <f>+U110+U111</f>
        <v>6857.13</v>
      </c>
      <c r="W112" s="112">
        <f>+W110+W111</f>
        <v>8493.09</v>
      </c>
      <c r="Y112" s="112">
        <f>+Y110+Y111</f>
        <v>1980.35</v>
      </c>
      <c r="AA112" s="112">
        <f>+AA110+AA111</f>
        <v>5053.7199999999993</v>
      </c>
      <c r="AD112" s="848"/>
      <c r="AE112" s="826"/>
      <c r="AF112" s="827"/>
    </row>
    <row r="113" spans="1:32" x14ac:dyDescent="0.25">
      <c r="A113" s="847"/>
      <c r="B113" s="847"/>
      <c r="C113" s="2"/>
      <c r="D113" s="2"/>
      <c r="Q113" s="2">
        <f>+Q108-Q112</f>
        <v>0</v>
      </c>
      <c r="S113" s="2">
        <f>+S108-S112</f>
        <v>0</v>
      </c>
      <c r="U113" s="2">
        <f>+U108-U112</f>
        <v>0</v>
      </c>
      <c r="W113" s="2">
        <f>+W108-W112</f>
        <v>0</v>
      </c>
      <c r="Y113" s="2">
        <f>+Y108-Y112</f>
        <v>-1.8189894035458565E-12</v>
      </c>
      <c r="AA113" s="2">
        <f>+AA108-AA112</f>
        <v>0</v>
      </c>
      <c r="AD113" s="848"/>
      <c r="AE113" s="826"/>
      <c r="AF113" s="144">
        <f>+AF110+AF111</f>
        <v>44259.488530000061</v>
      </c>
    </row>
    <row r="114" spans="1:32" s="107" customFormat="1" x14ac:dyDescent="0.25">
      <c r="A114" s="828"/>
      <c r="B114" s="828"/>
      <c r="I114" s="817"/>
      <c r="S114" s="817"/>
      <c r="W114" s="817"/>
      <c r="AC114" s="294"/>
      <c r="AD114" s="829"/>
      <c r="AE114" s="829"/>
      <c r="AF114" s="830"/>
    </row>
    <row r="115" spans="1:32" x14ac:dyDescent="0.25">
      <c r="A115" s="847"/>
      <c r="B115" s="847"/>
      <c r="C115" s="2"/>
      <c r="D115" s="2"/>
      <c r="AD115" s="848"/>
      <c r="AE115" s="826"/>
      <c r="AF115" s="827"/>
    </row>
    <row r="116" spans="1:32" x14ac:dyDescent="0.25">
      <c r="A116" s="847"/>
      <c r="B116" s="847"/>
      <c r="C116" s="2"/>
      <c r="D116" s="2"/>
      <c r="G116" s="831" t="s">
        <v>191</v>
      </c>
      <c r="K116" s="831" t="s">
        <v>191</v>
      </c>
      <c r="O116" s="831" t="s">
        <v>191</v>
      </c>
      <c r="Q116" s="831" t="s">
        <v>191</v>
      </c>
      <c r="AD116" s="848"/>
      <c r="AE116" s="826"/>
      <c r="AF116" s="827"/>
    </row>
    <row r="117" spans="1:32" x14ac:dyDescent="0.25">
      <c r="A117" s="847"/>
      <c r="B117" s="847"/>
      <c r="C117" s="2"/>
      <c r="D117" s="2"/>
      <c r="G117" s="2">
        <v>39000</v>
      </c>
      <c r="H117" s="2" t="s">
        <v>183</v>
      </c>
      <c r="K117" s="2">
        <v>39000</v>
      </c>
      <c r="L117" s="2" t="s">
        <v>183</v>
      </c>
      <c r="O117" s="2">
        <v>39000</v>
      </c>
      <c r="P117" s="2" t="s">
        <v>183</v>
      </c>
      <c r="Q117" s="2">
        <v>39000</v>
      </c>
      <c r="R117" s="2" t="s">
        <v>183</v>
      </c>
      <c r="AD117" s="848"/>
      <c r="AE117" s="826"/>
      <c r="AF117" s="827"/>
    </row>
    <row r="118" spans="1:32" x14ac:dyDescent="0.25">
      <c r="A118" s="847"/>
      <c r="B118" s="847"/>
      <c r="C118" s="2"/>
      <c r="D118" s="2"/>
      <c r="AD118" s="848"/>
      <c r="AE118" s="826"/>
      <c r="AF118" s="827"/>
    </row>
    <row r="119" spans="1:32" x14ac:dyDescent="0.25">
      <c r="A119" s="847"/>
      <c r="B119" s="847"/>
      <c r="C119" s="2"/>
      <c r="D119" s="2"/>
      <c r="G119" s="10" t="str">
        <f>"Actuals/Encumb. as of "&amp;TEXT($C$17,"mm/dd/yyyy")</f>
        <v>Actuals/Encumb. as of 01/00/1900</v>
      </c>
      <c r="K119" s="10" t="str">
        <f>"Actuals/Encumb. as of "&amp;TEXT($C$17,"mm/dd/yyyy")</f>
        <v>Actuals/Encumb. as of 01/00/1900</v>
      </c>
      <c r="O119" s="10" t="str">
        <f>"Actuals/Encumb. as of "&amp;TEXT($C$17,"mm/dd/yyyy")</f>
        <v>Actuals/Encumb. as of 01/00/1900</v>
      </c>
      <c r="Q119" s="10" t="str">
        <f>"Actuals/Encumb. as of "&amp;TEXT($C$17,"mm/dd/yyyy")</f>
        <v>Actuals/Encumb. as of 01/00/1900</v>
      </c>
      <c r="AD119" s="848"/>
      <c r="AE119" s="826"/>
      <c r="AF119" s="827"/>
    </row>
    <row r="120" spans="1:32" x14ac:dyDescent="0.25">
      <c r="A120" s="847"/>
      <c r="B120" s="847"/>
      <c r="C120" s="2"/>
      <c r="D120" s="2"/>
      <c r="G120" s="2">
        <v>4296.8500000000004</v>
      </c>
      <c r="H120" s="2" t="s">
        <v>543</v>
      </c>
      <c r="K120" s="2">
        <v>2712.18</v>
      </c>
      <c r="L120" s="2" t="s">
        <v>543</v>
      </c>
      <c r="O120" s="2">
        <v>0</v>
      </c>
      <c r="P120" s="2" t="s">
        <v>543</v>
      </c>
      <c r="Q120" s="2">
        <v>162.53</v>
      </c>
      <c r="R120" s="2" t="s">
        <v>543</v>
      </c>
      <c r="AD120" s="848"/>
      <c r="AE120" s="826"/>
      <c r="AF120" s="827"/>
    </row>
    <row r="121" spans="1:32" x14ac:dyDescent="0.25">
      <c r="A121" s="847"/>
      <c r="B121" s="847"/>
      <c r="C121" s="2"/>
      <c r="D121" s="2"/>
      <c r="G121" s="2">
        <v>81.89</v>
      </c>
      <c r="H121" s="2" t="s">
        <v>35</v>
      </c>
      <c r="K121" s="2">
        <v>0</v>
      </c>
      <c r="L121" s="2" t="s">
        <v>35</v>
      </c>
      <c r="O121" s="2">
        <v>0</v>
      </c>
      <c r="P121" s="2" t="s">
        <v>35</v>
      </c>
      <c r="Q121" s="2">
        <v>0</v>
      </c>
      <c r="R121" s="2" t="s">
        <v>35</v>
      </c>
      <c r="AD121" s="848"/>
      <c r="AE121" s="826"/>
      <c r="AF121" s="827"/>
    </row>
    <row r="122" spans="1:32" x14ac:dyDescent="0.25">
      <c r="A122" s="847"/>
      <c r="B122" s="847"/>
      <c r="C122" s="2"/>
      <c r="D122" s="2"/>
      <c r="G122" s="2">
        <v>670.91</v>
      </c>
      <c r="H122" s="2" t="s">
        <v>27</v>
      </c>
      <c r="K122" s="2">
        <v>411.72</v>
      </c>
      <c r="L122" s="2" t="s">
        <v>27</v>
      </c>
      <c r="O122" s="2">
        <v>36973.58</v>
      </c>
      <c r="P122" s="2" t="s">
        <v>748</v>
      </c>
      <c r="Q122" s="2">
        <v>24.68</v>
      </c>
      <c r="R122" s="2" t="s">
        <v>27</v>
      </c>
      <c r="AD122" s="848"/>
      <c r="AE122" s="826"/>
      <c r="AF122" s="827"/>
    </row>
    <row r="123" spans="1:32" x14ac:dyDescent="0.25">
      <c r="A123" s="847"/>
      <c r="B123" s="847"/>
      <c r="C123" s="2"/>
      <c r="D123" s="2"/>
      <c r="G123" s="2">
        <v>29294.13</v>
      </c>
      <c r="H123" s="2" t="s">
        <v>748</v>
      </c>
      <c r="K123" s="2">
        <v>30195.96</v>
      </c>
      <c r="L123" s="2" t="s">
        <v>748</v>
      </c>
      <c r="O123" s="2">
        <v>483.19</v>
      </c>
      <c r="P123" s="2" t="s">
        <v>4</v>
      </c>
      <c r="Q123" s="2">
        <f>22845.31+9038.7</f>
        <v>31884.010000000002</v>
      </c>
      <c r="R123" s="2" t="s">
        <v>748</v>
      </c>
      <c r="AD123" s="848"/>
      <c r="AE123" s="826"/>
      <c r="AF123" s="827"/>
    </row>
    <row r="124" spans="1:32" x14ac:dyDescent="0.25">
      <c r="A124" s="847"/>
      <c r="B124" s="847"/>
      <c r="C124" s="2"/>
      <c r="D124" s="2"/>
      <c r="G124" s="112">
        <f>SUM(G120:G123)</f>
        <v>34343.78</v>
      </c>
      <c r="K124" s="112">
        <f>SUM(K120:K123)</f>
        <v>33319.86</v>
      </c>
      <c r="O124" s="112">
        <f>SUM(O120:O123)</f>
        <v>37456.770000000004</v>
      </c>
      <c r="Q124" s="112">
        <f>SUM(Q120:Q123)</f>
        <v>32071.22</v>
      </c>
      <c r="AD124" s="848"/>
      <c r="AE124" s="826"/>
      <c r="AF124" s="827"/>
    </row>
    <row r="125" spans="1:32" x14ac:dyDescent="0.25">
      <c r="A125" s="847"/>
      <c r="B125" s="847"/>
      <c r="C125" s="2"/>
      <c r="D125" s="2"/>
      <c r="AD125" s="848"/>
      <c r="AE125" s="826"/>
      <c r="AF125" s="827"/>
    </row>
    <row r="126" spans="1:32" x14ac:dyDescent="0.25">
      <c r="A126" s="847"/>
      <c r="B126" s="847"/>
      <c r="C126" s="2"/>
      <c r="D126" s="2"/>
      <c r="G126" s="837">
        <f>+G117-G124</f>
        <v>4656.2200000000012</v>
      </c>
      <c r="H126" s="837" t="s">
        <v>759</v>
      </c>
      <c r="K126" s="837">
        <f>+K117-K124</f>
        <v>5680.1399999999994</v>
      </c>
      <c r="L126" s="837" t="s">
        <v>759</v>
      </c>
      <c r="O126" s="837">
        <f>+O117-O124</f>
        <v>1543.2299999999959</v>
      </c>
      <c r="P126" s="837" t="s">
        <v>759</v>
      </c>
      <c r="Q126" s="837">
        <f>+Q117-Q124</f>
        <v>6928.7799999999988</v>
      </c>
      <c r="R126" s="837" t="s">
        <v>766</v>
      </c>
      <c r="AD126" s="848"/>
      <c r="AE126" s="826"/>
      <c r="AF126" s="827"/>
    </row>
    <row r="127" spans="1:32" x14ac:dyDescent="0.25">
      <c r="A127" s="847"/>
      <c r="B127" s="847"/>
      <c r="C127" s="2"/>
      <c r="D127" s="2"/>
      <c r="G127" s="2">
        <f>+G126-G103-G104</f>
        <v>9.0949470177292824E-13</v>
      </c>
      <c r="K127" s="2">
        <f>+K126-K103-K104</f>
        <v>0</v>
      </c>
      <c r="O127" s="2">
        <f>+O126-O100-O101</f>
        <v>107.22999999999593</v>
      </c>
      <c r="P127" s="835" t="s">
        <v>754</v>
      </c>
      <c r="Q127" s="2">
        <f>+Q126-Q103-Q104</f>
        <v>0</v>
      </c>
      <c r="AD127" s="848"/>
      <c r="AE127" s="826"/>
      <c r="AF127" s="827"/>
    </row>
    <row r="128" spans="1:32" x14ac:dyDescent="0.25">
      <c r="A128" s="847"/>
      <c r="B128" s="847"/>
      <c r="C128" s="2"/>
      <c r="D128" s="2"/>
      <c r="AD128" s="848"/>
      <c r="AE128" s="826"/>
      <c r="AF128" s="827"/>
    </row>
    <row r="129" spans="1:32" s="107" customFormat="1" x14ac:dyDescent="0.25">
      <c r="A129" s="828"/>
      <c r="B129" s="828"/>
      <c r="I129" s="817"/>
      <c r="S129" s="817"/>
      <c r="W129" s="817"/>
      <c r="AC129" s="294"/>
      <c r="AD129" s="829"/>
      <c r="AE129" s="829"/>
      <c r="AF129" s="830"/>
    </row>
    <row r="130" spans="1:32" x14ac:dyDescent="0.25">
      <c r="A130" s="847"/>
      <c r="B130" s="847"/>
      <c r="C130" s="2"/>
      <c r="D130" s="2"/>
      <c r="AD130" s="848"/>
      <c r="AE130" s="826"/>
      <c r="AF130" s="827"/>
    </row>
    <row r="131" spans="1:32" ht="17.25" x14ac:dyDescent="0.4">
      <c r="C131" s="300" t="str">
        <f>+C19</f>
        <v>200 - DO</v>
      </c>
      <c r="D131" s="2"/>
      <c r="G131" s="300" t="str">
        <f>+G19</f>
        <v>020 - SH</v>
      </c>
      <c r="H131" s="2" t="s">
        <v>197</v>
      </c>
      <c r="K131" s="300" t="str">
        <f>+K19</f>
        <v>040 - ST</v>
      </c>
      <c r="L131" s="2" t="s">
        <v>194</v>
      </c>
      <c r="M131" s="301"/>
      <c r="N131" s="36"/>
      <c r="O131" s="300" t="str">
        <f>+O19</f>
        <v>060 - SY</v>
      </c>
      <c r="P131" s="2" t="s">
        <v>195</v>
      </c>
      <c r="Q131" s="300" t="str">
        <f>+Q19</f>
        <v>070 - WO</v>
      </c>
      <c r="R131" s="2" t="s">
        <v>196</v>
      </c>
      <c r="AD131" s="615"/>
      <c r="AE131" s="616"/>
    </row>
    <row r="132" spans="1:32" x14ac:dyDescent="0.25">
      <c r="C132" s="2">
        <v>10000</v>
      </c>
      <c r="D132" s="30" t="s">
        <v>203</v>
      </c>
      <c r="G132" s="10" t="s">
        <v>191</v>
      </c>
      <c r="K132" s="10" t="s">
        <v>191</v>
      </c>
      <c r="M132" s="6"/>
      <c r="N132" s="36"/>
      <c r="O132" s="10" t="s">
        <v>191</v>
      </c>
      <c r="Q132" s="10" t="s">
        <v>191</v>
      </c>
      <c r="AE132" s="10"/>
    </row>
    <row r="133" spans="1:32" x14ac:dyDescent="0.25">
      <c r="C133" s="108">
        <f>ROUND(+C132*(LEFT('MYP Assumptions'!$D$55,6)),0)</f>
        <v>1258</v>
      </c>
      <c r="D133" s="108" t="s">
        <v>76</v>
      </c>
      <c r="G133" s="2">
        <v>39000</v>
      </c>
      <c r="H133" s="2" t="s">
        <v>183</v>
      </c>
      <c r="K133" s="2">
        <v>39000</v>
      </c>
      <c r="L133" s="2" t="s">
        <v>183</v>
      </c>
      <c r="M133" s="36"/>
      <c r="N133" s="36"/>
      <c r="O133" s="2">
        <v>39000</v>
      </c>
      <c r="P133" s="2" t="s">
        <v>183</v>
      </c>
      <c r="Q133" s="2">
        <v>39000</v>
      </c>
      <c r="R133" s="2" t="s">
        <v>183</v>
      </c>
      <c r="AE133" s="10"/>
    </row>
    <row r="134" spans="1:32" x14ac:dyDescent="0.25">
      <c r="C134" s="108">
        <f>ROUND(+C132*(LEFT('MYP Assumptions'!$D$58,6)),0)</f>
        <v>145</v>
      </c>
      <c r="D134" s="108" t="s">
        <v>79</v>
      </c>
      <c r="M134" s="36"/>
      <c r="N134" s="36"/>
      <c r="AE134" s="10"/>
    </row>
    <row r="135" spans="1:32" x14ac:dyDescent="0.25">
      <c r="C135" s="108">
        <f>ROUND(+C132*(LEFT('MYP Assumptions'!$D$59,6)),0)</f>
        <v>5</v>
      </c>
      <c r="D135" s="108" t="s">
        <v>81</v>
      </c>
      <c r="G135" s="2">
        <v>20000</v>
      </c>
      <c r="H135" s="2" t="s">
        <v>184</v>
      </c>
      <c r="K135" s="2">
        <v>25000</v>
      </c>
      <c r="L135" s="2" t="s">
        <v>184</v>
      </c>
      <c r="M135" s="36"/>
      <c r="N135" s="36"/>
      <c r="O135" s="2">
        <v>30000</v>
      </c>
      <c r="P135" s="2" t="s">
        <v>184</v>
      </c>
      <c r="Q135" s="2">
        <v>19272</v>
      </c>
      <c r="R135" s="2" t="s">
        <v>184</v>
      </c>
      <c r="AE135" s="10"/>
    </row>
    <row r="136" spans="1:32" x14ac:dyDescent="0.25">
      <c r="C136" s="108">
        <f>+C132*(LEFT('MYP Assumptions'!$D$60,5))</f>
        <v>110</v>
      </c>
      <c r="D136" s="108" t="s">
        <v>82</v>
      </c>
      <c r="G136" s="2">
        <v>3500</v>
      </c>
      <c r="H136" s="2" t="s">
        <v>185</v>
      </c>
      <c r="K136" s="2">
        <v>4794</v>
      </c>
      <c r="L136" s="2" t="s">
        <v>185</v>
      </c>
      <c r="M136" s="36"/>
      <c r="N136" s="36"/>
      <c r="O136" s="2">
        <v>4397</v>
      </c>
      <c r="P136" s="2" t="s">
        <v>185</v>
      </c>
      <c r="Q136" s="2">
        <v>3147</v>
      </c>
      <c r="R136" s="2" t="s">
        <v>185</v>
      </c>
      <c r="AE136" s="10"/>
    </row>
    <row r="137" spans="1:32" x14ac:dyDescent="0.25">
      <c r="C137" s="112">
        <f>SUM(C132:C136)</f>
        <v>11518</v>
      </c>
      <c r="D137" s="2"/>
      <c r="M137" s="36"/>
      <c r="N137" s="36"/>
      <c r="AE137" s="10"/>
    </row>
    <row r="138" spans="1:32" x14ac:dyDescent="0.25">
      <c r="C138" s="2"/>
      <c r="D138" s="2"/>
      <c r="G138" s="2">
        <v>10000</v>
      </c>
      <c r="H138" s="2" t="s">
        <v>192</v>
      </c>
      <c r="K138" s="2">
        <v>8000</v>
      </c>
      <c r="L138" s="2" t="s">
        <v>193</v>
      </c>
      <c r="M138" s="36"/>
      <c r="N138" s="36"/>
      <c r="O138" s="2">
        <v>4000</v>
      </c>
      <c r="P138" s="2" t="s">
        <v>193</v>
      </c>
      <c r="Q138" s="2">
        <v>3000</v>
      </c>
      <c r="R138" s="2" t="s">
        <v>198</v>
      </c>
      <c r="AE138" s="10"/>
    </row>
    <row r="139" spans="1:32" x14ac:dyDescent="0.25">
      <c r="C139" s="2"/>
      <c r="D139" s="2"/>
      <c r="G139" s="108">
        <f>ROUND(+G138*(LEFT('MYP Assumptions'!$D$55,6)),0)</f>
        <v>1258</v>
      </c>
      <c r="H139" s="108" t="s">
        <v>76</v>
      </c>
      <c r="K139" s="108">
        <f>ROUND(+K138*(LEFT('MYP Assumptions'!$D$55,6)),0)</f>
        <v>1006</v>
      </c>
      <c r="L139" s="2" t="s">
        <v>76</v>
      </c>
      <c r="M139" s="36"/>
      <c r="N139" s="36"/>
      <c r="O139" s="108">
        <f>ROUND(+O138*(LEFT('MYP Assumptions'!$D$55,6)),0)</f>
        <v>503</v>
      </c>
      <c r="P139" s="2" t="s">
        <v>76</v>
      </c>
      <c r="Q139" s="108">
        <f>ROUND(+Q138*(LEFT('MYP Assumptions'!$D$55,6)),0)</f>
        <v>377</v>
      </c>
      <c r="R139" s="2" t="s">
        <v>76</v>
      </c>
    </row>
    <row r="140" spans="1:32" x14ac:dyDescent="0.25">
      <c r="C140" s="2"/>
      <c r="D140" s="2"/>
      <c r="G140" s="108">
        <f>ROUND(+G138*(LEFT('MYP Assumptions'!$D$58,6)),0)</f>
        <v>145</v>
      </c>
      <c r="H140" s="108" t="s">
        <v>79</v>
      </c>
      <c r="K140" s="108">
        <f>ROUND(+K138*(LEFT('MYP Assumptions'!$D$58,6)),0)</f>
        <v>116</v>
      </c>
      <c r="L140" s="2" t="s">
        <v>79</v>
      </c>
      <c r="M140" s="36"/>
      <c r="N140" s="36"/>
      <c r="O140" s="108">
        <f>ROUND(+O138*(LEFT('MYP Assumptions'!$D$58,6)),0)</f>
        <v>58</v>
      </c>
      <c r="P140" s="2" t="s">
        <v>79</v>
      </c>
      <c r="Q140" s="108">
        <f>ROUND(+Q138*(LEFT('MYP Assumptions'!$D$58,6)),0)</f>
        <v>44</v>
      </c>
      <c r="R140" s="2" t="s">
        <v>79</v>
      </c>
    </row>
    <row r="141" spans="1:32" x14ac:dyDescent="0.25">
      <c r="C141" s="2"/>
      <c r="D141" s="2"/>
      <c r="G141" s="108">
        <f>ROUND(+G138*(LEFT('MYP Assumptions'!$D$59,6)),0)</f>
        <v>5</v>
      </c>
      <c r="H141" s="108" t="s">
        <v>81</v>
      </c>
      <c r="K141" s="108">
        <f>ROUND(+K138*(LEFT('MYP Assumptions'!$D$59,6)),0)</f>
        <v>4</v>
      </c>
      <c r="L141" s="2" t="s">
        <v>81</v>
      </c>
      <c r="M141" s="36"/>
      <c r="N141" s="36"/>
      <c r="O141" s="108">
        <f>ROUND(+O138*(LEFT('MYP Assumptions'!$D$59,6)),0)</f>
        <v>2</v>
      </c>
      <c r="P141" s="2" t="s">
        <v>81</v>
      </c>
      <c r="Q141" s="108">
        <f>ROUND(+Q138*(LEFT('MYP Assumptions'!$D$59,6)),0)</f>
        <v>2</v>
      </c>
      <c r="R141" s="2" t="s">
        <v>81</v>
      </c>
    </row>
    <row r="142" spans="1:32" x14ac:dyDescent="0.25">
      <c r="C142" s="2"/>
      <c r="D142" s="2"/>
      <c r="G142" s="108">
        <f>+G138*(LEFT('MYP Assumptions'!$D$60,5))</f>
        <v>110</v>
      </c>
      <c r="H142" s="108" t="s">
        <v>82</v>
      </c>
      <c r="K142" s="108">
        <f>+K138*(LEFT('MYP Assumptions'!$D$60,5))</f>
        <v>88</v>
      </c>
      <c r="L142" s="2" t="s">
        <v>82</v>
      </c>
      <c r="M142" s="36"/>
      <c r="N142" s="36"/>
      <c r="O142" s="108">
        <f>+O138*(LEFT('MYP Assumptions'!$D$60,5))</f>
        <v>44</v>
      </c>
      <c r="P142" s="2" t="s">
        <v>82</v>
      </c>
      <c r="Q142" s="108">
        <f>+Q138*(LEFT('MYP Assumptions'!$D$60,5))</f>
        <v>33</v>
      </c>
      <c r="R142" s="2" t="s">
        <v>82</v>
      </c>
    </row>
    <row r="143" spans="1:32" x14ac:dyDescent="0.25">
      <c r="M143" s="36"/>
      <c r="N143" s="36"/>
      <c r="Q143" s="2">
        <v>3000</v>
      </c>
      <c r="R143" s="2" t="s">
        <v>186</v>
      </c>
    </row>
    <row r="144" spans="1:32" x14ac:dyDescent="0.25">
      <c r="G144" s="2">
        <v>2000</v>
      </c>
      <c r="H144" s="2" t="s">
        <v>199</v>
      </c>
      <c r="K144" s="2">
        <v>0</v>
      </c>
      <c r="L144" s="2" t="s">
        <v>200</v>
      </c>
      <c r="M144" s="36"/>
      <c r="N144" s="36"/>
      <c r="O144" s="2">
        <v>0</v>
      </c>
      <c r="P144" s="2" t="s">
        <v>200</v>
      </c>
      <c r="Q144" s="2">
        <v>0</v>
      </c>
      <c r="R144" s="2" t="s">
        <v>200</v>
      </c>
    </row>
    <row r="145" spans="7:18" x14ac:dyDescent="0.25">
      <c r="G145" s="108">
        <f>ROUND(+G144*(LEFT('MYP Assumptions'!$D$56,6)),0)</f>
        <v>278</v>
      </c>
      <c r="H145" s="2" t="s">
        <v>77</v>
      </c>
      <c r="K145" s="108">
        <f>ROUND(+K144*(LEFT('MYP Assumptions'!$D$56,6)),0)</f>
        <v>0</v>
      </c>
      <c r="L145" s="2" t="s">
        <v>77</v>
      </c>
      <c r="M145" s="36"/>
      <c r="N145" s="36"/>
      <c r="O145" s="108">
        <f>ROUND(+O144*(LEFT('MYP Assumptions'!$D$56,6)),0)</f>
        <v>0</v>
      </c>
      <c r="P145" s="2" t="s">
        <v>77</v>
      </c>
      <c r="Q145" s="108">
        <f>ROUND(+Q144*(LEFT('MYP Assumptions'!$D$56,6)),0)</f>
        <v>0</v>
      </c>
      <c r="R145" s="2" t="s">
        <v>77</v>
      </c>
    </row>
    <row r="146" spans="7:18" x14ac:dyDescent="0.25">
      <c r="G146" s="108">
        <f>ROUND(+G144*(LEFT('MYP Assumptions'!$D$57,6)),0)</f>
        <v>124</v>
      </c>
      <c r="H146" s="2" t="s">
        <v>78</v>
      </c>
      <c r="K146" s="108">
        <f>ROUND(+K144*(LEFT('MYP Assumptions'!$D$57,6)),0)</f>
        <v>0</v>
      </c>
      <c r="L146" s="2" t="s">
        <v>78</v>
      </c>
      <c r="M146" s="36"/>
      <c r="N146" s="36"/>
      <c r="O146" s="108">
        <f>ROUND(+O144*(LEFT('MYP Assumptions'!$D$57,6)),0)</f>
        <v>0</v>
      </c>
      <c r="P146" s="2" t="s">
        <v>78</v>
      </c>
      <c r="Q146" s="108">
        <f>ROUND(+Q144*(LEFT('MYP Assumptions'!$D$57,6)),0)</f>
        <v>0</v>
      </c>
      <c r="R146" s="2" t="s">
        <v>78</v>
      </c>
    </row>
    <row r="147" spans="7:18" x14ac:dyDescent="0.25">
      <c r="G147" s="108">
        <f>ROUND(+G144*(LEFT('MYP Assumptions'!$D$58,6)),0)</f>
        <v>29</v>
      </c>
      <c r="H147" s="108" t="s">
        <v>79</v>
      </c>
      <c r="K147" s="108">
        <f>ROUND(+K144*(LEFT('MYP Assumptions'!$D$58,6)),0)</f>
        <v>0</v>
      </c>
      <c r="L147" s="108" t="s">
        <v>79</v>
      </c>
      <c r="M147" s="36"/>
      <c r="N147" s="36"/>
      <c r="O147" s="108">
        <f>ROUND(+O144*(LEFT('MYP Assumptions'!$D$58,6)),0)</f>
        <v>0</v>
      </c>
      <c r="P147" s="108" t="s">
        <v>79</v>
      </c>
      <c r="Q147" s="108">
        <f>ROUND(+Q144*(LEFT('MYP Assumptions'!$D$58,6)),0)</f>
        <v>0</v>
      </c>
      <c r="R147" s="108" t="s">
        <v>79</v>
      </c>
    </row>
    <row r="148" spans="7:18" x14ac:dyDescent="0.25">
      <c r="G148" s="108">
        <f>ROUND(+G144*(LEFT('MYP Assumptions'!$D$59,6)),0)</f>
        <v>1</v>
      </c>
      <c r="H148" s="108" t="s">
        <v>81</v>
      </c>
      <c r="K148" s="108">
        <f>ROUND(+K144*(LEFT('MYP Assumptions'!$D$59,6)),0)</f>
        <v>0</v>
      </c>
      <c r="L148" s="108" t="s">
        <v>81</v>
      </c>
      <c r="M148" s="36"/>
      <c r="N148" s="36"/>
      <c r="O148" s="108">
        <f>ROUND(+O144*(LEFT('MYP Assumptions'!$D$59,6)),0)</f>
        <v>0</v>
      </c>
      <c r="P148" s="108" t="s">
        <v>81</v>
      </c>
      <c r="Q148" s="108">
        <f>ROUND(+Q144*(LEFT('MYP Assumptions'!$D$59,6)),0)</f>
        <v>0</v>
      </c>
      <c r="R148" s="108" t="s">
        <v>81</v>
      </c>
    </row>
    <row r="149" spans="7:18" x14ac:dyDescent="0.25">
      <c r="G149" s="108">
        <f>+G144*(LEFT('MYP Assumptions'!$D$60,5))</f>
        <v>22</v>
      </c>
      <c r="H149" s="108" t="s">
        <v>82</v>
      </c>
      <c r="K149" s="108">
        <f>+K144*(LEFT('MYP Assumptions'!$D$60,5))</f>
        <v>0</v>
      </c>
      <c r="L149" s="108" t="s">
        <v>82</v>
      </c>
      <c r="M149" s="36"/>
      <c r="N149" s="36"/>
      <c r="O149" s="108">
        <f>+O144*(LEFT('MYP Assumptions'!$D$60,5))</f>
        <v>0</v>
      </c>
      <c r="P149" s="108" t="s">
        <v>82</v>
      </c>
      <c r="Q149" s="108">
        <f>+Q144*(LEFT('MYP Assumptions'!$D$60,5))</f>
        <v>0</v>
      </c>
      <c r="R149" s="108" t="s">
        <v>82</v>
      </c>
    </row>
    <row r="150" spans="7:18" x14ac:dyDescent="0.25">
      <c r="M150" s="36"/>
      <c r="N150" s="36"/>
    </row>
    <row r="151" spans="7:18" x14ac:dyDescent="0.25">
      <c r="G151" s="2">
        <v>1040</v>
      </c>
      <c r="H151" s="2" t="s">
        <v>190</v>
      </c>
      <c r="K151" s="2">
        <v>0</v>
      </c>
      <c r="L151" s="2" t="s">
        <v>190</v>
      </c>
      <c r="M151" s="36"/>
      <c r="N151" s="36"/>
      <c r="O151" s="2">
        <f>+M151</f>
        <v>0</v>
      </c>
      <c r="P151" s="2" t="s">
        <v>190</v>
      </c>
      <c r="Q151" s="2">
        <v>9628</v>
      </c>
      <c r="R151" s="2" t="s">
        <v>190</v>
      </c>
    </row>
    <row r="152" spans="7:18" x14ac:dyDescent="0.25">
      <c r="G152" s="2">
        <v>500</v>
      </c>
      <c r="H152" s="2" t="s">
        <v>189</v>
      </c>
      <c r="K152" s="2">
        <v>0</v>
      </c>
      <c r="L152" s="2" t="s">
        <v>189</v>
      </c>
      <c r="M152" s="36"/>
      <c r="N152" s="36"/>
      <c r="O152" s="2">
        <f>+M152</f>
        <v>0</v>
      </c>
      <c r="P152" s="2" t="s">
        <v>189</v>
      </c>
      <c r="Q152" s="2">
        <v>500</v>
      </c>
      <c r="R152" s="2" t="s">
        <v>189</v>
      </c>
    </row>
    <row r="153" spans="7:18" x14ac:dyDescent="0.25">
      <c r="G153" s="112">
        <f>SUM(G135:G152)</f>
        <v>39012</v>
      </c>
      <c r="K153" s="112">
        <f>SUM(K135:K152)</f>
        <v>39008</v>
      </c>
      <c r="M153" s="36"/>
      <c r="N153" s="36"/>
      <c r="O153" s="112">
        <f>SUM(O135:O152)</f>
        <v>39004</v>
      </c>
      <c r="Q153" s="112">
        <f>SUM(Q135:Q152)</f>
        <v>39003</v>
      </c>
    </row>
    <row r="154" spans="7:18" x14ac:dyDescent="0.25">
      <c r="M154" s="36"/>
      <c r="N154" s="36"/>
    </row>
    <row r="155" spans="7:18" x14ac:dyDescent="0.25">
      <c r="G155" s="2">
        <f>+G133-G153</f>
        <v>-12</v>
      </c>
      <c r="H155" s="2" t="s">
        <v>49</v>
      </c>
      <c r="K155" s="2">
        <f>+K133-K153</f>
        <v>-8</v>
      </c>
      <c r="L155" s="2" t="s">
        <v>49</v>
      </c>
      <c r="M155" s="36"/>
      <c r="N155" s="36"/>
      <c r="O155" s="2">
        <f>+O133-O153</f>
        <v>-4</v>
      </c>
      <c r="P155" s="2" t="s">
        <v>49</v>
      </c>
      <c r="Q155" s="2">
        <f>+Q133-Q153</f>
        <v>-3</v>
      </c>
      <c r="R155" s="2" t="s">
        <v>49</v>
      </c>
    </row>
  </sheetData>
  <mergeCells count="7">
    <mergeCell ref="A108:B108"/>
    <mergeCell ref="AD108:AE108"/>
    <mergeCell ref="H6:N6"/>
    <mergeCell ref="O6:U6"/>
    <mergeCell ref="V6:AB6"/>
    <mergeCell ref="B100:B105"/>
    <mergeCell ref="AE100:AE104"/>
  </mergeCells>
  <conditionalFormatting sqref="C108:E109 AH108:XFD109 G109:AF109 G108 I108 K108 M108 O108 Q108 S108 U108 W108 Y108 AA108 AC108:AF108">
    <cfRule type="cellIs" dxfId="13" priority="14" operator="greaterThan">
      <formula>1000</formula>
    </cfRule>
  </conditionalFormatting>
  <conditionalFormatting sqref="AF110:AF112 AF114:AF130">
    <cfRule type="cellIs" dxfId="12" priority="13" operator="greaterThan">
      <formula>1000</formula>
    </cfRule>
  </conditionalFormatting>
  <conditionalFormatting sqref="F108">
    <cfRule type="cellIs" dxfId="11" priority="12" operator="greaterThan">
      <formula>1000</formula>
    </cfRule>
  </conditionalFormatting>
  <conditionalFormatting sqref="H108">
    <cfRule type="cellIs" dxfId="10" priority="11" operator="greaterThan">
      <formula>1000</formula>
    </cfRule>
  </conditionalFormatting>
  <conditionalFormatting sqref="J108">
    <cfRule type="cellIs" dxfId="9" priority="10" operator="greaterThan">
      <formula>1000</formula>
    </cfRule>
  </conditionalFormatting>
  <conditionalFormatting sqref="L108">
    <cfRule type="cellIs" dxfId="8" priority="9" operator="greaterThan">
      <formula>1000</formula>
    </cfRule>
  </conditionalFormatting>
  <conditionalFormatting sqref="N108">
    <cfRule type="cellIs" dxfId="7" priority="8" operator="greaterThan">
      <formula>1000</formula>
    </cfRule>
  </conditionalFormatting>
  <conditionalFormatting sqref="P108">
    <cfRule type="cellIs" dxfId="6" priority="7" operator="greaterThan">
      <formula>1000</formula>
    </cfRule>
  </conditionalFormatting>
  <conditionalFormatting sqref="R108">
    <cfRule type="cellIs" dxfId="5" priority="6" operator="greaterThan">
      <formula>1000</formula>
    </cfRule>
  </conditionalFormatting>
  <conditionalFormatting sqref="T108">
    <cfRule type="cellIs" dxfId="4" priority="5" operator="greaterThan">
      <formula>1000</formula>
    </cfRule>
  </conditionalFormatting>
  <conditionalFormatting sqref="V108">
    <cfRule type="cellIs" dxfId="3" priority="4" operator="greaterThan">
      <formula>1000</formula>
    </cfRule>
  </conditionalFormatting>
  <conditionalFormatting sqref="X108">
    <cfRule type="cellIs" dxfId="2" priority="3" operator="greaterThan">
      <formula>1000</formula>
    </cfRule>
  </conditionalFormatting>
  <conditionalFormatting sqref="Z108">
    <cfRule type="cellIs" dxfId="1" priority="2" operator="greaterThan">
      <formula>1000</formula>
    </cfRule>
  </conditionalFormatting>
  <conditionalFormatting sqref="AB108">
    <cfRule type="cellIs" dxfId="0" priority="1" operator="greaterThan">
      <formula>1000</formula>
    </cfRule>
  </conditionalFormatting>
  <pageMargins left="0.25" right="0.25" top="0.25" bottom="0.25" header="0.25" footer="0.25"/>
  <pageSetup paperSize="5" scale="71" fitToWidth="4" orientation="landscape" cellComments="asDisplayed" r:id="rId1"/>
  <headerFooter>
    <oddHeader>&amp;R&amp;A</oddHeader>
    <oddFooter>&amp;L&amp;F&amp;CPage &amp;P of &amp;N&amp;R&amp;A</oddFooter>
  </headerFooter>
  <colBreaks count="4" manualBreakCount="4">
    <brk id="8" max="127" man="1"/>
    <brk id="16" max="127" man="1"/>
    <brk id="22" max="127" man="1"/>
    <brk id="28" max="127"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F111"/>
  <sheetViews>
    <sheetView zoomScaleNormal="100" workbookViewId="0">
      <pane xSplit="3" ySplit="7" topLeftCell="D8" activePane="bottomRight" state="frozen"/>
      <selection pane="topRight"/>
      <selection pane="bottomLeft"/>
      <selection pane="bottomRight"/>
    </sheetView>
  </sheetViews>
  <sheetFormatPr defaultRowHeight="15" x14ac:dyDescent="0.25"/>
  <cols>
    <col min="1" max="1" width="1.7109375" style="451" customWidth="1"/>
    <col min="2" max="2" width="8.5703125" style="887" customWidth="1"/>
    <col min="3" max="3" width="18.28515625" style="877" customWidth="1"/>
    <col min="4" max="4" width="16" style="390" customWidth="1"/>
    <col min="5" max="5" width="20.42578125" style="877" hidden="1" customWidth="1"/>
    <col min="6" max="6" width="6" style="545" customWidth="1"/>
    <col min="7" max="7" width="9.42578125" style="1881" bestFit="1" customWidth="1"/>
    <col min="8" max="8" width="13.85546875" style="549" bestFit="1" customWidth="1"/>
    <col min="9" max="9" width="24" style="886" hidden="1" customWidth="1"/>
    <col min="10" max="10" width="5.7109375" style="550" customWidth="1"/>
    <col min="11" max="11" width="10.140625" style="1879" customWidth="1"/>
    <col min="12" max="12" width="14.28515625" style="554" customWidth="1"/>
    <col min="13" max="13" width="32.28515625" style="880" hidden="1" customWidth="1"/>
    <col min="14" max="14" width="5.7109375" style="545" customWidth="1"/>
    <col min="15" max="15" width="9.42578125" style="1879" bestFit="1" customWidth="1"/>
    <col min="16" max="16" width="13.85546875" style="390" bestFit="1" customWidth="1"/>
    <col min="17" max="17" width="26" style="877" hidden="1" customWidth="1"/>
    <col min="18" max="18" width="5.5703125" style="551" customWidth="1"/>
    <col min="19" max="19" width="16.42578125" style="545" hidden="1" customWidth="1"/>
    <col min="20" max="20" width="14" style="545" hidden="1" customWidth="1"/>
    <col min="21" max="21" width="24.85546875" style="545" hidden="1" customWidth="1"/>
    <col min="22" max="22" width="5.7109375" style="545" hidden="1" customWidth="1"/>
    <col min="23" max="23" width="9.42578125" style="545" hidden="1" customWidth="1"/>
    <col min="24" max="24" width="14" style="545" hidden="1" customWidth="1"/>
    <col min="25" max="25" width="24.85546875" style="545" hidden="1" customWidth="1"/>
    <col min="26" max="26" width="5.7109375" style="545" hidden="1" customWidth="1"/>
    <col min="27" max="27" width="10.5703125" style="545" hidden="1" customWidth="1"/>
    <col min="28" max="28" width="14" style="545" hidden="1" customWidth="1"/>
    <col min="29" max="29" width="24.85546875" style="545" hidden="1" customWidth="1"/>
    <col min="30" max="30" width="9.140625" style="877" customWidth="1"/>
    <col min="31" max="31" width="13.85546875" style="390" hidden="1" customWidth="1"/>
    <col min="32" max="33" width="0" style="877" hidden="1" customWidth="1"/>
    <col min="34" max="16384" width="9.140625" style="877"/>
  </cols>
  <sheetData>
    <row r="1" spans="1:32" x14ac:dyDescent="0.25">
      <c r="B1" s="887" t="s">
        <v>61</v>
      </c>
      <c r="C1" s="888" t="s">
        <v>60</v>
      </c>
      <c r="D1" s="536">
        <v>1947648</v>
      </c>
      <c r="E1" s="876" t="s">
        <v>905</v>
      </c>
      <c r="F1" s="537"/>
      <c r="G1" s="1886"/>
      <c r="H1" s="538">
        <v>1800186</v>
      </c>
      <c r="I1" s="902" t="s">
        <v>969</v>
      </c>
      <c r="J1" s="539"/>
      <c r="K1" s="1878"/>
      <c r="L1" s="540">
        <f>+H1</f>
        <v>1800186</v>
      </c>
      <c r="M1" s="911" t="s">
        <v>173</v>
      </c>
      <c r="N1" s="541"/>
      <c r="O1" s="1878"/>
      <c r="P1" s="540">
        <f>ROUND(+L1*1.0235,0)</f>
        <v>1842490</v>
      </c>
      <c r="Q1" s="911" t="s">
        <v>994</v>
      </c>
      <c r="R1" s="542"/>
      <c r="S1" s="541"/>
      <c r="T1" s="543">
        <f>P1</f>
        <v>1842490</v>
      </c>
      <c r="U1" s="544" t="s">
        <v>173</v>
      </c>
      <c r="V1" s="541"/>
      <c r="W1" s="541"/>
      <c r="X1" s="543">
        <f>T1</f>
        <v>1842490</v>
      </c>
      <c r="Y1" s="544" t="s">
        <v>173</v>
      </c>
      <c r="Z1" s="541"/>
      <c r="AA1" s="541"/>
      <c r="AB1" s="543">
        <f>X1</f>
        <v>1842490</v>
      </c>
      <c r="AC1" s="544" t="s">
        <v>173</v>
      </c>
      <c r="AD1" s="1850"/>
      <c r="AE1" s="1852"/>
    </row>
    <row r="2" spans="1:32" ht="16.5" x14ac:dyDescent="0.35">
      <c r="B2" s="889" t="s">
        <v>59</v>
      </c>
      <c r="C2" s="890">
        <v>3010</v>
      </c>
      <c r="D2" s="536">
        <v>1062358.3700000001</v>
      </c>
      <c r="E2" s="876" t="s">
        <v>904</v>
      </c>
      <c r="F2" s="537"/>
      <c r="G2" s="1887"/>
      <c r="H2" s="1012">
        <f>-D3-D4</f>
        <v>750726.19</v>
      </c>
      <c r="I2" s="1013" t="s">
        <v>785</v>
      </c>
      <c r="J2" s="539"/>
      <c r="K2" s="1878"/>
      <c r="L2" s="540">
        <f>-H3</f>
        <v>270027.89999999997</v>
      </c>
      <c r="M2" s="911" t="s">
        <v>952</v>
      </c>
      <c r="N2" s="541"/>
      <c r="O2" s="1878"/>
      <c r="P2" s="540">
        <f>-L3</f>
        <v>60000</v>
      </c>
      <c r="Q2" s="911" t="s">
        <v>952</v>
      </c>
      <c r="R2" s="542"/>
      <c r="S2" s="541"/>
      <c r="T2" s="546">
        <v>0</v>
      </c>
      <c r="U2" s="544"/>
      <c r="V2" s="541"/>
      <c r="W2" s="541"/>
      <c r="X2" s="546">
        <v>0</v>
      </c>
      <c r="Y2" s="544"/>
      <c r="Z2" s="541"/>
      <c r="AA2" s="541"/>
      <c r="AB2" s="546">
        <v>0</v>
      </c>
      <c r="AC2" s="544"/>
      <c r="AD2" s="1850"/>
      <c r="AE2" s="1852"/>
    </row>
    <row r="3" spans="1:32" ht="16.5" x14ac:dyDescent="0.35">
      <c r="D3" s="1007">
        <v>-750726.19</v>
      </c>
      <c r="E3" s="1008" t="s">
        <v>781</v>
      </c>
      <c r="F3" s="548"/>
      <c r="G3" s="1888"/>
      <c r="H3" s="1014">
        <f>+-H1*0.15</f>
        <v>-270027.89999999997</v>
      </c>
      <c r="I3" s="1015" t="s">
        <v>784</v>
      </c>
      <c r="J3" s="539"/>
      <c r="K3" s="1878"/>
      <c r="L3" s="546">
        <v>-60000</v>
      </c>
      <c r="M3" s="911" t="s">
        <v>993</v>
      </c>
      <c r="N3" s="541"/>
      <c r="O3" s="1878"/>
      <c r="P3" s="546">
        <v>0</v>
      </c>
      <c r="Q3" s="911" t="s">
        <v>993</v>
      </c>
      <c r="R3" s="542"/>
      <c r="S3" s="541"/>
      <c r="T3" s="543">
        <f>SUM(T1:T2)</f>
        <v>1842490</v>
      </c>
      <c r="U3" s="544"/>
      <c r="V3" s="541"/>
      <c r="W3" s="541"/>
      <c r="X3" s="543">
        <f>SUM(X1:X2)</f>
        <v>1842490</v>
      </c>
      <c r="Y3" s="544"/>
      <c r="Z3" s="541"/>
      <c r="AA3" s="541"/>
      <c r="AB3" s="543">
        <f>SUM(AB1:AB2)</f>
        <v>1842490</v>
      </c>
      <c r="AC3" s="544"/>
      <c r="AD3" s="1850"/>
      <c r="AE3" s="1852"/>
    </row>
    <row r="4" spans="1:32" x14ac:dyDescent="0.25">
      <c r="D4" s="1583">
        <v>0</v>
      </c>
      <c r="E4" s="1007">
        <f>-D3-D4</f>
        <v>750726.19</v>
      </c>
      <c r="F4" s="548"/>
      <c r="G4" s="1888"/>
      <c r="H4" s="547">
        <f>+SUM(H1:H3)</f>
        <v>2280884.29</v>
      </c>
      <c r="I4" s="902" t="str">
        <f>"Max 17/18 c/o = "&amp;H1*0.15</f>
        <v>Max 17/18 c/o = 270027.9</v>
      </c>
      <c r="J4" s="539"/>
      <c r="K4" s="1878"/>
      <c r="L4" s="540">
        <f>SUM(L1:L3)</f>
        <v>2010213.9</v>
      </c>
      <c r="M4" s="1898">
        <f>+L1*0.15</f>
        <v>270027.89999999997</v>
      </c>
      <c r="N4" s="541"/>
      <c r="O4" s="1878"/>
      <c r="P4" s="540">
        <f>SUM(P1:P3)</f>
        <v>1902490</v>
      </c>
      <c r="Q4" s="921"/>
      <c r="R4" s="542"/>
      <c r="S4" s="541"/>
      <c r="T4" s="543"/>
      <c r="U4" s="544"/>
      <c r="V4" s="541"/>
      <c r="W4" s="541"/>
      <c r="X4" s="543"/>
      <c r="Y4" s="544"/>
      <c r="Z4" s="541"/>
      <c r="AA4" s="541"/>
      <c r="AB4" s="543"/>
      <c r="AC4" s="544"/>
      <c r="AD4" s="1850"/>
      <c r="AE4" s="1852"/>
    </row>
    <row r="5" spans="1:32" x14ac:dyDescent="0.25">
      <c r="D5" s="547">
        <f>+SUM(D1:D4)</f>
        <v>2259280.1800000002</v>
      </c>
      <c r="E5" s="902" t="str">
        <f>"Max 16/17 c/o = "&amp;D1*0.15</f>
        <v>Max 16/17 c/o = 292147.2</v>
      </c>
      <c r="I5" s="1855"/>
      <c r="L5" s="549"/>
      <c r="M5" s="885"/>
      <c r="P5" s="549"/>
      <c r="Q5" s="886"/>
      <c r="T5" s="552"/>
      <c r="U5" s="553"/>
      <c r="X5" s="552"/>
      <c r="Y5" s="553"/>
      <c r="AB5" s="552"/>
      <c r="AC5" s="553"/>
    </row>
    <row r="6" spans="1:32" ht="15.75" x14ac:dyDescent="0.25">
      <c r="B6" s="891" t="s">
        <v>56</v>
      </c>
      <c r="H6" s="538">
        <f>+H1-D1</f>
        <v>-147462</v>
      </c>
      <c r="I6" s="902" t="s">
        <v>782</v>
      </c>
      <c r="P6" s="554"/>
      <c r="T6" s="555"/>
      <c r="X6" s="555"/>
      <c r="AB6" s="555"/>
    </row>
    <row r="7" spans="1:32" s="892" customFormat="1" ht="15.75" x14ac:dyDescent="0.25">
      <c r="A7" s="556"/>
      <c r="D7" s="557" t="s">
        <v>55</v>
      </c>
      <c r="E7" s="878"/>
      <c r="F7" s="558"/>
      <c r="G7" s="1889"/>
      <c r="H7" s="559" t="str">
        <f>LEFT(D7,4)+1&amp;"-"&amp;RIGHT(D7,4)+1</f>
        <v>2017-2018</v>
      </c>
      <c r="I7" s="903"/>
      <c r="J7" s="560"/>
      <c r="K7" s="1885"/>
      <c r="L7" s="561" t="str">
        <f>LEFT(H7,4)+1&amp;"-"&amp;RIGHT(H7,4)+1</f>
        <v>2018-2019</v>
      </c>
      <c r="M7" s="912"/>
      <c r="N7" s="562"/>
      <c r="O7" s="1880"/>
      <c r="P7" s="561" t="str">
        <f>LEFT(L7,4)+1&amp;"-"&amp;RIGHT(L7,4)+1</f>
        <v>2019-2020</v>
      </c>
      <c r="Q7" s="922"/>
      <c r="R7" s="563"/>
      <c r="S7" s="564"/>
      <c r="T7" s="564" t="str">
        <f>LEFT(P7,4)+1&amp;"-"&amp;RIGHT(P7,4)+1</f>
        <v>2020-2021</v>
      </c>
      <c r="U7" s="564"/>
      <c r="V7" s="562"/>
      <c r="W7" s="564"/>
      <c r="X7" s="564" t="str">
        <f>LEFT(T7,4)+1&amp;"-"&amp;RIGHT(T7,4)+1</f>
        <v>2021-2022</v>
      </c>
      <c r="Y7" s="564"/>
      <c r="Z7" s="562"/>
      <c r="AA7" s="564"/>
      <c r="AB7" s="564" t="str">
        <f>LEFT(X7,4)+1&amp;"-"&amp;RIGHT(X7,4)+1</f>
        <v>2022-2023</v>
      </c>
      <c r="AC7" s="564"/>
      <c r="AE7" s="1853"/>
    </row>
    <row r="8" spans="1:32" x14ac:dyDescent="0.25">
      <c r="B8" s="893" t="str">
        <f>'2016-17  RS 3010-DO &amp; All Sites'!AD7</f>
        <v>Beginning Balance</v>
      </c>
      <c r="D8" s="390">
        <v>0</v>
      </c>
      <c r="H8" s="390">
        <f>D89</f>
        <v>0</v>
      </c>
      <c r="J8" s="565"/>
      <c r="L8" s="390">
        <f>H89</f>
        <v>0</v>
      </c>
      <c r="M8" s="913"/>
      <c r="P8" s="390">
        <f>L89</f>
        <v>0</v>
      </c>
      <c r="Q8" s="923"/>
      <c r="T8" s="390">
        <f>P89</f>
        <v>0</v>
      </c>
      <c r="U8" s="555"/>
      <c r="X8" s="390">
        <f>T89</f>
        <v>-102948</v>
      </c>
      <c r="Y8" s="555"/>
      <c r="AB8" s="390">
        <f>X89</f>
        <v>-253100</v>
      </c>
      <c r="AC8" s="555"/>
    </row>
    <row r="9" spans="1:32" x14ac:dyDescent="0.25">
      <c r="H9" s="1010"/>
      <c r="I9" s="1011"/>
      <c r="L9" s="390"/>
      <c r="M9" s="913"/>
      <c r="Q9" s="923"/>
      <c r="U9" s="555"/>
      <c r="Y9" s="555"/>
      <c r="AC9" s="555"/>
    </row>
    <row r="10" spans="1:32" x14ac:dyDescent="0.25">
      <c r="B10" s="893" t="str">
        <f>'2016-17  RS 3010-DO &amp; All Sites'!AD9</f>
        <v>Revenue</v>
      </c>
      <c r="C10" s="877" t="str">
        <f>'2016-17  RS 3010-DO &amp; All Sites'!AE9</f>
        <v xml:space="preserve">Current Year </v>
      </c>
      <c r="D10" s="390">
        <v>1196921.81</v>
      </c>
      <c r="E10" s="877" t="s">
        <v>950</v>
      </c>
      <c r="G10" s="391">
        <f>IF(D10=0,"0.00%",(H10-D10)/D10)</f>
        <v>0.27841099327950247</v>
      </c>
      <c r="H10" s="392">
        <v>1530158</v>
      </c>
      <c r="I10" s="904" t="s">
        <v>209</v>
      </c>
      <c r="J10" s="393"/>
      <c r="K10" s="391">
        <f>IF(H10=0,"0.00%",(L10-H10)/H10)</f>
        <v>0.13725902815264829</v>
      </c>
      <c r="L10" s="392">
        <f>+L1+L3</f>
        <v>1740186</v>
      </c>
      <c r="M10" s="914" t="s">
        <v>174</v>
      </c>
      <c r="O10" s="391">
        <f>IF(L10=0,"0.00%",(P10-L10)/L10)</f>
        <v>5.8789117944863363E-2</v>
      </c>
      <c r="P10" s="392">
        <f>+P1</f>
        <v>1842490</v>
      </c>
      <c r="Q10" s="894" t="s">
        <v>174</v>
      </c>
      <c r="S10" s="391">
        <f>IF(P10=0,"0.00%",(T10-P10)/P10)</f>
        <v>0</v>
      </c>
      <c r="T10" s="392">
        <f>T3</f>
        <v>1842490</v>
      </c>
      <c r="U10" s="566" t="s">
        <v>174</v>
      </c>
      <c r="W10" s="391">
        <f>IF(T10=0,"0.00%",(X10-T10)/T10)</f>
        <v>0</v>
      </c>
      <c r="X10" s="392">
        <f>X3</f>
        <v>1842490</v>
      </c>
      <c r="Y10" s="566" t="s">
        <v>174</v>
      </c>
      <c r="AA10" s="391">
        <f>IF(X10=0,"0.00%",(AB10-X10)/X10)</f>
        <v>0</v>
      </c>
      <c r="AB10" s="392">
        <f>AB3</f>
        <v>1842490</v>
      </c>
      <c r="AC10" s="566" t="s">
        <v>174</v>
      </c>
    </row>
    <row r="11" spans="1:32" x14ac:dyDescent="0.25">
      <c r="B11" s="894"/>
      <c r="C11" s="877" t="str">
        <f>'2016-17  RS 3010-DO &amp; All Sites'!AE10</f>
        <v>Prior Carryover</v>
      </c>
      <c r="D11" s="390">
        <f>+D2</f>
        <v>1062358.3700000001</v>
      </c>
      <c r="E11" s="877" t="s">
        <v>175</v>
      </c>
      <c r="G11" s="391">
        <f>IF(D11=0,"0.00%",(H11-D11)/D11)</f>
        <v>-0.29333997716796839</v>
      </c>
      <c r="H11" s="1009">
        <v>750726.19</v>
      </c>
      <c r="I11" s="904" t="s">
        <v>222</v>
      </c>
      <c r="J11" s="393"/>
      <c r="K11" s="391">
        <f>IF(H11=0,"0.00%",(L11-H11)/H11)</f>
        <v>-0.64031107000543031</v>
      </c>
      <c r="L11" s="392">
        <v>270027.90000000002</v>
      </c>
      <c r="M11" s="914"/>
      <c r="O11" s="391">
        <f>IF(L11=0,"0.00%",(P11-L11)/L11)</f>
        <v>-0.77780073836814645</v>
      </c>
      <c r="P11" s="392">
        <f>+P2</f>
        <v>60000</v>
      </c>
      <c r="Q11" s="894"/>
      <c r="S11" s="391">
        <f>IF(P11=0,"0.00%",(T11-P11)/P11)</f>
        <v>-1</v>
      </c>
      <c r="T11" s="392">
        <f>-P3</f>
        <v>0</v>
      </c>
      <c r="U11" s="567"/>
      <c r="W11" s="391" t="str">
        <f>IF(T11=0,"0.00%",(X11-T11)/T11)</f>
        <v>0.00%</v>
      </c>
      <c r="X11" s="392">
        <f>-T2</f>
        <v>0</v>
      </c>
      <c r="Y11" s="567"/>
      <c r="AA11" s="391" t="str">
        <f>IF(X11=0,"0.00%",(AB11-X11)/X11)</f>
        <v>0.00%</v>
      </c>
      <c r="AB11" s="392">
        <f>-X2</f>
        <v>0</v>
      </c>
      <c r="AC11" s="567"/>
    </row>
    <row r="12" spans="1:32" x14ac:dyDescent="0.25">
      <c r="B12" s="893" t="str">
        <f>'2016-17  RS 3010-DO &amp; All Sites'!AD11</f>
        <v>TOTAL REVENUE</v>
      </c>
      <c r="D12" s="568">
        <f>SUM(D9:D11)</f>
        <v>2259280.1800000002</v>
      </c>
      <c r="G12" s="391">
        <f>IF(D12=0,"0.00%",(H12-D12)/D12)</f>
        <v>9.5623421084496812E-3</v>
      </c>
      <c r="H12" s="568">
        <f>SUM(H9:H11)</f>
        <v>2280884.19</v>
      </c>
      <c r="I12" s="1292">
        <f>+H12-D12</f>
        <v>21604.009999999776</v>
      </c>
      <c r="J12" s="569"/>
      <c r="K12" s="391">
        <f>IF(H12=0,"0.00%",(L12-H12)/H12)</f>
        <v>-0.11866901931570671</v>
      </c>
      <c r="L12" s="568">
        <f>SUM(L10:L11)</f>
        <v>2010213.9</v>
      </c>
      <c r="M12" s="1292">
        <f>+L12-H12</f>
        <v>-270670.29000000004</v>
      </c>
      <c r="O12" s="391">
        <f>IF(L12=0,"0.00%",(P12-L12)/L12)</f>
        <v>-5.358827734700268E-2</v>
      </c>
      <c r="P12" s="568">
        <f>SUM(P10:P11)</f>
        <v>1902490</v>
      </c>
      <c r="Q12" s="1292">
        <f>+P12-L12</f>
        <v>-107723.89999999991</v>
      </c>
      <c r="S12" s="391">
        <f>IF(P12=0,"0.00%",(T12-P12)/P12)</f>
        <v>-3.1537616492070916E-2</v>
      </c>
      <c r="T12" s="570">
        <f>SUM(T10:T11)</f>
        <v>1842490</v>
      </c>
      <c r="U12" s="567"/>
      <c r="W12" s="391">
        <f>IF(T12=0,"0.00%",(X12-T12)/T12)</f>
        <v>0</v>
      </c>
      <c r="X12" s="570">
        <f>SUM(X10:X11)</f>
        <v>1842490</v>
      </c>
      <c r="Y12" s="567"/>
      <c r="AA12" s="391">
        <f>IF(X12=0,"0.00%",(AB12-X12)/X12)</f>
        <v>0</v>
      </c>
      <c r="AB12" s="570">
        <f>SUM(AB10:AB11)</f>
        <v>1842490</v>
      </c>
      <c r="AC12" s="567"/>
    </row>
    <row r="13" spans="1:32" x14ac:dyDescent="0.25">
      <c r="H13" s="392"/>
      <c r="I13" s="1006"/>
      <c r="J13" s="571"/>
      <c r="K13" s="1881"/>
      <c r="L13" s="392"/>
      <c r="M13" s="914"/>
      <c r="O13" s="1881"/>
      <c r="P13" s="392"/>
      <c r="Q13" s="894"/>
      <c r="S13" s="572"/>
      <c r="T13" s="573"/>
      <c r="U13" s="567"/>
      <c r="W13" s="572"/>
      <c r="X13" s="573"/>
      <c r="Y13" s="567"/>
      <c r="AA13" s="572"/>
      <c r="AB13" s="573"/>
      <c r="AC13" s="567"/>
      <c r="AE13" s="390">
        <f>+D5</f>
        <v>2259280.1800000002</v>
      </c>
      <c r="AF13" s="877" t="s">
        <v>970</v>
      </c>
    </row>
    <row r="14" spans="1:32" x14ac:dyDescent="0.25">
      <c r="C14" s="895" t="str">
        <f>'2016-17  RS 3010-DO &amp; All Sites'!AE13</f>
        <v>Indirect Costs</v>
      </c>
      <c r="D14" s="574">
        <v>80610.77</v>
      </c>
      <c r="E14" s="1033">
        <f>'2016-17  RS 3010-DO &amp; All Sites'!AD13</f>
        <v>3.6999999999999998E-2</v>
      </c>
      <c r="G14" s="391">
        <f>IF(D14=0,"0.00%",(H14-D14)/D14)</f>
        <v>0.20289137543283603</v>
      </c>
      <c r="H14" s="574">
        <f>ROUND(H12-(H12/(1+I14)),0)</f>
        <v>96966</v>
      </c>
      <c r="I14" s="1033">
        <v>4.4400000000000002E-2</v>
      </c>
      <c r="J14" s="575"/>
      <c r="K14" s="391">
        <f>IF(H14=0,"0.00%",(L14-H14)/H14)</f>
        <v>-0.11867046181135656</v>
      </c>
      <c r="L14" s="574">
        <f>ROUND(L12-(L12/(1+M14)),0)</f>
        <v>85459</v>
      </c>
      <c r="M14" s="1033">
        <v>4.4400000000000002E-2</v>
      </c>
      <c r="O14" s="391">
        <f>IF(L14=0,"0.00%",(P14-L14)/L14)</f>
        <v>-5.3581249488058598E-2</v>
      </c>
      <c r="P14" s="574">
        <f>ROUND(P12-(P12/(1+Q14)),0)</f>
        <v>80880</v>
      </c>
      <c r="Q14" s="1033">
        <v>4.4400000000000002E-2</v>
      </c>
      <c r="S14" s="391">
        <f>IF(P14=0,"0.00%",(T14-P14)/P14)</f>
        <v>-0.18719090009891196</v>
      </c>
      <c r="T14" s="576">
        <f>ROUND(T12-(T12/(1+E14)),0)</f>
        <v>65740</v>
      </c>
      <c r="U14" s="567"/>
      <c r="W14" s="391">
        <f>IF(T14=0,"0.00%",(X14-T14)/T14)</f>
        <v>0</v>
      </c>
      <c r="X14" s="576">
        <f>ROUND(X12-(X12/(1+E14)),0)</f>
        <v>65740</v>
      </c>
      <c r="Y14" s="567"/>
      <c r="AA14" s="391">
        <f>IF(X14=0,"0.00%",(AB14-X14)/X14)</f>
        <v>3.7272893215698204</v>
      </c>
      <c r="AB14" s="576">
        <f>ROUND(AB12-(AB12/(1+G14)),0)</f>
        <v>310772</v>
      </c>
      <c r="AC14" s="567"/>
      <c r="AE14" s="877"/>
    </row>
    <row r="15" spans="1:32" x14ac:dyDescent="0.25">
      <c r="E15" s="927" t="s">
        <v>951</v>
      </c>
      <c r="H15" s="392"/>
      <c r="I15" s="905"/>
      <c r="J15" s="571"/>
      <c r="K15" s="1881"/>
      <c r="L15" s="392"/>
      <c r="M15" s="913"/>
      <c r="O15" s="1881"/>
      <c r="P15" s="392"/>
      <c r="Q15" s="894"/>
      <c r="S15" s="572"/>
      <c r="T15" s="573"/>
      <c r="U15" s="555"/>
      <c r="W15" s="572"/>
      <c r="X15" s="573"/>
      <c r="Y15" s="555"/>
      <c r="AA15" s="572"/>
      <c r="AB15" s="573"/>
      <c r="AC15" s="555"/>
      <c r="AE15" s="390">
        <f>+D2</f>
        <v>1062358.3700000001</v>
      </c>
      <c r="AF15" s="877" t="s">
        <v>971</v>
      </c>
    </row>
    <row r="16" spans="1:32" x14ac:dyDescent="0.25">
      <c r="B16" s="893" t="str">
        <f>'2016-17  RS 3010-DO &amp; All Sites'!AD15</f>
        <v xml:space="preserve">TOTAL AVAILABLE </v>
      </c>
      <c r="D16" s="577">
        <f>D12-D14</f>
        <v>2178669.41</v>
      </c>
      <c r="G16" s="391">
        <f>IF(D16=0,"0.00%",(H16-D16)/D16)</f>
        <v>2.4091677130583088E-3</v>
      </c>
      <c r="H16" s="574">
        <f>H12-H14</f>
        <v>2183918.19</v>
      </c>
      <c r="I16" s="1292">
        <f>+H16-D16</f>
        <v>5248.7799999997951</v>
      </c>
      <c r="J16" s="569"/>
      <c r="K16" s="391">
        <f>IF(H16=0,"0.00%",(L16-H16)/H16)</f>
        <v>-0.11866895526887848</v>
      </c>
      <c r="L16" s="574">
        <f>L12-L14</f>
        <v>1924754.9</v>
      </c>
      <c r="M16" s="1292">
        <f>+L16-H16</f>
        <v>-259163.29000000004</v>
      </c>
      <c r="O16" s="391">
        <f>IF(L16=0,"0.00%",(P16-L16)/L16)</f>
        <v>-5.3588589383510549E-2</v>
      </c>
      <c r="P16" s="574">
        <f>P12-P14</f>
        <v>1821610</v>
      </c>
      <c r="Q16" s="1292">
        <f>+P16-L16</f>
        <v>-103144.89999999991</v>
      </c>
      <c r="S16" s="391">
        <f>IF(P16=0,"0.00%",(T16-P16)/P16)</f>
        <v>-2.4626566608659372E-2</v>
      </c>
      <c r="T16" s="578">
        <f>T12-T14</f>
        <v>1776750</v>
      </c>
      <c r="U16" s="555"/>
      <c r="W16" s="391">
        <f>IF(T16=0,"0.00%",(X16-T16)/T16)</f>
        <v>0</v>
      </c>
      <c r="X16" s="578">
        <f>X12-X14</f>
        <v>1776750</v>
      </c>
      <c r="Y16" s="555"/>
      <c r="AA16" s="391">
        <f>IF(X16=0,"0.00%",(AB16-X16)/X16)</f>
        <v>-0.13791022935134375</v>
      </c>
      <c r="AB16" s="578">
        <f>AB12-AB14</f>
        <v>1531718</v>
      </c>
      <c r="AC16" s="555"/>
      <c r="AE16" s="390">
        <f>+AE13-AE15</f>
        <v>1196921.81</v>
      </c>
      <c r="AF16" s="877" t="s">
        <v>972</v>
      </c>
    </row>
    <row r="17" spans="1:32" x14ac:dyDescent="0.25">
      <c r="H17" s="392"/>
      <c r="I17" s="392"/>
      <c r="J17" s="569"/>
      <c r="L17" s="392"/>
      <c r="M17" s="913"/>
      <c r="P17" s="392"/>
      <c r="Q17" s="923"/>
      <c r="T17" s="579"/>
      <c r="U17" s="555"/>
      <c r="X17" s="579"/>
      <c r="Y17" s="555"/>
      <c r="AB17" s="579"/>
      <c r="AC17" s="555"/>
      <c r="AE17" s="834">
        <f>SUM(AE15:AE16)</f>
        <v>2259280.1800000002</v>
      </c>
      <c r="AF17" s="877" t="str">
        <f>+AF13</f>
        <v>T. 16-17 FY expenditures</v>
      </c>
    </row>
    <row r="18" spans="1:32" x14ac:dyDescent="0.25">
      <c r="C18" s="887"/>
      <c r="H18" s="392"/>
      <c r="I18" s="905"/>
      <c r="J18" s="571"/>
      <c r="L18" s="392"/>
      <c r="M18" s="913"/>
      <c r="P18" s="392"/>
      <c r="Q18" s="923"/>
      <c r="T18" s="573"/>
      <c r="U18" s="555"/>
      <c r="X18" s="573"/>
      <c r="Y18" s="555"/>
      <c r="AB18" s="573"/>
      <c r="AC18" s="555"/>
      <c r="AE18" s="877"/>
    </row>
    <row r="19" spans="1:32" x14ac:dyDescent="0.25">
      <c r="A19" s="580"/>
      <c r="B19" s="893" t="s">
        <v>176</v>
      </c>
      <c r="D19" s="29" t="s">
        <v>826</v>
      </c>
      <c r="E19" s="929"/>
      <c r="F19" s="32"/>
      <c r="G19" s="52"/>
      <c r="H19" s="29" t="s">
        <v>177</v>
      </c>
      <c r="I19" s="906"/>
      <c r="J19" s="581"/>
      <c r="M19" s="913"/>
      <c r="Q19" s="923"/>
      <c r="U19" s="555"/>
      <c r="Y19" s="555"/>
      <c r="AC19" s="555"/>
    </row>
    <row r="20" spans="1:32" ht="17.25" x14ac:dyDescent="0.4">
      <c r="A20" s="582"/>
      <c r="D20" s="35" t="s">
        <v>827</v>
      </c>
      <c r="E20" s="860"/>
      <c r="F20" s="34"/>
      <c r="G20" s="52"/>
      <c r="H20" s="35" t="s">
        <v>48</v>
      </c>
      <c r="I20" s="907"/>
      <c r="J20" s="453"/>
      <c r="L20" s="583" t="s">
        <v>48</v>
      </c>
      <c r="M20" s="1071">
        <v>0.02</v>
      </c>
      <c r="P20" s="583" t="s">
        <v>48</v>
      </c>
      <c r="Q20" s="1071">
        <v>0.02</v>
      </c>
      <c r="T20" s="583" t="s">
        <v>48</v>
      </c>
      <c r="U20" s="584">
        <v>0.02</v>
      </c>
      <c r="X20" s="583" t="s">
        <v>48</v>
      </c>
      <c r="Y20" s="584">
        <v>0.02</v>
      </c>
      <c r="AB20" s="583" t="s">
        <v>48</v>
      </c>
      <c r="AC20" s="584">
        <v>0.02</v>
      </c>
      <c r="AE20" s="390">
        <f>+D1</f>
        <v>1947648</v>
      </c>
      <c r="AF20" s="877" t="s">
        <v>973</v>
      </c>
    </row>
    <row r="21" spans="1:32" s="895" customFormat="1" x14ac:dyDescent="0.25">
      <c r="A21" s="455"/>
      <c r="B21" s="893" t="str">
        <f>'2016-17  RS 3010-DO &amp; All Sites'!AD20</f>
        <v xml:space="preserve">Certificated </v>
      </c>
      <c r="D21" s="577"/>
      <c r="E21" s="879"/>
      <c r="F21" s="577"/>
      <c r="G21" s="1890"/>
      <c r="H21" s="577"/>
      <c r="I21" s="881"/>
      <c r="J21" s="454"/>
      <c r="K21" s="585"/>
      <c r="L21" s="577"/>
      <c r="M21" s="915"/>
      <c r="N21" s="586"/>
      <c r="O21" s="585"/>
      <c r="P21" s="577"/>
      <c r="Q21" s="924"/>
      <c r="R21" s="587"/>
      <c r="S21" s="586"/>
      <c r="T21" s="577"/>
      <c r="U21" s="588"/>
      <c r="V21" s="586"/>
      <c r="W21" s="586"/>
      <c r="X21" s="577"/>
      <c r="Y21" s="588"/>
      <c r="Z21" s="586"/>
      <c r="AA21" s="586"/>
      <c r="AB21" s="577"/>
      <c r="AC21" s="588"/>
      <c r="AE21" s="390">
        <f>+AE16</f>
        <v>1196921.81</v>
      </c>
      <c r="AF21" s="877" t="str">
        <f>+AF16</f>
        <v>16-17 award exp in 16-17</v>
      </c>
    </row>
    <row r="22" spans="1:32" x14ac:dyDescent="0.25">
      <c r="A22" s="393"/>
      <c r="B22" s="896" t="str">
        <f>'2016-17  RS 3010-DO &amp; All Sites'!AD21</f>
        <v>1110</v>
      </c>
      <c r="C22" s="894" t="str">
        <f>'2016-17  RS 3010-DO &amp; All Sites'!AE21</f>
        <v>Intervention Tchr.</v>
      </c>
      <c r="D22" s="390">
        <v>36222.17</v>
      </c>
      <c r="E22" s="880"/>
      <c r="F22" s="390"/>
      <c r="G22" s="391">
        <f t="shared" ref="G22:G30" si="0">IF(D22=0,"0.00%",(H22-D22)/D22)</f>
        <v>0.19125938617150773</v>
      </c>
      <c r="H22" s="390">
        <v>43150</v>
      </c>
      <c r="I22" s="882"/>
      <c r="J22" s="449"/>
      <c r="K22" s="391">
        <f t="shared" ref="K22:K28" si="1">IF(H22=0,"0.00%",(L22-H22)/H22)</f>
        <v>0</v>
      </c>
      <c r="L22" s="390">
        <f>ROUND(H22*(1-$L$58),0)</f>
        <v>43150</v>
      </c>
      <c r="M22" s="885" t="s">
        <v>174</v>
      </c>
      <c r="O22" s="391">
        <f t="shared" ref="O22:O28" si="2">IF(L22=0,"0.00%",(P22-L22)/L22)</f>
        <v>0</v>
      </c>
      <c r="P22" s="390">
        <f>ROUND(L22*(1-$P$58),0)</f>
        <v>43150</v>
      </c>
      <c r="Q22" s="885" t="s">
        <v>174</v>
      </c>
      <c r="S22" s="391">
        <f t="shared" ref="S22:S28" si="3">IF(P22=0,"0.00%",(T22-P22)/P22)</f>
        <v>0.02</v>
      </c>
      <c r="T22" s="390">
        <f>ROUND(P22*(1+U20),0)</f>
        <v>44013</v>
      </c>
      <c r="U22" s="589" t="str">
        <f>TEXT(U20,"0.0%")&amp;" = Est. S &amp; C"</f>
        <v>2.0% = Est. S &amp; C</v>
      </c>
      <c r="W22" s="391">
        <f t="shared" ref="W22:W28" si="4">IF(T22=0,"0.00%",(X22-T22)/T22)</f>
        <v>1.9994092654443005E-2</v>
      </c>
      <c r="X22" s="390">
        <f>ROUND(T22*(1+Y20),0)</f>
        <v>44893</v>
      </c>
      <c r="Y22" s="589" t="str">
        <f>TEXT(Y20,"0.0%")&amp;" = Est. S &amp; C"</f>
        <v>2.0% = Est. S &amp; C</v>
      </c>
      <c r="AA22" s="391">
        <f t="shared" ref="AA22:AA28" si="5">IF(X22=0,"0.00%",(AB22-X22)/X22)</f>
        <v>2.0003118526273584E-2</v>
      </c>
      <c r="AB22" s="390">
        <f>ROUND(X22*(1+AC20),0)</f>
        <v>45791</v>
      </c>
      <c r="AC22" s="589" t="str">
        <f>TEXT(AC20,"0.0%")&amp;" = Est. S &amp; C"</f>
        <v>2.0% = Est. S &amp; C</v>
      </c>
      <c r="AE22" s="834">
        <f>+AE20-AE21</f>
        <v>750726.19</v>
      </c>
      <c r="AF22" s="877" t="s">
        <v>974</v>
      </c>
    </row>
    <row r="23" spans="1:32" x14ac:dyDescent="0.25">
      <c r="A23" s="449"/>
      <c r="B23" s="896" t="str">
        <f>'2016-17  RS 3010-DO &amp; All Sites'!AD22</f>
        <v>1112</v>
      </c>
      <c r="C23" s="894" t="str">
        <f>'2016-17  RS 3010-DO &amp; All Sites'!AE22</f>
        <v>Supplemental Tchr./Extra Duty/Training</v>
      </c>
      <c r="D23" s="390">
        <v>52200</v>
      </c>
      <c r="E23" s="880"/>
      <c r="F23" s="390"/>
      <c r="G23" s="391">
        <f t="shared" si="0"/>
        <v>-0.9885057471264368</v>
      </c>
      <c r="H23" s="390">
        <v>600</v>
      </c>
      <c r="I23" s="885"/>
      <c r="J23" s="449"/>
      <c r="K23" s="391">
        <f t="shared" si="1"/>
        <v>0</v>
      </c>
      <c r="L23" s="390">
        <f>ROUND(H23*(1-$L$58),0)</f>
        <v>600</v>
      </c>
      <c r="M23" s="885" t="s">
        <v>174</v>
      </c>
      <c r="O23" s="391">
        <f t="shared" si="2"/>
        <v>0</v>
      </c>
      <c r="P23" s="390">
        <f>ROUND(L23*(1-$P$58),0)</f>
        <v>600</v>
      </c>
      <c r="Q23" s="885" t="s">
        <v>174</v>
      </c>
      <c r="S23" s="391">
        <f t="shared" si="3"/>
        <v>0.02</v>
      </c>
      <c r="T23" s="390">
        <f>ROUND(P23*(1+U20),0)</f>
        <v>612</v>
      </c>
      <c r="U23" s="589" t="str">
        <f>TEXT(U20,"0.0%")&amp;" = Est. S &amp; C"</f>
        <v>2.0% = Est. S &amp; C</v>
      </c>
      <c r="W23" s="391">
        <f t="shared" si="4"/>
        <v>1.9607843137254902E-2</v>
      </c>
      <c r="X23" s="390">
        <f>ROUND(T23*(1+Y20),0)</f>
        <v>624</v>
      </c>
      <c r="Y23" s="589" t="str">
        <f>TEXT(Y20,"0.0%")&amp;" = Est. S &amp; C"</f>
        <v>2.0% = Est. S &amp; C</v>
      </c>
      <c r="AA23" s="391">
        <f t="shared" si="5"/>
        <v>1.9230769230769232E-2</v>
      </c>
      <c r="AB23" s="390">
        <f>ROUND(X23*(1+AC20),0)</f>
        <v>636</v>
      </c>
      <c r="AC23" s="589" t="str">
        <f>TEXT(AC20,"0.0%")&amp;" = Est. S &amp; C"</f>
        <v>2.0% = Est. S &amp; C</v>
      </c>
    </row>
    <row r="24" spans="1:32" x14ac:dyDescent="0.25">
      <c r="A24" s="449"/>
      <c r="B24" s="896" t="str">
        <f>'2016-17  RS 3010-DO &amp; All Sites'!AD23</f>
        <v>1181</v>
      </c>
      <c r="C24" s="894" t="str">
        <f>'2016-17  RS 3010-DO &amp; All Sites'!AE23</f>
        <v>Subs</v>
      </c>
      <c r="D24" s="390">
        <v>92692.86</v>
      </c>
      <c r="E24" s="880"/>
      <c r="F24" s="390"/>
      <c r="G24" s="391">
        <f t="shared" si="0"/>
        <v>0.36526157462397857</v>
      </c>
      <c r="H24" s="390">
        <v>126550</v>
      </c>
      <c r="I24" s="885"/>
      <c r="J24" s="449"/>
      <c r="K24" s="391">
        <f t="shared" si="1"/>
        <v>0</v>
      </c>
      <c r="L24" s="390">
        <f>ROUND(H24*(1-$L$58),0)</f>
        <v>126550</v>
      </c>
      <c r="M24" s="885" t="s">
        <v>174</v>
      </c>
      <c r="O24" s="391">
        <f t="shared" si="2"/>
        <v>0</v>
      </c>
      <c r="P24" s="390">
        <f>ROUND(L24*(1-$P$58),0)</f>
        <v>126550</v>
      </c>
      <c r="Q24" s="885" t="s">
        <v>174</v>
      </c>
      <c r="S24" s="391">
        <f t="shared" si="3"/>
        <v>0.02</v>
      </c>
      <c r="T24" s="390">
        <f>ROUND(P24*(1+U20),0)</f>
        <v>129081</v>
      </c>
      <c r="U24" s="589" t="str">
        <f>TEXT(U20,"0.0%")&amp;" = Est. S &amp; C"</f>
        <v>2.0% = Est. S &amp; C</v>
      </c>
      <c r="W24" s="391">
        <f t="shared" si="4"/>
        <v>2.000294388794633E-2</v>
      </c>
      <c r="X24" s="390">
        <f>ROUND(T24*(1+Y20),0)</f>
        <v>131663</v>
      </c>
      <c r="Y24" s="589" t="str">
        <f>TEXT(Y20,"0.0%")&amp;" = Est. S &amp; C"</f>
        <v>2.0% = Est. S &amp; C</v>
      </c>
      <c r="AA24" s="391">
        <f t="shared" si="5"/>
        <v>1.9998025261462979E-2</v>
      </c>
      <c r="AB24" s="390">
        <f>ROUND(X24*(1+AC20),0)</f>
        <v>134296</v>
      </c>
      <c r="AC24" s="589" t="str">
        <f>TEXT(AC20,"0.0%")&amp;" = Est. S &amp; C"</f>
        <v>2.0% = Est. S &amp; C</v>
      </c>
      <c r="AE24" s="390">
        <f>+D1*0.15</f>
        <v>292147.20000000001</v>
      </c>
      <c r="AF24" s="877" t="s">
        <v>975</v>
      </c>
    </row>
    <row r="25" spans="1:32" x14ac:dyDescent="0.25">
      <c r="A25" s="449"/>
      <c r="B25" s="896" t="str">
        <f>'2016-17  RS 3010-DO &amp; All Sites'!AD24</f>
        <v>1204</v>
      </c>
      <c r="C25" s="894" t="str">
        <f>'2016-17  RS 3010-DO &amp; All Sites'!AE24</f>
        <v>Counselor</v>
      </c>
      <c r="D25" s="390">
        <v>239174.79</v>
      </c>
      <c r="E25" s="880"/>
      <c r="F25" s="390"/>
      <c r="G25" s="391">
        <f t="shared" si="0"/>
        <v>0.13433359761703978</v>
      </c>
      <c r="H25" s="390">
        <v>271304</v>
      </c>
      <c r="I25" s="885"/>
      <c r="J25" s="449"/>
      <c r="K25" s="391">
        <f>IF(H25=0,"0.00%",(L25-H25)/H25)</f>
        <v>1.9999705127827085E-2</v>
      </c>
      <c r="L25" s="390">
        <f>ROUND(H25*(1+M20),0)</f>
        <v>276730</v>
      </c>
      <c r="M25" s="885" t="str">
        <f>TEXT(M20,"0.0%")&amp;" = Est. S &amp; C"</f>
        <v>2.0% = Est. S &amp; C</v>
      </c>
      <c r="O25" s="391">
        <f t="shared" si="2"/>
        <v>2.0001445452245872E-2</v>
      </c>
      <c r="P25" s="390">
        <f>ROUND(L25*(1+Q20),0)</f>
        <v>282265</v>
      </c>
      <c r="Q25" s="885" t="str">
        <f>TEXT(Q20,"0.0%")&amp;" = Est. S &amp; C"</f>
        <v>2.0% = Est. S &amp; C</v>
      </c>
      <c r="S25" s="391">
        <f t="shared" si="3"/>
        <v>1.9998937168972421E-2</v>
      </c>
      <c r="T25" s="390">
        <f>ROUND(P25*(1+U20),0)</f>
        <v>287910</v>
      </c>
      <c r="U25" s="589" t="str">
        <f>TEXT(U20,"0.0%")&amp;" = Est. S &amp; C"</f>
        <v>2.0% = Est. S &amp; C</v>
      </c>
      <c r="W25" s="391">
        <f t="shared" si="4"/>
        <v>1.9999305338473827E-2</v>
      </c>
      <c r="X25" s="390">
        <f>ROUND(T25*(1+Y20),0)</f>
        <v>293668</v>
      </c>
      <c r="Y25" s="589" t="str">
        <f>TEXT(Y20,"0.0%")&amp;" = Est. S &amp; C"</f>
        <v>2.0% = Est. S &amp; C</v>
      </c>
      <c r="AA25" s="391">
        <f t="shared" si="5"/>
        <v>1.9998774125883651E-2</v>
      </c>
      <c r="AB25" s="390">
        <f>ROUND(X25*(1+AC20),0)</f>
        <v>299541</v>
      </c>
      <c r="AC25" s="589" t="str">
        <f>TEXT(AC20,"0.0%")&amp;" = Est. S &amp; C"</f>
        <v>2.0% = Est. S &amp; C</v>
      </c>
    </row>
    <row r="26" spans="1:32" x14ac:dyDescent="0.25">
      <c r="A26" s="449"/>
      <c r="B26" s="896" t="str">
        <f>'2016-17  RS 3010-DO &amp; All Sites'!AD25</f>
        <v>1208</v>
      </c>
      <c r="C26" s="894" t="str">
        <f>'2016-17  RS 3010-DO &amp; All Sites'!AE25</f>
        <v>Parent Instruction</v>
      </c>
      <c r="D26" s="390">
        <v>461.73</v>
      </c>
      <c r="E26" s="880"/>
      <c r="F26" s="390"/>
      <c r="G26" s="391">
        <f t="shared" si="0"/>
        <v>3.7127108916466329</v>
      </c>
      <c r="H26" s="390">
        <v>2176</v>
      </c>
      <c r="I26" s="885"/>
      <c r="J26" s="449"/>
      <c r="K26" s="391">
        <f t="shared" si="1"/>
        <v>0</v>
      </c>
      <c r="L26" s="390">
        <f>+H26</f>
        <v>2176</v>
      </c>
      <c r="M26" s="1877" t="s">
        <v>174</v>
      </c>
      <c r="O26" s="391">
        <f t="shared" si="2"/>
        <v>0</v>
      </c>
      <c r="P26" s="390">
        <f>ROUND(L26*(1-$P$58),0)</f>
        <v>2176</v>
      </c>
      <c r="Q26" s="885" t="s">
        <v>174</v>
      </c>
      <c r="S26" s="391">
        <f t="shared" si="3"/>
        <v>2.0220588235294119E-2</v>
      </c>
      <c r="T26" s="390">
        <f>ROUND(P26*(1+U20),0)</f>
        <v>2220</v>
      </c>
      <c r="U26" s="589" t="str">
        <f>TEXT(U20,"0.0%")&amp;" = Est. S &amp; C"</f>
        <v>2.0% = Est. S &amp; C</v>
      </c>
      <c r="W26" s="391">
        <f t="shared" si="4"/>
        <v>1.9819819819819819E-2</v>
      </c>
      <c r="X26" s="390">
        <f>ROUND(T26*(1+Y20),0)</f>
        <v>2264</v>
      </c>
      <c r="Y26" s="589" t="str">
        <f>TEXT(Y20,"0.0%")&amp;" = Est. S &amp; C"</f>
        <v>2.0% = Est. S &amp; C</v>
      </c>
      <c r="AA26" s="391">
        <f t="shared" si="5"/>
        <v>1.9876325088339222E-2</v>
      </c>
      <c r="AB26" s="390">
        <f>ROUND(X26*(1+AC20),0)</f>
        <v>2309</v>
      </c>
      <c r="AC26" s="589" t="str">
        <f>TEXT(AC20,"0.0%")&amp;" = Est. S &amp; C"</f>
        <v>2.0% = Est. S &amp; C</v>
      </c>
      <c r="AE26" s="390">
        <f>+AE22-AE24</f>
        <v>458578.98999999993</v>
      </c>
      <c r="AF26" s="877" t="s">
        <v>981</v>
      </c>
    </row>
    <row r="27" spans="1:32" x14ac:dyDescent="0.25">
      <c r="A27" s="449"/>
      <c r="B27" s="896" t="str">
        <f>'2016-17  RS 3010-DO &amp; All Sites'!AD26</f>
        <v>1305</v>
      </c>
      <c r="C27" s="894" t="str">
        <f>'2016-17  RS 3010-DO &amp; All Sites'!AE26</f>
        <v>Director</v>
      </c>
      <c r="D27" s="390">
        <v>62154.68</v>
      </c>
      <c r="E27" s="880"/>
      <c r="F27" s="390"/>
      <c r="G27" s="391">
        <f t="shared" si="0"/>
        <v>-9.6964540723240844E-3</v>
      </c>
      <c r="H27" s="390">
        <v>61552</v>
      </c>
      <c r="I27" s="885"/>
      <c r="J27" s="449"/>
      <c r="K27" s="391">
        <f t="shared" si="1"/>
        <v>1.9999350142968546E-2</v>
      </c>
      <c r="L27" s="390">
        <f>ROUND(H27*(1+M20),0)</f>
        <v>62783</v>
      </c>
      <c r="M27" s="885" t="str">
        <f>TEXT(M20,"0.0%")&amp;" = Est. S &amp; C"</f>
        <v>2.0% = Est. S &amp; C</v>
      </c>
      <c r="O27" s="391">
        <f t="shared" si="2"/>
        <v>2.0005415478712391E-2</v>
      </c>
      <c r="P27" s="390">
        <f>ROUND(L27*(1+Q20),0)</f>
        <v>64039</v>
      </c>
      <c r="Q27" s="885" t="str">
        <f>TEXT(Q20,"0.0%")&amp;" = Est. S &amp; C"</f>
        <v>2.0% = Est. S &amp; C</v>
      </c>
      <c r="S27" s="391">
        <f t="shared" si="3"/>
        <v>2.0003435406549135E-2</v>
      </c>
      <c r="T27" s="390">
        <f>ROUND(P27*(1+U20),0)</f>
        <v>65320</v>
      </c>
      <c r="U27" s="589" t="str">
        <f>TEXT(U20,"0.0%")&amp;" = Est. S &amp; C"</f>
        <v>2.0% = Est. S &amp; C</v>
      </c>
      <c r="W27" s="391">
        <f t="shared" si="4"/>
        <v>1.9993876301285976E-2</v>
      </c>
      <c r="X27" s="390">
        <f>ROUND(T27*(1+Y20),0)</f>
        <v>66626</v>
      </c>
      <c r="Y27" s="589" t="str">
        <f>TEXT(Y20,"0.0%")&amp;" = Est. S &amp; C"</f>
        <v>2.0% = Est. S &amp; C</v>
      </c>
      <c r="AA27" s="391">
        <f t="shared" si="5"/>
        <v>2.0007204394680754E-2</v>
      </c>
      <c r="AB27" s="390">
        <f>ROUND(X27*(1+AC20),0)</f>
        <v>67959</v>
      </c>
      <c r="AC27" s="589" t="str">
        <f>TEXT(AC20,"0.0%")&amp;" = Est. S &amp; C"</f>
        <v>2.0% = Est. S &amp; C</v>
      </c>
    </row>
    <row r="28" spans="1:32" x14ac:dyDescent="0.25">
      <c r="A28" s="449"/>
      <c r="B28" s="896" t="str">
        <f>'2016-17  RS 3010-DO &amp; All Sites'!AD27</f>
        <v>1901</v>
      </c>
      <c r="C28" s="894" t="str">
        <f>'2016-17  RS 3010-DO &amp; All Sites'!AE27</f>
        <v>Inst. Coaches</v>
      </c>
      <c r="D28" s="618">
        <v>502321.44</v>
      </c>
      <c r="F28" s="390"/>
      <c r="G28" s="391">
        <f t="shared" si="0"/>
        <v>6.8568763459509116E-2</v>
      </c>
      <c r="H28" s="390">
        <v>536765</v>
      </c>
      <c r="I28" s="862"/>
      <c r="J28" s="449"/>
      <c r="K28" s="391">
        <f t="shared" si="1"/>
        <v>1.9999441096196658E-2</v>
      </c>
      <c r="L28" s="390">
        <f>ROUND(H28*(1+M20),0)</f>
        <v>547500</v>
      </c>
      <c r="M28" s="885" t="str">
        <f>TEXT(M20,"0.0%")&amp;" = Est. S &amp; C"</f>
        <v>2.0% = Est. S &amp; C</v>
      </c>
      <c r="O28" s="391">
        <f t="shared" si="2"/>
        <v>0.02</v>
      </c>
      <c r="P28" s="390">
        <f>ROUND(L28*(1+Q20),0)</f>
        <v>558450</v>
      </c>
      <c r="Q28" s="885" t="str">
        <f>TEXT(Q20,"0.0%")&amp;" = Est. S &amp; C"</f>
        <v>2.0% = Est. S &amp; C</v>
      </c>
      <c r="S28" s="391">
        <f t="shared" si="3"/>
        <v>0.02</v>
      </c>
      <c r="T28" s="390">
        <f>ROUND(P28*(1+U20),0)</f>
        <v>569619</v>
      </c>
      <c r="U28" s="589" t="str">
        <f>TEXT(U20,"0.0%")&amp;" = Est. S &amp; C"</f>
        <v>2.0% = Est. S &amp; C</v>
      </c>
      <c r="W28" s="391">
        <f t="shared" si="4"/>
        <v>1.9999332887421242E-2</v>
      </c>
      <c r="X28" s="390">
        <f>ROUND(T28*(1+Y20),0)</f>
        <v>581011</v>
      </c>
      <c r="Y28" s="589" t="str">
        <f>TEXT(Y20,"0.0%")&amp;" = Est. S &amp; C"</f>
        <v>2.0% = Est. S &amp; C</v>
      </c>
      <c r="AA28" s="391">
        <f t="shared" si="5"/>
        <v>1.9999621349681848E-2</v>
      </c>
      <c r="AB28" s="390">
        <f>ROUND(X28*(1+AC20),0)</f>
        <v>592631</v>
      </c>
      <c r="AC28" s="589" t="str">
        <f>TEXT(AC20,"0.0%")&amp;" = Est. S &amp; C"</f>
        <v>2.0% = Est. S &amp; C</v>
      </c>
      <c r="AE28" s="390">
        <v>246954.63</v>
      </c>
      <c r="AF28" s="877" t="s">
        <v>976</v>
      </c>
    </row>
    <row r="29" spans="1:32" x14ac:dyDescent="0.25">
      <c r="A29" s="449"/>
      <c r="B29" s="896"/>
      <c r="D29" s="390">
        <v>0</v>
      </c>
      <c r="E29" s="880"/>
      <c r="F29" s="390"/>
      <c r="G29" s="391" t="str">
        <f t="shared" si="0"/>
        <v>0.00%</v>
      </c>
      <c r="H29" s="390">
        <f>-'RS 4203'!H23</f>
        <v>0</v>
      </c>
      <c r="I29" s="885"/>
      <c r="J29" s="449"/>
      <c r="L29" s="1293">
        <f>-'RS 4203'!L23</f>
        <v>0</v>
      </c>
      <c r="M29" s="1586" t="s">
        <v>857</v>
      </c>
      <c r="P29" s="1293">
        <f>-'RS 4203'!P23-'RS 4035'!P28</f>
        <v>0</v>
      </c>
      <c r="Q29" s="1586" t="s">
        <v>858</v>
      </c>
      <c r="T29" s="390"/>
      <c r="U29" s="555"/>
      <c r="X29" s="390"/>
      <c r="Y29" s="555"/>
      <c r="AB29" s="390"/>
      <c r="AC29" s="555"/>
      <c r="AE29" s="390">
        <v>293810.8</v>
      </c>
      <c r="AF29" s="877" t="s">
        <v>977</v>
      </c>
    </row>
    <row r="30" spans="1:32" x14ac:dyDescent="0.25">
      <c r="A30" s="453"/>
      <c r="B30" s="896"/>
      <c r="D30" s="568">
        <f>SUM(D22:D29)</f>
        <v>985227.66999999993</v>
      </c>
      <c r="E30" s="880"/>
      <c r="F30" s="390"/>
      <c r="G30" s="391">
        <f t="shared" si="0"/>
        <v>5.7722018708630134E-2</v>
      </c>
      <c r="H30" s="568">
        <f>SUM(H22:H29)</f>
        <v>1042097</v>
      </c>
      <c r="I30" s="1292">
        <f>+H30-D30</f>
        <v>56869.330000000075</v>
      </c>
      <c r="J30" s="453"/>
      <c r="K30" s="391">
        <f>IF(H30=0,"0.00%",(L30-H30)/H30)</f>
        <v>1.6689425264634673E-2</v>
      </c>
      <c r="L30" s="568">
        <f>SUM(L22:L29)</f>
        <v>1059489</v>
      </c>
      <c r="M30" s="1292">
        <f>+L30-H30</f>
        <v>17392</v>
      </c>
      <c r="O30" s="391">
        <f>IF(L30=0,"0.00%",(P30-L30)/L30)</f>
        <v>1.674486474139892E-2</v>
      </c>
      <c r="P30" s="568">
        <f>SUM(P22:P29)</f>
        <v>1077230</v>
      </c>
      <c r="Q30" s="1292">
        <f>+P30-L30</f>
        <v>17741</v>
      </c>
      <c r="S30" s="391">
        <f>IF(P30=0,"0.00%",(T30-P30)/P30)</f>
        <v>2.0000371322744445E-2</v>
      </c>
      <c r="T30" s="568">
        <f>SUM(T22:T29)</f>
        <v>1098775</v>
      </c>
      <c r="U30" s="555"/>
      <c r="W30" s="391">
        <f>IF(T30=0,"0.00%",(X30-T30)/T30)</f>
        <v>1.9998634843348274E-2</v>
      </c>
      <c r="X30" s="568">
        <f>SUM(X22:X29)</f>
        <v>1120749</v>
      </c>
      <c r="Y30" s="555"/>
      <c r="AA30" s="391">
        <f>IF(X30=0,"0.00%",(AB30-X30)/X30)</f>
        <v>1.9999125584765187E-2</v>
      </c>
      <c r="AB30" s="568">
        <f>SUM(AB22:AB29)</f>
        <v>1143163</v>
      </c>
      <c r="AC30" s="555"/>
      <c r="AE30" s="1854">
        <f>+AE28+AE29</f>
        <v>540765.42999999993</v>
      </c>
      <c r="AF30" s="877" t="s">
        <v>978</v>
      </c>
    </row>
    <row r="31" spans="1:32" x14ac:dyDescent="0.25">
      <c r="A31" s="449"/>
      <c r="E31" s="880"/>
      <c r="F31" s="390"/>
      <c r="H31" s="390"/>
      <c r="I31" s="882"/>
      <c r="J31" s="449"/>
      <c r="L31" s="390"/>
      <c r="M31" s="916"/>
      <c r="Q31" s="916"/>
      <c r="T31" s="390"/>
      <c r="U31" s="555"/>
      <c r="X31" s="390"/>
      <c r="Y31" s="555"/>
      <c r="AB31" s="390"/>
      <c r="AC31" s="555"/>
      <c r="AF31" s="877" t="s">
        <v>979</v>
      </c>
    </row>
    <row r="32" spans="1:32" s="897" customFormat="1" x14ac:dyDescent="0.25">
      <c r="A32" s="455"/>
      <c r="B32" s="893" t="str">
        <f>'2016-17  RS 3010-DO &amp; All Sites'!AD32</f>
        <v>Classified</v>
      </c>
      <c r="D32" s="591"/>
      <c r="E32" s="881"/>
      <c r="F32" s="591"/>
      <c r="G32" s="1891"/>
      <c r="H32" s="591"/>
      <c r="I32" s="881"/>
      <c r="J32" s="454"/>
      <c r="K32" s="1882"/>
      <c r="L32" s="591"/>
      <c r="M32" s="917"/>
      <c r="N32" s="592"/>
      <c r="O32" s="1882"/>
      <c r="P32" s="591"/>
      <c r="Q32" s="925"/>
      <c r="R32" s="587"/>
      <c r="S32" s="592"/>
      <c r="T32" s="591"/>
      <c r="U32" s="593"/>
      <c r="V32" s="592"/>
      <c r="W32" s="592"/>
      <c r="X32" s="591"/>
      <c r="Y32" s="593"/>
      <c r="Z32" s="592"/>
      <c r="AA32" s="592"/>
      <c r="AB32" s="591"/>
      <c r="AC32" s="593"/>
      <c r="AE32" s="591"/>
    </row>
    <row r="33" spans="1:32" x14ac:dyDescent="0.25">
      <c r="A33" s="449"/>
      <c r="B33" s="896" t="str">
        <f>'2016-17  RS 3010-DO &amp; All Sites'!AD33</f>
        <v>2101</v>
      </c>
      <c r="C33" s="894" t="str">
        <f>'2016-17  RS 3010-DO &amp; All Sites'!AE33</f>
        <v>Para Lrning Asstnt</v>
      </c>
      <c r="D33" s="390">
        <v>86560.18</v>
      </c>
      <c r="E33" s="880"/>
      <c r="F33" s="390"/>
      <c r="G33" s="391">
        <f t="shared" ref="G33:G39" si="6">IF(D33=0,"0.00%",(H33-D33)/D33)</f>
        <v>-0.12018436190867433</v>
      </c>
      <c r="H33" s="390">
        <v>76157</v>
      </c>
      <c r="I33" s="1073"/>
      <c r="J33" s="449"/>
      <c r="K33" s="391">
        <f t="shared" ref="K33:K39" si="7">IF(H33=0,"0.00%",(L33-H33)/H33)</f>
        <v>1.9998161692293553E-2</v>
      </c>
      <c r="L33" s="390">
        <f>ROUND(H33*(1+M20),0)</f>
        <v>77680</v>
      </c>
      <c r="M33" s="885" t="str">
        <f>TEXT(M20,"0.0%")&amp;" = Est. S &amp; C"</f>
        <v>2.0% = Est. S &amp; C</v>
      </c>
      <c r="O33" s="391">
        <f t="shared" ref="O33:O39" si="8">IF(L33=0,"0.00%",(P33-L33)/L33)</f>
        <v>2.0005149330587023E-2</v>
      </c>
      <c r="P33" s="390">
        <f>ROUND(L33*(1+Q20),0)</f>
        <v>79234</v>
      </c>
      <c r="Q33" s="885" t="str">
        <f>TEXT(Q20,"0.0%")&amp;" = Est. S &amp; C"</f>
        <v>2.0% = Est. S &amp; C</v>
      </c>
      <c r="S33" s="391">
        <f t="shared" ref="S33:S39" si="9">IF(P33=0,"0.00%",(T33-P33)/P33)</f>
        <v>2.0004038670267815E-2</v>
      </c>
      <c r="T33" s="390">
        <f>ROUND(P33*(1+U20),0)</f>
        <v>80819</v>
      </c>
      <c r="U33" s="589" t="str">
        <f>TEXT(U20,"0.0%")&amp;" = Est. S &amp; C"</f>
        <v>2.0% = Est. S &amp; C</v>
      </c>
      <c r="W33" s="391">
        <f t="shared" ref="W33:W39" si="10">IF(T33=0,"0.00%",(X33-T33)/T33)</f>
        <v>1.9995298135339463E-2</v>
      </c>
      <c r="X33" s="390">
        <f>ROUND(T33*(1+Y20),0)</f>
        <v>82435</v>
      </c>
      <c r="Y33" s="589" t="str">
        <f>TEXT(Y20,"0.0%")&amp;" = Est. S &amp; C"</f>
        <v>2.0% = Est. S &amp; C</v>
      </c>
      <c r="AA33" s="391">
        <f t="shared" ref="AA33:AA39" si="11">IF(X33=0,"0.00%",(AB33-X33)/X33)</f>
        <v>2.0003639230909202E-2</v>
      </c>
      <c r="AB33" s="390">
        <f>ROUND(X33*(1+AC20),0)</f>
        <v>84084</v>
      </c>
      <c r="AC33" s="589" t="str">
        <f>TEXT(AC20,"0.0%")&amp;" = Est. S &amp; C"</f>
        <v>2.0% = Est. S &amp; C</v>
      </c>
      <c r="AE33" s="390">
        <f>+AE26-AE30</f>
        <v>-82186.44</v>
      </c>
      <c r="AF33" s="877" t="s">
        <v>980</v>
      </c>
    </row>
    <row r="34" spans="1:32" x14ac:dyDescent="0.25">
      <c r="A34" s="449"/>
      <c r="B34" s="896">
        <v>2181</v>
      </c>
      <c r="C34" s="894" t="s">
        <v>783</v>
      </c>
      <c r="D34" s="390">
        <f>696.6+2040.89+160</f>
        <v>2897.4900000000002</v>
      </c>
      <c r="E34" s="880"/>
      <c r="F34" s="390"/>
      <c r="G34" s="391">
        <f t="shared" si="6"/>
        <v>-0.3787726618556061</v>
      </c>
      <c r="H34" s="390">
        <v>1800</v>
      </c>
      <c r="I34" s="1073"/>
      <c r="J34" s="449"/>
      <c r="K34" s="391">
        <f t="shared" si="7"/>
        <v>0</v>
      </c>
      <c r="L34" s="390">
        <f>+H34</f>
        <v>1800</v>
      </c>
      <c r="M34" s="885" t="s">
        <v>174</v>
      </c>
      <c r="O34" s="391">
        <f t="shared" si="8"/>
        <v>0</v>
      </c>
      <c r="P34" s="390">
        <f>+L34</f>
        <v>1800</v>
      </c>
      <c r="Q34" s="885" t="s">
        <v>174</v>
      </c>
      <c r="S34" s="391">
        <f t="shared" si="9"/>
        <v>0.02</v>
      </c>
      <c r="T34" s="390">
        <f>ROUND(P34*(1+U20),0)</f>
        <v>1836</v>
      </c>
      <c r="U34" s="589" t="str">
        <f>TEXT(U20,"0.0%")&amp;" = Est. S &amp; C"</f>
        <v>2.0% = Est. S &amp; C</v>
      </c>
      <c r="W34" s="391">
        <f t="shared" si="10"/>
        <v>2.0152505446623094E-2</v>
      </c>
      <c r="X34" s="390">
        <f>ROUND(T34*(1+Y20),0)</f>
        <v>1873</v>
      </c>
      <c r="Y34" s="589" t="str">
        <f>TEXT(Y20,"0.0%")&amp;" = Est. S &amp; C"</f>
        <v>2.0% = Est. S &amp; C</v>
      </c>
      <c r="AA34" s="391">
        <f t="shared" si="11"/>
        <v>1.9754404698344902E-2</v>
      </c>
      <c r="AB34" s="390">
        <f>ROUND(X34*(1+AC20),0)</f>
        <v>1910</v>
      </c>
      <c r="AC34" s="589" t="str">
        <f>TEXT(AC20,"0.0%")&amp;" = Est. S &amp; C"</f>
        <v>2.0% = Est. S &amp; C</v>
      </c>
    </row>
    <row r="35" spans="1:32" x14ac:dyDescent="0.25">
      <c r="A35" s="449"/>
      <c r="B35" s="896" t="str">
        <f>'2016-17  RS 3010-DO &amp; All Sites'!AD35</f>
        <v>2404</v>
      </c>
      <c r="C35" s="894" t="str">
        <f>'2016-17  RS 3010-DO &amp; All Sites'!AE35</f>
        <v>Secretary</v>
      </c>
      <c r="D35" s="390">
        <v>18175.13</v>
      </c>
      <c r="E35" s="880"/>
      <c r="F35" s="390"/>
      <c r="G35" s="391">
        <f t="shared" si="6"/>
        <v>9.9689520790222627E-2</v>
      </c>
      <c r="H35" s="390">
        <v>19987</v>
      </c>
      <c r="I35" s="1073"/>
      <c r="J35" s="449"/>
      <c r="K35" s="391">
        <f t="shared" si="7"/>
        <v>2.0013008455496074E-2</v>
      </c>
      <c r="L35" s="390">
        <f>ROUND(H35*(1+M20),0)</f>
        <v>20387</v>
      </c>
      <c r="M35" s="885" t="str">
        <f>TEXT(M20,"0.0%")&amp;" = Est. S &amp; C"</f>
        <v>2.0% = Est. S &amp; C</v>
      </c>
      <c r="O35" s="391">
        <f t="shared" si="8"/>
        <v>2.0012753225094423E-2</v>
      </c>
      <c r="P35" s="390">
        <f>ROUND(L35*(1+Q20),0)</f>
        <v>20795</v>
      </c>
      <c r="Q35" s="885" t="str">
        <f>TEXT(Q20,"0.0%")&amp;" = Est. S &amp; C"</f>
        <v>2.0% = Est. S &amp; C</v>
      </c>
      <c r="S35" s="391">
        <f t="shared" si="9"/>
        <v>2.0004808848280837E-2</v>
      </c>
      <c r="T35" s="390">
        <f>ROUND(P35*(1+U20),0)</f>
        <v>21211</v>
      </c>
      <c r="U35" s="589" t="str">
        <f>TEXT(U20,"0.0%")&amp;" = Est. S &amp; C"</f>
        <v>2.0% = Est. S &amp; C</v>
      </c>
      <c r="W35" s="391">
        <f t="shared" si="10"/>
        <v>1.998962802319551E-2</v>
      </c>
      <c r="X35" s="390">
        <f>ROUND(T35*(1+Y20),0)</f>
        <v>21635</v>
      </c>
      <c r="Y35" s="589" t="str">
        <f>TEXT(Y20,"0.0%")&amp;" = Est. S &amp; C"</f>
        <v>2.0% = Est. S &amp; C</v>
      </c>
      <c r="AA35" s="391">
        <f t="shared" si="11"/>
        <v>2.0013866420152529E-2</v>
      </c>
      <c r="AB35" s="390">
        <f>ROUND(X35*(1+AC20),0)</f>
        <v>22068</v>
      </c>
      <c r="AC35" s="589" t="str">
        <f>TEXT(AC20,"0.0%")&amp;" = Est. S &amp; C"</f>
        <v>2.0% = Est. S &amp; C</v>
      </c>
    </row>
    <row r="36" spans="1:32" x14ac:dyDescent="0.25">
      <c r="A36" s="449"/>
      <c r="B36" s="896" t="str">
        <f>'2016-17  RS 3010-DO &amp; All Sites'!AD36</f>
        <v>2481</v>
      </c>
      <c r="C36" s="894" t="str">
        <f>'2016-17  RS 3010-DO &amp; All Sites'!AE36</f>
        <v>Sub. Office</v>
      </c>
      <c r="D36" s="390">
        <v>692.69</v>
      </c>
      <c r="E36" s="880"/>
      <c r="F36" s="390"/>
      <c r="G36" s="391">
        <f t="shared" si="6"/>
        <v>-1</v>
      </c>
      <c r="H36" s="390">
        <v>0</v>
      </c>
      <c r="I36" s="1073"/>
      <c r="J36" s="449"/>
      <c r="K36" s="391" t="str">
        <f t="shared" si="7"/>
        <v>0.00%</v>
      </c>
      <c r="L36" s="390">
        <f t="shared" ref="L36" si="12">ROUND(H36*(1-$L$58),0)</f>
        <v>0</v>
      </c>
      <c r="M36" s="885"/>
      <c r="O36" s="391" t="str">
        <f t="shared" si="8"/>
        <v>0.00%</v>
      </c>
      <c r="P36" s="390">
        <f t="shared" ref="P36:P39" si="13">ROUND(L36*(1-$P$58),0)</f>
        <v>0</v>
      </c>
      <c r="Q36" s="885"/>
      <c r="S36" s="391" t="str">
        <f t="shared" si="9"/>
        <v>0.00%</v>
      </c>
      <c r="T36" s="390">
        <f>ROUND(P36*(1+U20),0)</f>
        <v>0</v>
      </c>
      <c r="U36" s="589" t="str">
        <f>TEXT(U20,"0.0%")&amp;" = Est. S &amp; C"</f>
        <v>2.0% = Est. S &amp; C</v>
      </c>
      <c r="W36" s="391" t="str">
        <f t="shared" si="10"/>
        <v>0.00%</v>
      </c>
      <c r="X36" s="390">
        <f>ROUND(T36*(1+Y20),0)</f>
        <v>0</v>
      </c>
      <c r="Y36" s="589" t="str">
        <f>TEXT(Y20,"0.0%")&amp;" = Est. S &amp; C"</f>
        <v>2.0% = Est. S &amp; C</v>
      </c>
      <c r="AA36" s="391" t="str">
        <f t="shared" si="11"/>
        <v>0.00%</v>
      </c>
      <c r="AB36" s="390">
        <f>ROUND(X36*(1+AC20),0)</f>
        <v>0</v>
      </c>
      <c r="AC36" s="589" t="str">
        <f>TEXT(AC20,"0.0%")&amp;" = Est. S &amp; C"</f>
        <v>2.0% = Est. S &amp; C</v>
      </c>
    </row>
    <row r="37" spans="1:32" x14ac:dyDescent="0.25">
      <c r="A37" s="449"/>
      <c r="B37" s="896" t="str">
        <f>'2016-17  RS 3010-DO &amp; All Sites'!AD37</f>
        <v>2901</v>
      </c>
      <c r="C37" s="894" t="str">
        <f>'2016-17  RS 3010-DO &amp; All Sites'!AE37</f>
        <v>Babysitter</v>
      </c>
      <c r="D37" s="390">
        <v>0</v>
      </c>
      <c r="E37" s="880"/>
      <c r="F37" s="390"/>
      <c r="G37" s="391" t="str">
        <f t="shared" si="6"/>
        <v>0.00%</v>
      </c>
      <c r="H37" s="390">
        <v>1152</v>
      </c>
      <c r="I37" s="1073"/>
      <c r="J37" s="449"/>
      <c r="K37" s="391">
        <f t="shared" si="7"/>
        <v>0</v>
      </c>
      <c r="L37" s="390">
        <f>+H37</f>
        <v>1152</v>
      </c>
      <c r="M37" s="885" t="s">
        <v>174</v>
      </c>
      <c r="O37" s="391">
        <f t="shared" si="8"/>
        <v>0</v>
      </c>
      <c r="P37" s="390">
        <f t="shared" si="13"/>
        <v>1152</v>
      </c>
      <c r="Q37" s="885" t="s">
        <v>174</v>
      </c>
      <c r="S37" s="391">
        <f t="shared" si="9"/>
        <v>1.9965277777777776E-2</v>
      </c>
      <c r="T37" s="390">
        <f>ROUND(P37*(1+U20),0)</f>
        <v>1175</v>
      </c>
      <c r="U37" s="589" t="str">
        <f>TEXT(U20,"0.0%")&amp;" = Est. S &amp; C"</f>
        <v>2.0% = Est. S &amp; C</v>
      </c>
      <c r="W37" s="391">
        <f t="shared" si="10"/>
        <v>2.0425531914893616E-2</v>
      </c>
      <c r="X37" s="390">
        <f>ROUND(T37*(1+Y20),0)</f>
        <v>1199</v>
      </c>
      <c r="Y37" s="589" t="str">
        <f>TEXT(Y20,"0.0%")&amp;" = Est. S &amp; C"</f>
        <v>2.0% = Est. S &amp; C</v>
      </c>
      <c r="AA37" s="391">
        <f t="shared" si="11"/>
        <v>2.0016680567139282E-2</v>
      </c>
      <c r="AB37" s="390">
        <f>ROUND(X37*(1+AC20),0)</f>
        <v>1223</v>
      </c>
      <c r="AC37" s="589" t="str">
        <f>TEXT(AC20,"0.0%")&amp;" = Est. S &amp; C"</f>
        <v>2.0% = Est. S &amp; C</v>
      </c>
      <c r="AE37" s="390">
        <f>+AE22</f>
        <v>750726.19</v>
      </c>
      <c r="AF37" s="877" t="s">
        <v>983</v>
      </c>
    </row>
    <row r="38" spans="1:32" x14ac:dyDescent="0.25">
      <c r="A38" s="449"/>
      <c r="B38" s="896" t="str">
        <f>'2016-17  RS 3010-DO &amp; All Sites'!AD38</f>
        <v>2910</v>
      </c>
      <c r="C38" s="894" t="str">
        <f>'2016-17  RS 3010-DO &amp; All Sites'!AE38</f>
        <v>Interpreters</v>
      </c>
      <c r="D38" s="390">
        <v>7853.6</v>
      </c>
      <c r="E38" s="880"/>
      <c r="F38" s="390"/>
      <c r="G38" s="391">
        <f t="shared" si="6"/>
        <v>0.42915350921870221</v>
      </c>
      <c r="H38" s="390">
        <v>11224</v>
      </c>
      <c r="I38" s="1073"/>
      <c r="J38" s="449"/>
      <c r="K38" s="391">
        <f t="shared" si="7"/>
        <v>0</v>
      </c>
      <c r="L38" s="390">
        <f>+H38</f>
        <v>11224</v>
      </c>
      <c r="M38" s="885" t="s">
        <v>174</v>
      </c>
      <c r="O38" s="391">
        <f t="shared" si="8"/>
        <v>0</v>
      </c>
      <c r="P38" s="390">
        <f t="shared" si="13"/>
        <v>11224</v>
      </c>
      <c r="Q38" s="885" t="s">
        <v>174</v>
      </c>
      <c r="S38" s="391">
        <f t="shared" si="9"/>
        <v>1.9957234497505347E-2</v>
      </c>
      <c r="T38" s="390">
        <f>ROUND(P38*(1+U20),0)</f>
        <v>11448</v>
      </c>
      <c r="U38" s="589" t="str">
        <f>TEXT(U20,"0.0%")&amp;" = Est. S &amp; C"</f>
        <v>2.0% = Est. S &amp; C</v>
      </c>
      <c r="W38" s="391">
        <f t="shared" si="10"/>
        <v>2.0003494060097833E-2</v>
      </c>
      <c r="X38" s="390">
        <f>ROUND(T38*(1+Y20),0)</f>
        <v>11677</v>
      </c>
      <c r="Y38" s="589" t="str">
        <f>TEXT(Y20,"0.0%")&amp;" = Est. S &amp; C"</f>
        <v>2.0% = Est. S &amp; C</v>
      </c>
      <c r="AA38" s="391">
        <f t="shared" si="11"/>
        <v>2.0039393679883531E-2</v>
      </c>
      <c r="AB38" s="390">
        <f>ROUND(X38*(1+AC20),0)</f>
        <v>11911</v>
      </c>
      <c r="AC38" s="589" t="str">
        <f>TEXT(AC20,"0.0%")&amp;" = Est. S &amp; C"</f>
        <v>2.0% = Est. S &amp; C</v>
      </c>
      <c r="AE38" s="390">
        <v>364000</v>
      </c>
      <c r="AF38" s="877" t="s">
        <v>982</v>
      </c>
    </row>
    <row r="39" spans="1:32" x14ac:dyDescent="0.25">
      <c r="A39" s="449"/>
      <c r="B39" s="896" t="str">
        <f>'2016-17  RS 3010-DO &amp; All Sites'!AD39</f>
        <v>2924</v>
      </c>
      <c r="C39" s="894" t="str">
        <f>'2016-17  RS 3010-DO &amp; All Sites'!AE39</f>
        <v>Parent Ed. Aide</v>
      </c>
      <c r="D39" s="390">
        <v>0</v>
      </c>
      <c r="E39" s="880"/>
      <c r="F39" s="390"/>
      <c r="G39" s="391" t="str">
        <f t="shared" si="6"/>
        <v>0.00%</v>
      </c>
      <c r="H39" s="390">
        <v>449</v>
      </c>
      <c r="I39" s="1073"/>
      <c r="J39" s="449"/>
      <c r="K39" s="391">
        <f t="shared" si="7"/>
        <v>0</v>
      </c>
      <c r="L39" s="390">
        <f>+H39</f>
        <v>449</v>
      </c>
      <c r="M39" s="885" t="s">
        <v>174</v>
      </c>
      <c r="O39" s="391">
        <f t="shared" si="8"/>
        <v>0</v>
      </c>
      <c r="P39" s="390">
        <f t="shared" si="13"/>
        <v>449</v>
      </c>
      <c r="Q39" s="885" t="s">
        <v>174</v>
      </c>
      <c r="S39" s="391">
        <f t="shared" si="9"/>
        <v>2.0044543429844099E-2</v>
      </c>
      <c r="T39" s="390">
        <f>ROUND(P39*(1+U20),0)</f>
        <v>458</v>
      </c>
      <c r="U39" s="589" t="str">
        <f>TEXT(U20,"0.0%")&amp;" = Est. S &amp; C"</f>
        <v>2.0% = Est. S &amp; C</v>
      </c>
      <c r="W39" s="391">
        <f t="shared" si="10"/>
        <v>1.9650655021834062E-2</v>
      </c>
      <c r="X39" s="390">
        <f>ROUND(T39*(1+Y20),0)</f>
        <v>467</v>
      </c>
      <c r="Y39" s="589" t="str">
        <f>TEXT(Y20,"0.0%")&amp;" = Est. S &amp; C"</f>
        <v>2.0% = Est. S &amp; C</v>
      </c>
      <c r="AA39" s="391">
        <f t="shared" si="11"/>
        <v>1.9271948608137045E-2</v>
      </c>
      <c r="AB39" s="390">
        <f>ROUND(X39*(1+AC20),0)</f>
        <v>476</v>
      </c>
      <c r="AC39" s="589" t="str">
        <f>TEXT(AC20,"0.0%")&amp;" = Est. S &amp; C"</f>
        <v>2.0% = Est. S &amp; C</v>
      </c>
      <c r="AE39" s="834">
        <f>+AE37-AE38</f>
        <v>386726.18999999994</v>
      </c>
    </row>
    <row r="40" spans="1:32" x14ac:dyDescent="0.25">
      <c r="A40" s="449"/>
      <c r="B40" s="896"/>
      <c r="D40" s="390">
        <v>0</v>
      </c>
      <c r="E40" s="880"/>
      <c r="F40" s="390"/>
      <c r="H40" s="390"/>
      <c r="I40" s="885"/>
      <c r="J40" s="449"/>
      <c r="L40" s="390"/>
      <c r="M40" s="913"/>
      <c r="Q40" s="923"/>
      <c r="T40" s="390"/>
      <c r="U40" s="555"/>
      <c r="X40" s="390"/>
      <c r="Y40" s="555"/>
      <c r="AB40" s="390"/>
      <c r="AC40" s="555"/>
    </row>
    <row r="41" spans="1:32" x14ac:dyDescent="0.25">
      <c r="A41" s="453"/>
      <c r="B41" s="896"/>
      <c r="D41" s="568">
        <f>SUM(D33:D40)</f>
        <v>116179.09000000001</v>
      </c>
      <c r="E41" s="880"/>
      <c r="F41" s="390"/>
      <c r="G41" s="391">
        <f>IF(D41=0,"0.00%",(H41-D41)/D41)</f>
        <v>-4.6566813356861469E-2</v>
      </c>
      <c r="H41" s="568">
        <f>SUM(H33:H40)</f>
        <v>110769</v>
      </c>
      <c r="I41" s="1292">
        <f>+H41-D41</f>
        <v>-5410.0900000000111</v>
      </c>
      <c r="J41" s="453"/>
      <c r="K41" s="391">
        <f>IF(H41=0,"0.00%",(L41-H41)/H41)</f>
        <v>1.7360452834276736E-2</v>
      </c>
      <c r="L41" s="568">
        <f>SUM(L33:L40)</f>
        <v>112692</v>
      </c>
      <c r="M41" s="1292">
        <f>+L41-H41</f>
        <v>1923</v>
      </c>
      <c r="O41" s="391">
        <f>IF(L41=0,"0.00%",(P41-L41)/L41)</f>
        <v>1.7410286444468109E-2</v>
      </c>
      <c r="P41" s="568">
        <f>SUM(P33:P40)</f>
        <v>114654</v>
      </c>
      <c r="Q41" s="1292">
        <f>+P41-L41</f>
        <v>1962</v>
      </c>
      <c r="S41" s="391">
        <f>IF(P41=0,"0.00%",(T41-P41)/P41)</f>
        <v>1.9999302248504196E-2</v>
      </c>
      <c r="T41" s="568">
        <f>SUM(T33:T40)</f>
        <v>116947</v>
      </c>
      <c r="U41" s="555"/>
      <c r="W41" s="391">
        <f>IF(T41=0,"0.00%",(X41-T41)/T41)</f>
        <v>2.0000513052921408E-2</v>
      </c>
      <c r="X41" s="568">
        <f>SUM(X33:X40)</f>
        <v>119286</v>
      </c>
      <c r="Y41" s="555"/>
      <c r="AA41" s="391">
        <f>IF(X41=0,"0.00%",(AB41-X41)/X41)</f>
        <v>2.0002347299766948E-2</v>
      </c>
      <c r="AB41" s="568">
        <f>SUM(AB33:AB40)</f>
        <v>121672</v>
      </c>
      <c r="AC41" s="555"/>
    </row>
    <row r="42" spans="1:32" x14ac:dyDescent="0.25">
      <c r="A42" s="449"/>
      <c r="B42" s="887" t="s">
        <v>28</v>
      </c>
      <c r="E42" s="880"/>
      <c r="F42" s="390"/>
      <c r="H42" s="390"/>
      <c r="I42" s="885"/>
      <c r="J42" s="449"/>
      <c r="L42" s="390"/>
      <c r="M42" s="913"/>
      <c r="Q42" s="923"/>
      <c r="T42" s="390"/>
      <c r="U42" s="555"/>
      <c r="X42" s="390"/>
      <c r="Y42" s="555"/>
      <c r="AB42" s="390"/>
      <c r="AC42" s="555"/>
    </row>
    <row r="43" spans="1:32" x14ac:dyDescent="0.25">
      <c r="A43" s="454"/>
      <c r="B43" s="893" t="str">
        <f>'2016-17  RS 3010-DO &amp; All Sites'!AD43</f>
        <v>Benefits</v>
      </c>
      <c r="E43" s="880"/>
      <c r="F43" s="390"/>
      <c r="H43" s="390"/>
      <c r="I43" s="885"/>
      <c r="J43" s="449"/>
      <c r="L43" s="390"/>
      <c r="M43" s="913"/>
      <c r="Q43" s="923"/>
      <c r="T43" s="390"/>
      <c r="U43" s="555"/>
      <c r="X43" s="390"/>
      <c r="Y43" s="555"/>
      <c r="AB43" s="390"/>
      <c r="AC43" s="555"/>
    </row>
    <row r="44" spans="1:32" x14ac:dyDescent="0.25">
      <c r="A44" s="449"/>
      <c r="B44" s="896" t="str">
        <f>'2016-17  RS 3010-DO &amp; All Sites'!AD44</f>
        <v>310X</v>
      </c>
      <c r="C44" s="894" t="str">
        <f>'2016-17  RS 3010-DO &amp; All Sites'!AE44</f>
        <v>STRS</v>
      </c>
      <c r="D44" s="390">
        <v>117631.12</v>
      </c>
      <c r="E44" s="882" t="str">
        <f>TEXT('MYP Assumptions'!$D$55,"0.00%")&amp;", STRS rate"</f>
        <v>12.58%, STRS rate</v>
      </c>
      <c r="F44" s="390"/>
      <c r="G44" s="391">
        <f t="shared" ref="G44:G51" si="14">IF(D44=0,"0.00%",(H44-D44)/D44)</f>
        <v>0.29775181941649459</v>
      </c>
      <c r="H44" s="390">
        <v>152656</v>
      </c>
      <c r="I44" s="882" t="str">
        <f>TEXT('MYP Assumptions'!E55,"0.00%")&amp;", STRS rate"</f>
        <v>14.43%, STRS rate</v>
      </c>
      <c r="J44" s="449"/>
      <c r="K44" s="391">
        <f t="shared" ref="K44:K53" si="15">IF(H44=0,"0.00%",(L44-H44)/H44)</f>
        <v>0.1298933549942354</v>
      </c>
      <c r="L44" s="390">
        <f>ROUND(L30*LEFT(M44,6),0)</f>
        <v>172485</v>
      </c>
      <c r="M44" s="885" t="str">
        <f>TEXT('MYP Assumptions'!F55,"0.00%")&amp;", projected STRS rate"</f>
        <v>16.28%, projected STRS rate</v>
      </c>
      <c r="O44" s="391">
        <f t="shared" ref="O44:O53" si="16">IF(L44=0,"0.00%",(P44-L44)/L44)</f>
        <v>0.13228396672174392</v>
      </c>
      <c r="P44" s="390">
        <f>ROUND(P30*LEFT(Q44,6),0)</f>
        <v>195302</v>
      </c>
      <c r="Q44" s="882" t="str">
        <f>TEXT('MYP Assumptions'!G55,"0.00%")&amp;", projected STRS rate"</f>
        <v>18.13%, projected STRS rate</v>
      </c>
      <c r="S44" s="391">
        <f t="shared" ref="S44:S53" si="17">IF(P44=0,"0.00%",(T44-P44)/P44)</f>
        <v>7.4571688973999239E-2</v>
      </c>
      <c r="T44" s="390">
        <f>ROUND(T30*LEFT(U44,6),0)</f>
        <v>209866</v>
      </c>
      <c r="U44" s="590" t="str">
        <f>TEXT('MYP Assumptions'!H55,"0.00%")&amp;", projected STRS rate"</f>
        <v>19.10%, projected STRS rate</v>
      </c>
      <c r="W44" s="391">
        <f t="shared" ref="W44:W53" si="18">IF(T44=0,"0.00%",(X44-T44)/T44)</f>
        <v>1.999847521751975E-2</v>
      </c>
      <c r="X44" s="390">
        <f>ROUND(X30*LEFT(Y44,6),0)</f>
        <v>214063</v>
      </c>
      <c r="Y44" s="590" t="str">
        <f>TEXT('MYP Assumptions'!I55,"0.00%")&amp;", projected STRS rate"</f>
        <v>19.10%, projected STRS rate</v>
      </c>
      <c r="AA44" s="391">
        <f t="shared" ref="AA44:AA53" si="19">IF(X44=0,"0.00%",(AB44-X44)/X44)</f>
        <v>1.9998785404296865E-2</v>
      </c>
      <c r="AB44" s="390">
        <f>ROUND(AB30*LEFT(AC44,6),0)</f>
        <v>218344</v>
      </c>
      <c r="AC44" s="590" t="str">
        <f>TEXT('MYP Assumptions'!J55,"0.00%")&amp;", projected STRS rate"</f>
        <v>19.10%, projected STRS rate</v>
      </c>
    </row>
    <row r="45" spans="1:32" x14ac:dyDescent="0.25">
      <c r="A45" s="449"/>
      <c r="B45" s="896" t="str">
        <f>'2016-17  RS 3010-DO &amp; All Sites'!AD45</f>
        <v>320X</v>
      </c>
      <c r="C45" s="894" t="str">
        <f>'2016-17  RS 3010-DO &amp; All Sites'!AE45</f>
        <v>PERS</v>
      </c>
      <c r="D45" s="390">
        <v>14763.05</v>
      </c>
      <c r="E45" s="882" t="str">
        <f>TEXT('MYP Assumptions'!$D$56,"0.00%")&amp;", PERS rate"</f>
        <v>13.89%, PERS rate</v>
      </c>
      <c r="F45" s="390"/>
      <c r="G45" s="391">
        <f t="shared" si="14"/>
        <v>0.14129532853983431</v>
      </c>
      <c r="H45" s="390">
        <v>16849</v>
      </c>
      <c r="I45" s="882" t="str">
        <f>TEXT('MYP Assumptions'!E56,"0.00%")&amp;", PERS rate"</f>
        <v>15.53%, PERS rate</v>
      </c>
      <c r="J45" s="449"/>
      <c r="K45" s="391">
        <f t="shared" si="15"/>
        <v>0.21057629532909966</v>
      </c>
      <c r="L45" s="390">
        <f>ROUND(L41*LEFT(M45,6),0)</f>
        <v>20397</v>
      </c>
      <c r="M45" s="885" t="str">
        <f>TEXT('MYP Assumptions'!F56,"0.00%")&amp;", projected PERS rate"</f>
        <v>18.10%, projected PERS rate</v>
      </c>
      <c r="O45" s="391">
        <f t="shared" si="16"/>
        <v>0.16919154777663381</v>
      </c>
      <c r="P45" s="390">
        <f>ROUND(P41*LEFT(Q45,6),0)</f>
        <v>23848</v>
      </c>
      <c r="Q45" s="882" t="str">
        <f>TEXT('MYP Assumptions'!G56,"0.00%")&amp;", projected PERS rate"</f>
        <v>20.80%, projected PERS rate</v>
      </c>
      <c r="S45" s="391">
        <f t="shared" si="17"/>
        <v>0.16709996645420999</v>
      </c>
      <c r="T45" s="390">
        <f>ROUND(T41*LEFT(U45,6),0)</f>
        <v>27833</v>
      </c>
      <c r="U45" s="590" t="str">
        <f>TEXT('MYP Assumptions'!H56,"0.00%")&amp;", projected PERS rate"</f>
        <v>23.80%, projected PERS rate</v>
      </c>
      <c r="W45" s="391">
        <f t="shared" si="18"/>
        <v>8.0012934286638165E-2</v>
      </c>
      <c r="X45" s="390">
        <f>ROUND(X41*LEFT(Y45,6),0)</f>
        <v>30060</v>
      </c>
      <c r="Y45" s="590" t="str">
        <f>TEXT('MYP Assumptions'!I56,"0.00%")&amp;", projected PERS rate"</f>
        <v>25.20%, projected PERS rate</v>
      </c>
      <c r="AA45" s="391">
        <f t="shared" si="19"/>
        <v>5.642049234863606E-2</v>
      </c>
      <c r="AB45" s="390">
        <f>ROUND(AB41*LEFT(AC45,6),0)</f>
        <v>31756</v>
      </c>
      <c r="AC45" s="590" t="str">
        <f>TEXT('MYP Assumptions'!J56,"0.00%")&amp;", projected PERS rate"</f>
        <v>26.10%, projected PERS rate</v>
      </c>
    </row>
    <row r="46" spans="1:32" x14ac:dyDescent="0.25">
      <c r="A46" s="449"/>
      <c r="B46" s="896" t="str">
        <f>'2016-17  RS 3010-DO &amp; All Sites'!AD46</f>
        <v>330X</v>
      </c>
      <c r="C46" s="894" t="str">
        <f>'2016-17  RS 3010-DO &amp; All Sites'!AE46</f>
        <v>SS</v>
      </c>
      <c r="D46" s="390">
        <f>818.41+6669.25</f>
        <v>7487.66</v>
      </c>
      <c r="E46" s="882" t="str">
        <f>TEXT('MYP Assumptions'!$D$57,"0.00%")&amp;", SS rate"</f>
        <v>6.20%, SS rate</v>
      </c>
      <c r="F46" s="390"/>
      <c r="G46" s="391">
        <f t="shared" si="14"/>
        <v>-7.7949586386133973E-2</v>
      </c>
      <c r="H46" s="390">
        <v>6904</v>
      </c>
      <c r="I46" s="882" t="str">
        <f>TEXT('MYP Assumptions'!E57,"0.00%")&amp;", no rate change"</f>
        <v>6.20%, no rate change</v>
      </c>
      <c r="J46" s="449"/>
      <c r="K46" s="391">
        <f t="shared" si="15"/>
        <v>1.2022016222479722E-2</v>
      </c>
      <c r="L46" s="390">
        <f>ROUND(L41*LEFT(M46,5),0)</f>
        <v>6987</v>
      </c>
      <c r="M46" s="885" t="str">
        <f>TEXT('MYP Assumptions'!F57,"0.00%")&amp;", no rate change"</f>
        <v>6.20%, no rate change</v>
      </c>
      <c r="O46" s="391">
        <f t="shared" si="16"/>
        <v>1.7460998998139403E-2</v>
      </c>
      <c r="P46" s="390">
        <f>ROUND(P41*LEFT(Q46,5),0)</f>
        <v>7109</v>
      </c>
      <c r="Q46" s="882" t="str">
        <f>TEXT('MYP Assumptions'!G57,"0.00%")&amp;", no rate change"</f>
        <v>6.20%, no rate change</v>
      </c>
      <c r="S46" s="391">
        <f t="shared" si="17"/>
        <v>1.997467998311999E-2</v>
      </c>
      <c r="T46" s="390">
        <f>ROUND(T41*LEFT(U46,5),0)</f>
        <v>7251</v>
      </c>
      <c r="U46" s="590" t="str">
        <f>TEXT('MYP Assumptions'!H57,"0.00%")&amp;", no rate change"</f>
        <v>6.20%, no rate change</v>
      </c>
      <c r="W46" s="391">
        <f t="shared" si="18"/>
        <v>1.9997241759757273E-2</v>
      </c>
      <c r="X46" s="390">
        <f>ROUND(X41*LEFT(Y46,5),0)</f>
        <v>7396</v>
      </c>
      <c r="Y46" s="590" t="str">
        <f>TEXT('MYP Assumptions'!I57,"0.00%")&amp;", no rate change"</f>
        <v>6.20%, no rate change</v>
      </c>
      <c r="AA46" s="391">
        <f t="shared" si="19"/>
        <v>2.0010816657652784E-2</v>
      </c>
      <c r="AB46" s="390">
        <f>ROUND(AB41*LEFT(AC46,5),0)</f>
        <v>7544</v>
      </c>
      <c r="AC46" s="590" t="str">
        <f>TEXT('MYP Assumptions'!J57,"0.00%")&amp;", no rate change"</f>
        <v>6.20%, no rate change</v>
      </c>
    </row>
    <row r="47" spans="1:32" x14ac:dyDescent="0.25">
      <c r="A47" s="449"/>
      <c r="B47" s="896" t="str">
        <f>'2016-17  RS 3010-DO &amp; All Sites'!AD47</f>
        <v>331X</v>
      </c>
      <c r="C47" s="894" t="str">
        <f>'2016-17  RS 3010-DO &amp; All Sites'!AE47</f>
        <v>Medicare</v>
      </c>
      <c r="D47" s="390">
        <f>13159.59+1565.84</f>
        <v>14725.43</v>
      </c>
      <c r="E47" s="882" t="str">
        <f>TEXT('MYP Assumptions'!$D$58,"0.00%")&amp;", Medicare rate"</f>
        <v>1.45%, Medicare rate</v>
      </c>
      <c r="F47" s="390"/>
      <c r="G47" s="391">
        <f t="shared" si="14"/>
        <v>0.13239477556852328</v>
      </c>
      <c r="H47" s="390">
        <f>15060+1615</f>
        <v>16675</v>
      </c>
      <c r="I47" s="882" t="str">
        <f>TEXT('MYP Assumptions'!E58,"0.00%")&amp;", no rate change"</f>
        <v>1.45%, no rate change</v>
      </c>
      <c r="J47" s="449"/>
      <c r="K47" s="391">
        <f t="shared" si="15"/>
        <v>1.9310344827586208E-2</v>
      </c>
      <c r="L47" s="390">
        <f>ROUND((L41+L30)*LEFT(M47,5),0)</f>
        <v>16997</v>
      </c>
      <c r="M47" s="885" t="str">
        <f>TEXT('MYP Assumptions'!F58,"0.00%")&amp;", no rate change"</f>
        <v>1.45%, no rate change</v>
      </c>
      <c r="O47" s="391">
        <f t="shared" si="16"/>
        <v>1.6767664882038007E-2</v>
      </c>
      <c r="P47" s="390">
        <f>ROUND((P41+P30)*LEFT(Q47,5),0)</f>
        <v>17282</v>
      </c>
      <c r="Q47" s="882" t="str">
        <f>TEXT('MYP Assumptions'!G58,"0.00%")&amp;", no rate change"</f>
        <v>1.45%, no rate change</v>
      </c>
      <c r="S47" s="391">
        <f t="shared" si="17"/>
        <v>2.0020830922346952E-2</v>
      </c>
      <c r="T47" s="390">
        <f>ROUND((T41+T30)*LEFT(U47,5),0)</f>
        <v>17628</v>
      </c>
      <c r="U47" s="590" t="str">
        <f>TEXT('MYP Assumptions'!H58,"0.00%")&amp;", no rate change"</f>
        <v>1.45%, no rate change</v>
      </c>
      <c r="W47" s="391">
        <f t="shared" si="18"/>
        <v>2.0024960290447015E-2</v>
      </c>
      <c r="X47" s="390">
        <f>ROUND((X41+X30)*LEFT(Y47,5),0)</f>
        <v>17981</v>
      </c>
      <c r="Y47" s="590" t="str">
        <f>TEXT('MYP Assumptions'!I58,"0.00%")&amp;", no rate change"</f>
        <v>1.45%, no rate change</v>
      </c>
      <c r="AA47" s="391">
        <f t="shared" si="19"/>
        <v>1.9965519159112398E-2</v>
      </c>
      <c r="AB47" s="390">
        <f>ROUND((AB41+AB30)*LEFT(AC47,5),0)</f>
        <v>18340</v>
      </c>
      <c r="AC47" s="590" t="str">
        <f>TEXT('MYP Assumptions'!J58,"0.00%")&amp;", no rate change"</f>
        <v>1.45%, no rate change</v>
      </c>
    </row>
    <row r="48" spans="1:32" x14ac:dyDescent="0.25">
      <c r="A48" s="449"/>
      <c r="B48" s="896" t="str">
        <f>'2016-17  RS 3010-DO &amp; All Sites'!AD48</f>
        <v>340X</v>
      </c>
      <c r="C48" s="894" t="str">
        <f>'2016-17  RS 3010-DO &amp; All Sites'!AE48</f>
        <v>H&amp;W</v>
      </c>
      <c r="D48" s="390">
        <f>83371.72+12224.61</f>
        <v>95596.33</v>
      </c>
      <c r="E48" s="882"/>
      <c r="F48" s="390"/>
      <c r="G48" s="391">
        <f t="shared" si="14"/>
        <v>5.4820828372804671E-2</v>
      </c>
      <c r="H48" s="390">
        <f>88858+11979</f>
        <v>100837</v>
      </c>
      <c r="I48" s="882"/>
      <c r="J48" s="449"/>
      <c r="K48" s="391">
        <f t="shared" si="15"/>
        <v>7.0004065967849097E-2</v>
      </c>
      <c r="L48" s="390">
        <f>ROUND((H48)*(LEFT(M48,5)+1),0)</f>
        <v>107896</v>
      </c>
      <c r="M48" s="885" t="str">
        <f>TEXT('MYP Assumptions'!$M$65,"0.00%")&amp;", projected increase"</f>
        <v>7.00%, projected increase</v>
      </c>
      <c r="O48" s="391">
        <f t="shared" si="16"/>
        <v>7.0002595091569655E-2</v>
      </c>
      <c r="P48" s="390">
        <f>ROUND((L48)*(LEFT(Q48,5)+1),0)</f>
        <v>115449</v>
      </c>
      <c r="Q48" s="882" t="str">
        <f>TEXT('MYP Assumptions'!$M$65,"0.00%")&amp;", projected increase"</f>
        <v>7.00%, projected increase</v>
      </c>
      <c r="S48" s="391">
        <f t="shared" si="17"/>
        <v>6.9996275411653625E-2</v>
      </c>
      <c r="T48" s="390">
        <f>ROUND((P48)*(LEFT(U48,5)+1),0)</f>
        <v>123530</v>
      </c>
      <c r="U48" s="590" t="str">
        <f>TEXT('MYP Assumptions'!$M$65,"0.00%")&amp;", projected increase"</f>
        <v>7.00%, projected increase</v>
      </c>
      <c r="W48" s="391">
        <f t="shared" si="18"/>
        <v>6.999919048004534E-2</v>
      </c>
      <c r="X48" s="390">
        <f>ROUND((T48)*(LEFT(Y48,5)+1),0)</f>
        <v>132177</v>
      </c>
      <c r="Y48" s="590" t="str">
        <f>TEXT('MYP Assumptions'!$M$65,"0.00%")&amp;", projected increase"</f>
        <v>7.00%, projected increase</v>
      </c>
      <c r="AA48" s="391">
        <f t="shared" si="19"/>
        <v>6.9997049411017045E-2</v>
      </c>
      <c r="AB48" s="390">
        <f>ROUND((X48)*(LEFT(AC48,5)+1),0)</f>
        <v>141429</v>
      </c>
      <c r="AC48" s="590" t="str">
        <f>TEXT('MYP Assumptions'!$M$65,"0.00%")&amp;", projected increase"</f>
        <v>7.00%, projected increase</v>
      </c>
    </row>
    <row r="49" spans="1:29" x14ac:dyDescent="0.25">
      <c r="A49" s="449"/>
      <c r="B49" s="896" t="str">
        <f>'2016-17  RS 3010-DO &amp; All Sites'!AD49</f>
        <v>350X</v>
      </c>
      <c r="C49" s="894" t="str">
        <f>'2016-17  RS 3010-DO &amp; All Sites'!AE49</f>
        <v>SUI</v>
      </c>
      <c r="D49" s="390">
        <f>454.87+54</f>
        <v>508.87</v>
      </c>
      <c r="E49" s="882" t="str">
        <f>TEXT('MYP Assumptions'!$D$59,"0.00%")&amp;", SUI rate"</f>
        <v>0.05%, SUI rate</v>
      </c>
      <c r="F49" s="390"/>
      <c r="G49" s="391">
        <f t="shared" si="14"/>
        <v>0.16532709729400435</v>
      </c>
      <c r="H49" s="390">
        <f>535+58</f>
        <v>593</v>
      </c>
      <c r="I49" s="882" t="str">
        <f>TEXT('MYP Assumptions'!E59,"0.00%")&amp;", no rate change"</f>
        <v>0.05%, no rate change</v>
      </c>
      <c r="J49" s="449"/>
      <c r="K49" s="391">
        <f t="shared" si="15"/>
        <v>-1.1804384485666104E-2</v>
      </c>
      <c r="L49" s="390">
        <f>ROUND((L41+L30)*LEFT(M49,5),0)</f>
        <v>586</v>
      </c>
      <c r="M49" s="885" t="str">
        <f>TEXT('MYP Assumptions'!F59,"0.00%")&amp;", no rate change"</f>
        <v>0.05%, no rate change</v>
      </c>
      <c r="O49" s="391">
        <f t="shared" si="16"/>
        <v>1.7064846416382253E-2</v>
      </c>
      <c r="P49" s="390">
        <f>ROUND((P41+P30)*LEFT(Q49,5),0)</f>
        <v>596</v>
      </c>
      <c r="Q49" s="882" t="str">
        <f>TEXT('MYP Assumptions'!G59,"0.00%")&amp;", no rate change"</f>
        <v>0.05%, no rate change</v>
      </c>
      <c r="S49" s="391">
        <f t="shared" si="17"/>
        <v>2.0134228187919462E-2</v>
      </c>
      <c r="T49" s="390">
        <f>ROUND((T41+T30)*LEFT(U49,5),0)</f>
        <v>608</v>
      </c>
      <c r="U49" s="590" t="str">
        <f>TEXT('MYP Assumptions'!H59,"0.00%")&amp;", no rate change"</f>
        <v>0.05%, no rate change</v>
      </c>
      <c r="W49" s="391">
        <f t="shared" si="18"/>
        <v>1.9736842105263157E-2</v>
      </c>
      <c r="X49" s="390">
        <f>ROUND((X41+X30)*LEFT(Y49,5),0)</f>
        <v>620</v>
      </c>
      <c r="Y49" s="590" t="str">
        <f>TEXT('MYP Assumptions'!I59,"0.00%")&amp;", no rate change"</f>
        <v>0.05%, no rate change</v>
      </c>
      <c r="AA49" s="391">
        <f t="shared" si="19"/>
        <v>1.935483870967742E-2</v>
      </c>
      <c r="AB49" s="390">
        <f>ROUND((AB41+AB30)*LEFT(AC49,5),0)</f>
        <v>632</v>
      </c>
      <c r="AC49" s="590" t="str">
        <f>TEXT('MYP Assumptions'!J59,"0.00%")&amp;", no rate change"</f>
        <v>0.05%, no rate change</v>
      </c>
    </row>
    <row r="50" spans="1:29" x14ac:dyDescent="0.25">
      <c r="A50" s="449"/>
      <c r="B50" s="896" t="str">
        <f>'2016-17  RS 3010-DO &amp; All Sites'!AD50</f>
        <v>360X</v>
      </c>
      <c r="C50" s="894" t="str">
        <f>'2016-17  RS 3010-DO &amp; All Sites'!AE50</f>
        <v>W/C</v>
      </c>
      <c r="D50" s="390">
        <f>9983.19+1187.8</f>
        <v>11170.99</v>
      </c>
      <c r="E50" s="882" t="str">
        <f>TEXT('MYP Assumptions'!$D$60,"0.00%")&amp;", W/C rate"</f>
        <v>1.10%, W/C rate</v>
      </c>
      <c r="F50" s="390"/>
      <c r="G50" s="391">
        <f t="shared" si="14"/>
        <v>0.16193819885256366</v>
      </c>
      <c r="H50" s="390">
        <f>11727+1253</f>
        <v>12980</v>
      </c>
      <c r="I50" s="882" t="str">
        <f>TEXT('MYP Assumptions'!E60,"0.00%")&amp;", no rate change"</f>
        <v>0.80%, no rate change</v>
      </c>
      <c r="J50" s="449"/>
      <c r="K50" s="391">
        <f t="shared" si="15"/>
        <v>-0.27758089368258859</v>
      </c>
      <c r="L50" s="390">
        <f>ROUND((L41+L30)*LEFT(M50,5),0)</f>
        <v>9377</v>
      </c>
      <c r="M50" s="885" t="str">
        <f>TEXT('MYP Assumptions'!F60,"0.00%")&amp;", no rate change"</f>
        <v>0.80%, no rate change</v>
      </c>
      <c r="O50" s="391">
        <f t="shared" si="16"/>
        <v>1.6849738722405888E-2</v>
      </c>
      <c r="P50" s="390">
        <f>ROUND((P41+P30)*LEFT(Q50,5),0)</f>
        <v>9535</v>
      </c>
      <c r="Q50" s="882" t="str">
        <f>TEXT('MYP Assumptions'!G60,"0.00%")&amp;", no rate change"</f>
        <v>0.80%, no rate change</v>
      </c>
      <c r="S50" s="391">
        <f t="shared" si="17"/>
        <v>2.0031463030938647E-2</v>
      </c>
      <c r="T50" s="390">
        <f>ROUND((T41+T30)*LEFT(U50,5),0)</f>
        <v>9726</v>
      </c>
      <c r="U50" s="590" t="str">
        <f>TEXT('MYP Assumptions'!H60,"0.00%")&amp;", no rate change"</f>
        <v>0.80%, no rate change</v>
      </c>
      <c r="W50" s="391">
        <f t="shared" si="18"/>
        <v>1.9946535060662143E-2</v>
      </c>
      <c r="X50" s="390">
        <f>ROUND((X41+X30)*LEFT(Y50,5),0)</f>
        <v>9920</v>
      </c>
      <c r="Y50" s="590" t="str">
        <f>TEXT('MYP Assumptions'!I60,"0.00%")&amp;", no rate change"</f>
        <v>0.80%, no rate change</v>
      </c>
      <c r="AA50" s="391">
        <f t="shared" si="19"/>
        <v>2.0060483870967743E-2</v>
      </c>
      <c r="AB50" s="390">
        <f>ROUND((AB41+AB30)*LEFT(AC50,5),0)</f>
        <v>10119</v>
      </c>
      <c r="AC50" s="590" t="str">
        <f>TEXT('MYP Assumptions'!J60,"0.00%")&amp;", no rate change"</f>
        <v>0.80%, no rate change</v>
      </c>
    </row>
    <row r="51" spans="1:29" x14ac:dyDescent="0.25">
      <c r="A51" s="449"/>
      <c r="B51" s="896">
        <v>3901</v>
      </c>
      <c r="C51" s="894" t="s">
        <v>93</v>
      </c>
      <c r="D51" s="390">
        <v>4749.0600000000004</v>
      </c>
      <c r="E51" s="880"/>
      <c r="F51" s="390"/>
      <c r="G51" s="391">
        <f t="shared" si="14"/>
        <v>0.43565252913208075</v>
      </c>
      <c r="H51" s="390">
        <v>6818</v>
      </c>
      <c r="I51" s="882" t="s">
        <v>166</v>
      </c>
      <c r="J51" s="449"/>
      <c r="K51" s="391">
        <f t="shared" si="15"/>
        <v>0</v>
      </c>
      <c r="L51" s="390">
        <f>H51</f>
        <v>6818</v>
      </c>
      <c r="M51" s="885" t="s">
        <v>166</v>
      </c>
      <c r="O51" s="391">
        <f t="shared" si="16"/>
        <v>0</v>
      </c>
      <c r="P51" s="390">
        <f>L51</f>
        <v>6818</v>
      </c>
      <c r="Q51" s="882" t="s">
        <v>166</v>
      </c>
      <c r="S51" s="391">
        <f t="shared" si="17"/>
        <v>0</v>
      </c>
      <c r="T51" s="390">
        <f>P51</f>
        <v>6818</v>
      </c>
      <c r="U51" s="590" t="s">
        <v>166</v>
      </c>
      <c r="W51" s="391">
        <f t="shared" si="18"/>
        <v>0</v>
      </c>
      <c r="X51" s="390">
        <f>T51</f>
        <v>6818</v>
      </c>
      <c r="Y51" s="590" t="s">
        <v>166</v>
      </c>
      <c r="AA51" s="391">
        <f t="shared" si="19"/>
        <v>0</v>
      </c>
      <c r="AB51" s="390">
        <f>X51</f>
        <v>6818</v>
      </c>
      <c r="AC51" s="590" t="s">
        <v>166</v>
      </c>
    </row>
    <row r="52" spans="1:29" x14ac:dyDescent="0.25">
      <c r="A52" s="449"/>
      <c r="E52" s="880"/>
      <c r="F52" s="390"/>
      <c r="G52" s="391"/>
      <c r="H52" s="390"/>
      <c r="I52" s="882"/>
      <c r="J52" s="449"/>
      <c r="K52" s="391"/>
      <c r="L52" s="390"/>
      <c r="M52" s="885"/>
      <c r="O52" s="391"/>
      <c r="Q52" s="882"/>
      <c r="S52" s="391"/>
      <c r="T52" s="390"/>
      <c r="U52" s="590"/>
      <c r="W52" s="391"/>
      <c r="X52" s="390"/>
      <c r="Y52" s="590"/>
      <c r="AA52" s="391"/>
      <c r="AB52" s="390"/>
      <c r="AC52" s="590"/>
    </row>
    <row r="53" spans="1:29" x14ac:dyDescent="0.25">
      <c r="A53" s="453"/>
      <c r="B53" s="896"/>
      <c r="C53" s="894"/>
      <c r="D53" s="568">
        <f>SUM(D44:D52)</f>
        <v>266632.50999999995</v>
      </c>
      <c r="E53" s="880"/>
      <c r="F53" s="390"/>
      <c r="G53" s="391">
        <f>IF(D53=0,"0.00%",(H53-D53)/D53)</f>
        <v>0.17882099223384296</v>
      </c>
      <c r="H53" s="568">
        <f>SUM(H44:H52)</f>
        <v>314312</v>
      </c>
      <c r="I53" s="1292">
        <f>+H53-D53</f>
        <v>47679.490000000049</v>
      </c>
      <c r="J53" s="453"/>
      <c r="K53" s="391">
        <f t="shared" si="15"/>
        <v>8.6636844918425007E-2</v>
      </c>
      <c r="L53" s="568">
        <f>SUM(L44:L52)</f>
        <v>341543</v>
      </c>
      <c r="M53" s="1292">
        <f>+L53-H53</f>
        <v>27231</v>
      </c>
      <c r="O53" s="391">
        <f t="shared" si="16"/>
        <v>0.10070767077644689</v>
      </c>
      <c r="P53" s="568">
        <f>SUM(P44:P52)</f>
        <v>375939</v>
      </c>
      <c r="Q53" s="1292">
        <f>+P53-L53</f>
        <v>34396</v>
      </c>
      <c r="S53" s="391">
        <f t="shared" si="17"/>
        <v>7.2674024243294791E-2</v>
      </c>
      <c r="T53" s="568">
        <f>SUM(T44:T52)</f>
        <v>403260</v>
      </c>
      <c r="U53" s="555"/>
      <c r="W53" s="391">
        <f t="shared" si="18"/>
        <v>3.9118682735704013E-2</v>
      </c>
      <c r="X53" s="568">
        <f>SUM(X44:X52)</f>
        <v>419035</v>
      </c>
      <c r="Y53" s="555"/>
      <c r="AA53" s="391">
        <f t="shared" si="19"/>
        <v>3.8056486928299549E-2</v>
      </c>
      <c r="AB53" s="568">
        <f>SUM(AB44:AB52)</f>
        <v>434982</v>
      </c>
      <c r="AC53" s="555"/>
    </row>
    <row r="54" spans="1:29" x14ac:dyDescent="0.25">
      <c r="A54" s="454"/>
      <c r="B54" s="896"/>
      <c r="E54" s="880"/>
      <c r="F54" s="390"/>
      <c r="H54" s="390"/>
      <c r="I54" s="885"/>
      <c r="J54" s="449"/>
      <c r="L54" s="390"/>
      <c r="M54" s="913"/>
      <c r="Q54" s="923"/>
      <c r="T54" s="390"/>
      <c r="U54" s="555"/>
      <c r="X54" s="390"/>
      <c r="Y54" s="555"/>
      <c r="AB54" s="390"/>
      <c r="AC54" s="555"/>
    </row>
    <row r="55" spans="1:29" x14ac:dyDescent="0.25">
      <c r="A55" s="453"/>
      <c r="B55" s="893" t="str">
        <f>'2016-17  RS 3010-DO &amp; All Sites'!AD55</f>
        <v>Total Salaries and Benefits</v>
      </c>
      <c r="D55" s="568">
        <f>SUM(D53,D41,D30)</f>
        <v>1368039.27</v>
      </c>
      <c r="E55" s="880"/>
      <c r="F55" s="390"/>
      <c r="G55" s="391">
        <f>IF(D55=0,"0.00%",(H55-D55)/D55)</f>
        <v>7.2467751601896613E-2</v>
      </c>
      <c r="H55" s="568">
        <f>SUM(H53,H41,H30)</f>
        <v>1467178</v>
      </c>
      <c r="I55" s="1292">
        <f>+H55-D55</f>
        <v>99138.729999999981</v>
      </c>
      <c r="J55" s="453"/>
      <c r="K55" s="391">
        <f>IF(H55=0,"0.00%",(L55-H55)/H55)</f>
        <v>3.1724848655037087E-2</v>
      </c>
      <c r="L55" s="568">
        <f>SUM(L53,L41,L30)</f>
        <v>1513724</v>
      </c>
      <c r="M55" s="1292">
        <f>+L55-H55</f>
        <v>46546</v>
      </c>
      <c r="O55" s="391">
        <f>IF(L55=0,"0.00%",(P55-L55)/L55)</f>
        <v>3.5739011867421011E-2</v>
      </c>
      <c r="P55" s="568">
        <f>SUM(P53,P41,P30)</f>
        <v>1567823</v>
      </c>
      <c r="Q55" s="1292">
        <f>+P55-L55</f>
        <v>54099</v>
      </c>
      <c r="S55" s="391">
        <f>IF(P55=0,"0.00%",(T55-P55)/P55)</f>
        <v>3.2630596693631872E-2</v>
      </c>
      <c r="T55" s="568">
        <f>SUM(T53,T41,T30)</f>
        <v>1618982</v>
      </c>
      <c r="U55" s="555"/>
      <c r="W55" s="391">
        <f>IF(T55=0,"0.00%",(X55-T55)/T55)</f>
        <v>2.4761238852562907E-2</v>
      </c>
      <c r="X55" s="568">
        <f>SUM(X53,X41,X30)</f>
        <v>1659070</v>
      </c>
      <c r="Y55" s="555"/>
      <c r="AA55" s="391">
        <f>IF(X55=0,"0.00%",(AB55-X55)/X55)</f>
        <v>2.4560145141555207E-2</v>
      </c>
      <c r="AB55" s="568">
        <f>SUM(AB53,AB41,AB30)</f>
        <v>1699817</v>
      </c>
      <c r="AC55" s="555"/>
    </row>
    <row r="56" spans="1:29" x14ac:dyDescent="0.25">
      <c r="A56" s="550"/>
      <c r="E56" s="880"/>
      <c r="F56" s="390"/>
      <c r="H56" s="390"/>
      <c r="I56" s="885"/>
      <c r="J56" s="449"/>
      <c r="L56" s="390"/>
      <c r="M56" s="913"/>
      <c r="Q56" s="923"/>
      <c r="T56" s="390"/>
      <c r="U56" s="555"/>
      <c r="X56" s="390"/>
      <c r="Y56" s="555"/>
      <c r="AB56" s="390"/>
      <c r="AC56" s="555"/>
    </row>
    <row r="57" spans="1:29" x14ac:dyDescent="0.25">
      <c r="A57" s="449"/>
      <c r="E57" s="880"/>
      <c r="F57" s="390"/>
      <c r="H57" s="390"/>
      <c r="I57" s="885"/>
      <c r="J57" s="449"/>
      <c r="L57" s="390"/>
      <c r="M57" s="913"/>
      <c r="Q57" s="923"/>
      <c r="T57" s="390"/>
      <c r="U57" s="555"/>
      <c r="X57" s="390"/>
      <c r="Y57" s="555"/>
      <c r="AB57" s="390"/>
      <c r="AC57" s="555"/>
    </row>
    <row r="58" spans="1:29" x14ac:dyDescent="0.25">
      <c r="A58" s="550"/>
      <c r="B58" s="893" t="str">
        <f>'2016-17  RS 3010-DO &amp; All Sites'!AD58</f>
        <v>Supplies</v>
      </c>
      <c r="C58" s="897"/>
      <c r="E58" s="880"/>
      <c r="F58" s="390"/>
      <c r="H58" s="585"/>
      <c r="I58" s="881"/>
      <c r="J58" s="449"/>
      <c r="L58" s="594"/>
      <c r="M58" s="918"/>
      <c r="P58" s="585"/>
      <c r="Q58" s="881"/>
      <c r="T58" s="390"/>
      <c r="U58" s="555"/>
      <c r="X58" s="390"/>
      <c r="Y58" s="555"/>
      <c r="AB58" s="390"/>
      <c r="AC58" s="555"/>
    </row>
    <row r="59" spans="1:29" x14ac:dyDescent="0.25">
      <c r="A59" s="449"/>
      <c r="B59" s="896" t="s">
        <v>24</v>
      </c>
      <c r="C59" s="894" t="s">
        <v>23</v>
      </c>
      <c r="D59" s="390">
        <v>5725.67</v>
      </c>
      <c r="E59" s="880"/>
      <c r="F59" s="390"/>
      <c r="G59" s="391">
        <f t="shared" ref="G59:G66" si="20">IF(D59=0,"0.00%",(H59-D59)/D59)</f>
        <v>-6.0371973934928151E-2</v>
      </c>
      <c r="H59" s="390">
        <v>5380</v>
      </c>
      <c r="I59" s="885"/>
      <c r="J59" s="449"/>
      <c r="K59" s="391">
        <f t="shared" ref="K59:K66" si="21">IF(H59=0,"0.00%",(L59-H59)/H59)</f>
        <v>-7.0631970260223054E-2</v>
      </c>
      <c r="L59" s="390">
        <v>5000</v>
      </c>
      <c r="M59" s="885"/>
      <c r="O59" s="391">
        <f t="shared" ref="O59:O66" si="22">IF(L59=0,"0.00%",(P59-L59)/L59)</f>
        <v>0</v>
      </c>
      <c r="P59" s="390">
        <f>+L59</f>
        <v>5000</v>
      </c>
      <c r="Q59" s="885"/>
      <c r="S59" s="391">
        <f t="shared" ref="S59:S66" si="23">IF(P59=0,"0.00%",(T59-P59)/P59)</f>
        <v>2.7400000000000001E-2</v>
      </c>
      <c r="T59" s="390">
        <f>ROUND(P59*(LEFT(U59,5)+1),0)</f>
        <v>5137</v>
      </c>
      <c r="U59" s="590" t="str">
        <f>TEXT('MYP Assumptions'!H75,"0.00%")&amp;", CPI"</f>
        <v>2.73%, CPI</v>
      </c>
      <c r="W59" s="391">
        <f t="shared" ref="W59:W66" si="24">IF(T59=0,"0.00%",(X59-T59)/T59)</f>
        <v>2.7253260657971578E-2</v>
      </c>
      <c r="X59" s="390">
        <f>ROUND(T59*(LEFT(Y59,5)+1),0)</f>
        <v>5277</v>
      </c>
      <c r="Y59" s="590" t="str">
        <f>TEXT('MYP Assumptions'!I75,"0.00%")&amp;", CPI"</f>
        <v>2.73%, CPI</v>
      </c>
      <c r="AA59" s="391">
        <f t="shared" ref="AA59:AA66" si="25">IF(X59=0,"0.00%",(AB59-X59)/X59)</f>
        <v>2.7288231949971573E-2</v>
      </c>
      <c r="AB59" s="390">
        <f>ROUND(X59*(LEFT(AC59,5)+1),0)</f>
        <v>5421</v>
      </c>
      <c r="AC59" s="590" t="str">
        <f>TEXT('MYP Assumptions'!J75,"0.00%")&amp;", CPI"</f>
        <v>2.73%, CPI</v>
      </c>
    </row>
    <row r="60" spans="1:29" x14ac:dyDescent="0.25">
      <c r="A60" s="449"/>
      <c r="B60" s="896">
        <v>4352</v>
      </c>
      <c r="C60" s="894" t="s">
        <v>324</v>
      </c>
      <c r="D60" s="390">
        <v>0</v>
      </c>
      <c r="E60" s="880"/>
      <c r="F60" s="390"/>
      <c r="G60" s="391" t="str">
        <f t="shared" si="20"/>
        <v>0.00%</v>
      </c>
      <c r="H60" s="390">
        <v>1400</v>
      </c>
      <c r="I60" s="885"/>
      <c r="J60" s="449"/>
      <c r="K60" s="391">
        <f t="shared" si="21"/>
        <v>0</v>
      </c>
      <c r="L60" s="390">
        <f t="shared" ref="L60:L65" si="26">ROUND(H60*(1-$L$58),0)</f>
        <v>1400</v>
      </c>
      <c r="M60" s="885"/>
      <c r="O60" s="391">
        <f t="shared" si="22"/>
        <v>0</v>
      </c>
      <c r="P60" s="390">
        <f t="shared" ref="P60:P65" si="27">+L60</f>
        <v>1400</v>
      </c>
      <c r="Q60" s="885"/>
      <c r="S60" s="391">
        <f t="shared" si="23"/>
        <v>2.7142857142857142E-2</v>
      </c>
      <c r="T60" s="390">
        <f t="shared" ref="T60:T65" si="28">ROUND(P60*(LEFT(U60,5)+1),0)</f>
        <v>1438</v>
      </c>
      <c r="U60" s="590" t="str">
        <f>TEXT('MYP Assumptions'!H75,"0.00%")&amp;", CPI"</f>
        <v>2.73%, CPI</v>
      </c>
      <c r="W60" s="391">
        <f t="shared" si="24"/>
        <v>2.7121001390820583E-2</v>
      </c>
      <c r="X60" s="390">
        <f t="shared" ref="X60:X65" si="29">ROUND(T60*(LEFT(Y60,5)+1),0)</f>
        <v>1477</v>
      </c>
      <c r="Y60" s="590" t="str">
        <f>TEXT('MYP Assumptions'!I75,"0.00%")&amp;", CPI"</f>
        <v>2.73%, CPI</v>
      </c>
      <c r="AA60" s="391">
        <f t="shared" si="25"/>
        <v>2.7081922816519974E-2</v>
      </c>
      <c r="AB60" s="390">
        <f t="shared" ref="AB60:AB65" si="30">ROUND(X60*(LEFT(AC60,5)+1),0)</f>
        <v>1517</v>
      </c>
      <c r="AC60" s="590" t="str">
        <f>TEXT('MYP Assumptions'!J75,"0.00%")&amp;", CPI"</f>
        <v>2.73%, CPI</v>
      </c>
    </row>
    <row r="61" spans="1:29" x14ac:dyDescent="0.25">
      <c r="A61" s="449"/>
      <c r="B61" s="896" t="s">
        <v>95</v>
      </c>
      <c r="C61" s="894" t="s">
        <v>97</v>
      </c>
      <c r="D61" s="390">
        <v>2573.31</v>
      </c>
      <c r="E61" s="880"/>
      <c r="F61" s="390"/>
      <c r="G61" s="391">
        <f t="shared" si="20"/>
        <v>-1</v>
      </c>
      <c r="H61" s="390">
        <v>0</v>
      </c>
      <c r="I61" s="885"/>
      <c r="J61" s="449"/>
      <c r="K61" s="391" t="str">
        <f t="shared" si="21"/>
        <v>0.00%</v>
      </c>
      <c r="L61" s="390">
        <f t="shared" si="26"/>
        <v>0</v>
      </c>
      <c r="M61" s="885"/>
      <c r="O61" s="391" t="str">
        <f t="shared" si="22"/>
        <v>0.00%</v>
      </c>
      <c r="P61" s="390">
        <f t="shared" si="27"/>
        <v>0</v>
      </c>
      <c r="Q61" s="885"/>
      <c r="S61" s="391" t="str">
        <f t="shared" si="23"/>
        <v>0.00%</v>
      </c>
      <c r="T61" s="390">
        <f t="shared" si="28"/>
        <v>0</v>
      </c>
      <c r="U61" s="590" t="str">
        <f>TEXT('MYP Assumptions'!H75,"0.00%")&amp;", CPI"</f>
        <v>2.73%, CPI</v>
      </c>
      <c r="W61" s="391" t="str">
        <f t="shared" si="24"/>
        <v>0.00%</v>
      </c>
      <c r="X61" s="390">
        <f t="shared" si="29"/>
        <v>0</v>
      </c>
      <c r="Y61" s="590" t="str">
        <f>TEXT('MYP Assumptions'!I75,"0.00%")&amp;", CPI"</f>
        <v>2.73%, CPI</v>
      </c>
      <c r="AA61" s="391" t="str">
        <f t="shared" si="25"/>
        <v>0.00%</v>
      </c>
      <c r="AB61" s="390">
        <f t="shared" si="30"/>
        <v>0</v>
      </c>
      <c r="AC61" s="590" t="str">
        <f>TEXT('MYP Assumptions'!J75,"0.00%")&amp;", CPI"</f>
        <v>2.73%, CPI</v>
      </c>
    </row>
    <row r="62" spans="1:29" x14ac:dyDescent="0.25">
      <c r="A62" s="449"/>
      <c r="B62" s="896" t="s">
        <v>22</v>
      </c>
      <c r="C62" s="894" t="s">
        <v>21</v>
      </c>
      <c r="D62" s="390">
        <v>486637.91</v>
      </c>
      <c r="E62" s="880"/>
      <c r="F62" s="390"/>
      <c r="G62" s="391">
        <f t="shared" si="20"/>
        <v>-0.74061823502406543</v>
      </c>
      <c r="H62" s="390">
        <v>126225</v>
      </c>
      <c r="I62" s="885"/>
      <c r="J62" s="449"/>
      <c r="K62" s="391">
        <f t="shared" si="21"/>
        <v>-0.20776391364626659</v>
      </c>
      <c r="L62" s="390">
        <v>100000</v>
      </c>
      <c r="M62" s="885"/>
      <c r="O62" s="391">
        <f t="shared" si="22"/>
        <v>-0.25</v>
      </c>
      <c r="P62" s="390">
        <v>75000</v>
      </c>
      <c r="Q62" s="885"/>
      <c r="S62" s="391">
        <f t="shared" si="23"/>
        <v>2.7306666666666667E-2</v>
      </c>
      <c r="T62" s="390">
        <f t="shared" si="28"/>
        <v>77048</v>
      </c>
      <c r="U62" s="590" t="str">
        <f>TEXT('MYP Assumptions'!H75,"0.00%")&amp;", CPI"</f>
        <v>2.73%, CPI</v>
      </c>
      <c r="W62" s="391">
        <f t="shared" si="24"/>
        <v>2.7294673450316685E-2</v>
      </c>
      <c r="X62" s="390">
        <f t="shared" si="29"/>
        <v>79151</v>
      </c>
      <c r="Y62" s="590" t="str">
        <f>TEXT('MYP Assumptions'!I75,"0.00%")&amp;", CPI"</f>
        <v>2.73%, CPI</v>
      </c>
      <c r="AA62" s="391">
        <f t="shared" si="25"/>
        <v>2.7302245075867645E-2</v>
      </c>
      <c r="AB62" s="390">
        <f t="shared" si="30"/>
        <v>81312</v>
      </c>
      <c r="AC62" s="590" t="str">
        <f>TEXT('MYP Assumptions'!J75,"0.00%")&amp;", CPI"</f>
        <v>2.73%, CPI</v>
      </c>
    </row>
    <row r="63" spans="1:29" x14ac:dyDescent="0.25">
      <c r="A63" s="449"/>
      <c r="B63" s="896" t="s">
        <v>20</v>
      </c>
      <c r="C63" s="894" t="s">
        <v>19</v>
      </c>
      <c r="D63" s="390">
        <v>2130</v>
      </c>
      <c r="E63" s="880"/>
      <c r="F63" s="390"/>
      <c r="G63" s="391">
        <f t="shared" si="20"/>
        <v>3.084507042253521</v>
      </c>
      <c r="H63" s="390">
        <v>8700</v>
      </c>
      <c r="I63" s="885"/>
      <c r="J63" s="449"/>
      <c r="K63" s="391">
        <f t="shared" si="21"/>
        <v>-8.0459770114942528E-2</v>
      </c>
      <c r="L63" s="390">
        <v>8000</v>
      </c>
      <c r="M63" s="885"/>
      <c r="O63" s="391">
        <f t="shared" si="22"/>
        <v>0</v>
      </c>
      <c r="P63" s="390">
        <f t="shared" si="27"/>
        <v>8000</v>
      </c>
      <c r="Q63" s="885"/>
      <c r="S63" s="391">
        <f t="shared" si="23"/>
        <v>2.725E-2</v>
      </c>
      <c r="T63" s="390">
        <f t="shared" si="28"/>
        <v>8218</v>
      </c>
      <c r="U63" s="590" t="str">
        <f>TEXT('MYP Assumptions'!H75,"0.00%")&amp;", CPI"</f>
        <v>2.73%, CPI</v>
      </c>
      <c r="W63" s="391">
        <f t="shared" si="24"/>
        <v>2.7257240204429302E-2</v>
      </c>
      <c r="X63" s="390">
        <f t="shared" si="29"/>
        <v>8442</v>
      </c>
      <c r="Y63" s="590" t="str">
        <f>TEXT('MYP Assumptions'!I75,"0.00%")&amp;", CPI"</f>
        <v>2.73%, CPI</v>
      </c>
      <c r="AA63" s="391">
        <f t="shared" si="25"/>
        <v>2.724472873726605E-2</v>
      </c>
      <c r="AB63" s="390">
        <f t="shared" si="30"/>
        <v>8672</v>
      </c>
      <c r="AC63" s="590" t="str">
        <f>TEXT('MYP Assumptions'!J75,"0.00%")&amp;", CPI"</f>
        <v>2.73%, CPI</v>
      </c>
    </row>
    <row r="64" spans="1:29" x14ac:dyDescent="0.25">
      <c r="A64" s="449"/>
      <c r="B64" s="896" t="s">
        <v>18</v>
      </c>
      <c r="C64" s="894" t="s">
        <v>17</v>
      </c>
      <c r="D64" s="390">
        <v>77280.47</v>
      </c>
      <c r="E64" s="880"/>
      <c r="F64" s="390"/>
      <c r="G64" s="391">
        <f t="shared" si="20"/>
        <v>-0.86297961179583926</v>
      </c>
      <c r="H64" s="390">
        <v>10589</v>
      </c>
      <c r="I64" s="885"/>
      <c r="J64" s="449"/>
      <c r="K64" s="391">
        <f t="shared" si="21"/>
        <v>-5.5623760506185664E-2</v>
      </c>
      <c r="L64" s="390">
        <v>10000</v>
      </c>
      <c r="M64" s="885"/>
      <c r="O64" s="391">
        <f t="shared" si="22"/>
        <v>0</v>
      </c>
      <c r="P64" s="390">
        <f t="shared" si="27"/>
        <v>10000</v>
      </c>
      <c r="Q64" s="885"/>
      <c r="S64" s="391">
        <f t="shared" si="23"/>
        <v>2.7300000000000001E-2</v>
      </c>
      <c r="T64" s="390">
        <f t="shared" si="28"/>
        <v>10273</v>
      </c>
      <c r="U64" s="590" t="str">
        <f>TEXT('MYP Assumptions'!H75,"0.00%")&amp;", CPI"</f>
        <v>2.73%, CPI</v>
      </c>
      <c r="W64" s="391">
        <f t="shared" si="24"/>
        <v>2.7255913559816995E-2</v>
      </c>
      <c r="X64" s="390">
        <f t="shared" si="29"/>
        <v>10553</v>
      </c>
      <c r="Y64" s="590" t="str">
        <f>TEXT('MYP Assumptions'!I75,"0.00%")&amp;", CPI"</f>
        <v>2.73%, CPI</v>
      </c>
      <c r="AA64" s="391">
        <f t="shared" si="25"/>
        <v>2.7290817776935469E-2</v>
      </c>
      <c r="AB64" s="390">
        <f t="shared" si="30"/>
        <v>10841</v>
      </c>
      <c r="AC64" s="590" t="str">
        <f>TEXT('MYP Assumptions'!J75,"0.00%")&amp;", CPI"</f>
        <v>2.73%, CPI</v>
      </c>
    </row>
    <row r="65" spans="1:31" x14ac:dyDescent="0.25">
      <c r="A65" s="449"/>
      <c r="B65" s="896"/>
      <c r="C65" s="894"/>
      <c r="D65" s="390">
        <f>+'2016-17  RS 3010-DO &amp; All Sites'!AF65</f>
        <v>0</v>
      </c>
      <c r="E65" s="880"/>
      <c r="F65" s="390"/>
      <c r="G65" s="391" t="str">
        <f t="shared" si="20"/>
        <v>0.00%</v>
      </c>
      <c r="H65" s="390">
        <v>0</v>
      </c>
      <c r="I65" s="882"/>
      <c r="J65" s="449"/>
      <c r="K65" s="391" t="str">
        <f t="shared" si="21"/>
        <v>0.00%</v>
      </c>
      <c r="L65" s="390">
        <f t="shared" si="26"/>
        <v>0</v>
      </c>
      <c r="M65" s="885"/>
      <c r="O65" s="391" t="str">
        <f t="shared" si="22"/>
        <v>0.00%</v>
      </c>
      <c r="P65" s="390">
        <f t="shared" si="27"/>
        <v>0</v>
      </c>
      <c r="Q65" s="885"/>
      <c r="S65" s="391" t="str">
        <f t="shared" si="23"/>
        <v>0.00%</v>
      </c>
      <c r="T65" s="390">
        <f t="shared" si="28"/>
        <v>0</v>
      </c>
      <c r="U65" s="590" t="str">
        <f>TEXT('MYP Assumptions'!H75,"0.00%")&amp;", CPI"</f>
        <v>2.73%, CPI</v>
      </c>
      <c r="W65" s="391" t="str">
        <f t="shared" si="24"/>
        <v>0.00%</v>
      </c>
      <c r="X65" s="390">
        <f t="shared" si="29"/>
        <v>0</v>
      </c>
      <c r="Y65" s="590" t="str">
        <f>TEXT('MYP Assumptions'!I75,"0.00%")&amp;", CPI"</f>
        <v>2.73%, CPI</v>
      </c>
      <c r="AA65" s="391" t="str">
        <f t="shared" si="25"/>
        <v>0.00%</v>
      </c>
      <c r="AB65" s="390">
        <f t="shared" si="30"/>
        <v>0</v>
      </c>
      <c r="AC65" s="590" t="str">
        <f>TEXT('MYP Assumptions'!J75,"0.00%")&amp;", CPI"</f>
        <v>2.73%, CPI</v>
      </c>
    </row>
    <row r="66" spans="1:31" x14ac:dyDescent="0.25">
      <c r="A66" s="453"/>
      <c r="B66" s="877"/>
      <c r="D66" s="568">
        <f>SUM(D59:D65)</f>
        <v>574347.36</v>
      </c>
      <c r="E66" s="880"/>
      <c r="F66" s="390"/>
      <c r="G66" s="391">
        <f t="shared" si="20"/>
        <v>-0.73483990594124082</v>
      </c>
      <c r="H66" s="568">
        <f>SUM(H59:H65)</f>
        <v>152294</v>
      </c>
      <c r="I66" s="1292">
        <f>+H66-D66</f>
        <v>-422053.36</v>
      </c>
      <c r="J66" s="453"/>
      <c r="K66" s="391">
        <f t="shared" si="21"/>
        <v>-0.18315889004163</v>
      </c>
      <c r="L66" s="568">
        <f>SUM(L59:L65)</f>
        <v>124400</v>
      </c>
      <c r="M66" s="1292">
        <f>+L66-H66</f>
        <v>-27894</v>
      </c>
      <c r="O66" s="391">
        <f t="shared" si="22"/>
        <v>-0.20096463022508038</v>
      </c>
      <c r="P66" s="568">
        <f>SUM(P59:P65)</f>
        <v>99400</v>
      </c>
      <c r="Q66" s="1292">
        <f>+P66-L66</f>
        <v>-25000</v>
      </c>
      <c r="S66" s="391">
        <f t="shared" si="23"/>
        <v>2.7303822937625753E-2</v>
      </c>
      <c r="T66" s="568">
        <f>SUM(T59:T65)</f>
        <v>102114</v>
      </c>
      <c r="U66" s="555"/>
      <c r="W66" s="391">
        <f t="shared" si="24"/>
        <v>2.7283232465675617E-2</v>
      </c>
      <c r="X66" s="568">
        <f>SUM(X59:X65)</f>
        <v>104900</v>
      </c>
      <c r="Y66" s="555"/>
      <c r="AA66" s="391">
        <f t="shared" si="25"/>
        <v>2.7292659675881792E-2</v>
      </c>
      <c r="AB66" s="568">
        <f>SUM(AB59:AB65)</f>
        <v>107763</v>
      </c>
      <c r="AC66" s="555"/>
    </row>
    <row r="67" spans="1:31" x14ac:dyDescent="0.25">
      <c r="A67" s="449"/>
      <c r="E67" s="880"/>
      <c r="F67" s="390"/>
      <c r="H67" s="390"/>
      <c r="I67" s="885"/>
      <c r="J67" s="449"/>
      <c r="L67" s="390"/>
      <c r="M67" s="913"/>
      <c r="Q67" s="1072"/>
      <c r="T67" s="390"/>
      <c r="U67" s="555"/>
      <c r="X67" s="390"/>
      <c r="Y67" s="555"/>
      <c r="AB67" s="390"/>
      <c r="AC67" s="555"/>
    </row>
    <row r="68" spans="1:31" s="897" customFormat="1" x14ac:dyDescent="0.25">
      <c r="A68" s="455"/>
      <c r="B68" s="893" t="str">
        <f>'2016-17  RS 3010-DO &amp; All Sites'!AD68</f>
        <v>Services, Other Oprtng Exp.</v>
      </c>
      <c r="D68" s="591"/>
      <c r="E68" s="881"/>
      <c r="F68" s="591"/>
      <c r="G68" s="1891"/>
      <c r="H68" s="591"/>
      <c r="J68" s="455"/>
      <c r="K68" s="1882"/>
      <c r="L68" s="591"/>
      <c r="M68" s="917"/>
      <c r="N68" s="592"/>
      <c r="O68" s="1882"/>
      <c r="P68" s="591"/>
      <c r="Q68" s="913"/>
      <c r="R68" s="587"/>
      <c r="S68" s="592"/>
      <c r="T68" s="592"/>
      <c r="U68" s="593"/>
      <c r="V68" s="592"/>
      <c r="W68" s="592"/>
      <c r="X68" s="592"/>
      <c r="Y68" s="593"/>
      <c r="Z68" s="592"/>
      <c r="AA68" s="592"/>
      <c r="AB68" s="592"/>
      <c r="AC68" s="593"/>
      <c r="AE68" s="591"/>
    </row>
    <row r="69" spans="1:31" x14ac:dyDescent="0.25">
      <c r="A69" s="449"/>
      <c r="B69" s="896" t="s">
        <v>15</v>
      </c>
      <c r="C69" s="894" t="s">
        <v>14</v>
      </c>
      <c r="D69" s="390">
        <v>146474.45000000001</v>
      </c>
      <c r="E69" s="880"/>
      <c r="F69" s="390"/>
      <c r="G69" s="391">
        <f t="shared" ref="G69:G80" si="31">IF(D69=0,"0.00%",(H69-D69)/D69)</f>
        <v>-0.25358183628612369</v>
      </c>
      <c r="H69" s="389">
        <v>109331.19</v>
      </c>
      <c r="I69" s="885"/>
      <c r="J69" s="449"/>
      <c r="K69" s="391">
        <f t="shared" ref="K69:K82" si="32">IF(H69=0,"0.00%",(L69-H69)/H69)</f>
        <v>-8.5347923131541895E-2</v>
      </c>
      <c r="L69" s="389">
        <v>100000</v>
      </c>
      <c r="M69" s="965"/>
      <c r="N69" s="451"/>
      <c r="O69" s="450">
        <f>IF(L69=0,"0.00%",(P69-L69)/L69)</f>
        <v>-0.91310999999999998</v>
      </c>
      <c r="P69" s="389">
        <v>8689</v>
      </c>
      <c r="Q69" s="1074"/>
      <c r="R69" s="1075"/>
      <c r="S69" s="450">
        <f t="shared" ref="S69:S82" si="33">IF(P69=0,"0.00%",(T69-P69)/P69)</f>
        <v>2.7275866037518703E-2</v>
      </c>
      <c r="T69" s="389">
        <f>ROUND(P69*(LEFT(U69,5)+1),0)</f>
        <v>8926</v>
      </c>
      <c r="U69" s="1076" t="str">
        <f>TEXT('MYP Assumptions'!H75,"0.00%")&amp;", CPI"</f>
        <v>2.73%, CPI</v>
      </c>
      <c r="V69" s="451"/>
      <c r="W69" s="450">
        <f t="shared" ref="W69:W82" si="34">IF(T69=0,"0.00%",(X69-T69)/T69)</f>
        <v>2.7335872731346626E-2</v>
      </c>
      <c r="X69" s="389">
        <f>ROUND(T69*(LEFT(Y69,5)+1),0)</f>
        <v>9170</v>
      </c>
      <c r="Y69" s="1076" t="str">
        <f>TEXT('MYP Assumptions'!I75,"0.00%")&amp;", CPI"</f>
        <v>2.73%, CPI</v>
      </c>
      <c r="Z69" s="451"/>
      <c r="AA69" s="450">
        <f t="shared" ref="AA69:AA82" si="35">IF(X69=0,"0.00%",(AB69-X69)/X69)</f>
        <v>2.7262813522355506E-2</v>
      </c>
      <c r="AB69" s="389">
        <f>ROUND(X69*(LEFT(AC69,5)+1),0)</f>
        <v>9420</v>
      </c>
      <c r="AC69" s="1076" t="str">
        <f>TEXT('MYP Assumptions'!J75,"0.00%")&amp;", CPI"</f>
        <v>2.73%, CPI</v>
      </c>
      <c r="AD69" s="1851"/>
      <c r="AE69" s="389"/>
    </row>
    <row r="70" spans="1:31" x14ac:dyDescent="0.25">
      <c r="A70" s="449"/>
      <c r="B70" s="896" t="s">
        <v>13</v>
      </c>
      <c r="C70" s="894" t="s">
        <v>12</v>
      </c>
      <c r="D70" s="390">
        <v>0</v>
      </c>
      <c r="E70" s="880"/>
      <c r="F70" s="390"/>
      <c r="G70" s="391" t="str">
        <f t="shared" si="31"/>
        <v>0.00%</v>
      </c>
      <c r="H70" s="390">
        <v>350</v>
      </c>
      <c r="I70" s="885"/>
      <c r="J70" s="449"/>
      <c r="K70" s="391">
        <f t="shared" si="32"/>
        <v>0</v>
      </c>
      <c r="L70" s="390">
        <f>ROUND(H70*(1-$L$58),0)</f>
        <v>350</v>
      </c>
      <c r="M70" s="885"/>
      <c r="O70" s="391">
        <f t="shared" ref="O70:O82" si="36">IF(L70=0,"0.00%",(P70-L70)/L70)</f>
        <v>0</v>
      </c>
      <c r="P70" s="390">
        <f t="shared" ref="P70:P80" si="37">ROUND(L70*(1-$P$58),0)</f>
        <v>350</v>
      </c>
      <c r="Q70" s="1072"/>
      <c r="S70" s="391">
        <f t="shared" si="33"/>
        <v>2.8571428571428571E-2</v>
      </c>
      <c r="T70" s="390">
        <f t="shared" ref="T70:T80" si="38">ROUND(P70*(LEFT(U70,5)+1),0)</f>
        <v>360</v>
      </c>
      <c r="U70" s="590" t="str">
        <f>TEXT('MYP Assumptions'!H75,"0.00%")&amp;", CPI"</f>
        <v>2.73%, CPI</v>
      </c>
      <c r="W70" s="391">
        <f t="shared" si="34"/>
        <v>2.7777777777777776E-2</v>
      </c>
      <c r="X70" s="390">
        <f t="shared" ref="X70:X80" si="39">ROUND(T70*(LEFT(Y70,5)+1),0)</f>
        <v>370</v>
      </c>
      <c r="Y70" s="590" t="str">
        <f>TEXT('MYP Assumptions'!I75,"0.00%")&amp;", CPI"</f>
        <v>2.73%, CPI</v>
      </c>
      <c r="AA70" s="391">
        <f t="shared" si="35"/>
        <v>2.7027027027027029E-2</v>
      </c>
      <c r="AB70" s="390">
        <f t="shared" ref="AB70:AB80" si="40">ROUND(X70*(LEFT(AC70,5)+1),0)</f>
        <v>380</v>
      </c>
      <c r="AC70" s="590" t="str">
        <f>TEXT('MYP Assumptions'!J75,"0.00%")&amp;", CPI"</f>
        <v>2.73%, CPI</v>
      </c>
    </row>
    <row r="71" spans="1:31" x14ac:dyDescent="0.25">
      <c r="A71" s="449"/>
      <c r="B71" s="896" t="s">
        <v>128</v>
      </c>
      <c r="C71" s="894" t="s">
        <v>129</v>
      </c>
      <c r="D71" s="390">
        <v>0</v>
      </c>
      <c r="E71" s="880"/>
      <c r="F71" s="390"/>
      <c r="G71" s="391" t="str">
        <f t="shared" si="31"/>
        <v>0.00%</v>
      </c>
      <c r="H71" s="390">
        <f>ROUND(D71*(1-$H$58),0)</f>
        <v>0</v>
      </c>
      <c r="I71" s="885"/>
      <c r="J71" s="449"/>
      <c r="K71" s="391" t="str">
        <f t="shared" si="32"/>
        <v>0.00%</v>
      </c>
      <c r="L71" s="390">
        <f>ROUND(H71*(1-$L$58),0)</f>
        <v>0</v>
      </c>
      <c r="M71" s="885"/>
      <c r="O71" s="391" t="str">
        <f t="shared" si="36"/>
        <v>0.00%</v>
      </c>
      <c r="P71" s="390">
        <f t="shared" si="37"/>
        <v>0</v>
      </c>
      <c r="Q71" s="913"/>
      <c r="S71" s="391" t="str">
        <f t="shared" si="33"/>
        <v>0.00%</v>
      </c>
      <c r="T71" s="390">
        <f t="shared" si="38"/>
        <v>0</v>
      </c>
      <c r="U71" s="590" t="str">
        <f>TEXT('MYP Assumptions'!H75,"0.00%")&amp;", CPI"</f>
        <v>2.73%, CPI</v>
      </c>
      <c r="W71" s="391" t="str">
        <f t="shared" si="34"/>
        <v>0.00%</v>
      </c>
      <c r="X71" s="390">
        <f t="shared" si="39"/>
        <v>0</v>
      </c>
      <c r="Y71" s="590" t="str">
        <f>TEXT('MYP Assumptions'!I75,"0.00%")&amp;", CPI"</f>
        <v>2.73%, CPI</v>
      </c>
      <c r="AA71" s="391" t="str">
        <f t="shared" si="35"/>
        <v>0.00%</v>
      </c>
      <c r="AB71" s="390">
        <f t="shared" si="40"/>
        <v>0</v>
      </c>
      <c r="AC71" s="590" t="str">
        <f>TEXT('MYP Assumptions'!J75,"0.00%")&amp;", CPI"</f>
        <v>2.73%, CPI</v>
      </c>
    </row>
    <row r="72" spans="1:31" x14ac:dyDescent="0.25">
      <c r="A72" s="449"/>
      <c r="B72" s="896" t="s">
        <v>11</v>
      </c>
      <c r="C72" s="894" t="s">
        <v>10</v>
      </c>
      <c r="D72" s="390">
        <v>1076.98</v>
      </c>
      <c r="E72" s="880"/>
      <c r="F72" s="390"/>
      <c r="G72" s="391">
        <f t="shared" si="31"/>
        <v>9.7513417147950726E-2</v>
      </c>
      <c r="H72" s="390">
        <v>1182</v>
      </c>
      <c r="I72" s="885"/>
      <c r="J72" s="449"/>
      <c r="K72" s="391">
        <f t="shared" si="32"/>
        <v>-0.15397631133671744</v>
      </c>
      <c r="L72" s="390">
        <v>1000</v>
      </c>
      <c r="M72" s="885"/>
      <c r="O72" s="391">
        <f t="shared" si="36"/>
        <v>0</v>
      </c>
      <c r="P72" s="390">
        <f t="shared" si="37"/>
        <v>1000</v>
      </c>
      <c r="Q72" s="1072"/>
      <c r="S72" s="391">
        <f t="shared" si="33"/>
        <v>2.7E-2</v>
      </c>
      <c r="T72" s="390">
        <f t="shared" si="38"/>
        <v>1027</v>
      </c>
      <c r="U72" s="590" t="str">
        <f>TEXT('MYP Assumptions'!H75,"0.00%")&amp;", CPI"</f>
        <v>2.73%, CPI</v>
      </c>
      <c r="W72" s="391">
        <f t="shared" si="34"/>
        <v>2.7263875365141188E-2</v>
      </c>
      <c r="X72" s="390">
        <f t="shared" si="39"/>
        <v>1055</v>
      </c>
      <c r="Y72" s="590" t="str">
        <f>TEXT('MYP Assumptions'!I75,"0.00%")&amp;", CPI"</f>
        <v>2.73%, CPI</v>
      </c>
      <c r="AA72" s="391">
        <f t="shared" si="35"/>
        <v>2.7488151658767772E-2</v>
      </c>
      <c r="AB72" s="390">
        <f t="shared" si="40"/>
        <v>1084</v>
      </c>
      <c r="AC72" s="590" t="str">
        <f>TEXT('MYP Assumptions'!J75,"0.00%")&amp;", CPI"</f>
        <v>2.73%, CPI</v>
      </c>
    </row>
    <row r="73" spans="1:31" x14ac:dyDescent="0.25">
      <c r="A73" s="449"/>
      <c r="B73" s="896" t="s">
        <v>120</v>
      </c>
      <c r="C73" s="894" t="s">
        <v>121</v>
      </c>
      <c r="D73" s="390">
        <v>323.7</v>
      </c>
      <c r="E73" s="880"/>
      <c r="F73" s="390"/>
      <c r="G73" s="391">
        <f t="shared" si="31"/>
        <v>-1</v>
      </c>
      <c r="H73" s="390">
        <v>0</v>
      </c>
      <c r="I73" s="885"/>
      <c r="J73" s="449"/>
      <c r="K73" s="391" t="str">
        <f t="shared" si="32"/>
        <v>0.00%</v>
      </c>
      <c r="L73" s="390">
        <f>ROUND(H73*(1-$L$58),0)</f>
        <v>0</v>
      </c>
      <c r="M73" s="885"/>
      <c r="O73" s="391" t="str">
        <f t="shared" si="36"/>
        <v>0.00%</v>
      </c>
      <c r="P73" s="390">
        <f t="shared" si="37"/>
        <v>0</v>
      </c>
      <c r="Q73" s="1072"/>
      <c r="S73" s="391" t="str">
        <f t="shared" si="33"/>
        <v>0.00%</v>
      </c>
      <c r="T73" s="390">
        <f t="shared" si="38"/>
        <v>0</v>
      </c>
      <c r="U73" s="590" t="str">
        <f>TEXT('MYP Assumptions'!H75,"0.00%")&amp;", CPI"</f>
        <v>2.73%, CPI</v>
      </c>
      <c r="W73" s="391" t="str">
        <f t="shared" si="34"/>
        <v>0.00%</v>
      </c>
      <c r="X73" s="390">
        <f t="shared" si="39"/>
        <v>0</v>
      </c>
      <c r="Y73" s="590" t="str">
        <f>TEXT('MYP Assumptions'!I75,"0.00%")&amp;", CPI"</f>
        <v>2.73%, CPI</v>
      </c>
      <c r="AA73" s="391" t="str">
        <f t="shared" si="35"/>
        <v>0.00%</v>
      </c>
      <c r="AB73" s="390">
        <f t="shared" si="40"/>
        <v>0</v>
      </c>
      <c r="AC73" s="590" t="str">
        <f>TEXT('MYP Assumptions'!J75,"0.00%")&amp;", CPI"</f>
        <v>2.73%, CPI</v>
      </c>
    </row>
    <row r="74" spans="1:31" x14ac:dyDescent="0.25">
      <c r="A74" s="449"/>
      <c r="B74" s="896" t="s">
        <v>126</v>
      </c>
      <c r="C74" s="894" t="s">
        <v>127</v>
      </c>
      <c r="D74" s="390">
        <v>0</v>
      </c>
      <c r="E74" s="880"/>
      <c r="F74" s="390"/>
      <c r="G74" s="391" t="str">
        <f t="shared" si="31"/>
        <v>0.00%</v>
      </c>
      <c r="H74" s="390">
        <f>ROUND(D74*(1-$H$58),0)</f>
        <v>0</v>
      </c>
      <c r="I74" s="885"/>
      <c r="J74" s="449"/>
      <c r="K74" s="391" t="str">
        <f t="shared" si="32"/>
        <v>0.00%</v>
      </c>
      <c r="L74" s="389">
        <v>0</v>
      </c>
      <c r="M74" s="965"/>
      <c r="O74" s="391" t="str">
        <f t="shared" si="36"/>
        <v>0.00%</v>
      </c>
      <c r="P74" s="1584">
        <v>0</v>
      </c>
      <c r="Q74" s="1585" t="s">
        <v>953</v>
      </c>
      <c r="S74" s="391" t="str">
        <f t="shared" si="33"/>
        <v>0.00%</v>
      </c>
      <c r="T74" s="390">
        <f t="shared" si="38"/>
        <v>0</v>
      </c>
      <c r="U74" s="590" t="str">
        <f>TEXT('MYP Assumptions'!H75,"0.00%")&amp;", CPI"</f>
        <v>2.73%, CPI</v>
      </c>
      <c r="W74" s="391" t="str">
        <f t="shared" si="34"/>
        <v>0.00%</v>
      </c>
      <c r="X74" s="390">
        <f t="shared" si="39"/>
        <v>0</v>
      </c>
      <c r="Y74" s="590" t="str">
        <f>TEXT('MYP Assumptions'!I75,"0.00%")&amp;", CPI"</f>
        <v>2.73%, CPI</v>
      </c>
      <c r="AA74" s="391" t="str">
        <f t="shared" si="35"/>
        <v>0.00%</v>
      </c>
      <c r="AB74" s="390">
        <f t="shared" si="40"/>
        <v>0</v>
      </c>
      <c r="AC74" s="590" t="str">
        <f>TEXT('MYP Assumptions'!J75,"0.00%")&amp;", CPI"</f>
        <v>2.73%, CPI</v>
      </c>
    </row>
    <row r="75" spans="1:31" x14ac:dyDescent="0.25">
      <c r="A75" s="449"/>
      <c r="B75" s="896" t="s">
        <v>9</v>
      </c>
      <c r="C75" s="894" t="s">
        <v>8</v>
      </c>
      <c r="D75" s="390">
        <v>43339.65</v>
      </c>
      <c r="E75" s="880"/>
      <c r="F75" s="390"/>
      <c r="G75" s="391">
        <f t="shared" si="31"/>
        <v>8.493800711357844</v>
      </c>
      <c r="H75" s="390">
        <v>411458</v>
      </c>
      <c r="I75" s="885" t="s">
        <v>992</v>
      </c>
      <c r="J75" s="449"/>
      <c r="K75" s="391">
        <f t="shared" si="32"/>
        <v>-0.63779802555789411</v>
      </c>
      <c r="L75" s="390">
        <v>149030.9</v>
      </c>
      <c r="M75" s="885" t="s">
        <v>859</v>
      </c>
      <c r="O75" s="391">
        <f t="shared" si="36"/>
        <v>-0.20756031131798838</v>
      </c>
      <c r="P75" s="390">
        <v>118098</v>
      </c>
      <c r="Q75" s="885" t="s">
        <v>859</v>
      </c>
      <c r="S75" s="391">
        <f t="shared" si="33"/>
        <v>2.7299361547189621E-2</v>
      </c>
      <c r="T75" s="390">
        <f t="shared" si="38"/>
        <v>121322</v>
      </c>
      <c r="U75" s="590" t="str">
        <f>TEXT('MYP Assumptions'!H75,"0.00%")&amp;", CPI"</f>
        <v>2.73%, CPI</v>
      </c>
      <c r="W75" s="391">
        <f t="shared" si="34"/>
        <v>2.729925322694977E-2</v>
      </c>
      <c r="X75" s="390">
        <f t="shared" si="39"/>
        <v>124634</v>
      </c>
      <c r="Y75" s="590" t="str">
        <f>TEXT('MYP Assumptions'!I75,"0.00%")&amp;", CPI"</f>
        <v>2.73%, CPI</v>
      </c>
      <c r="AA75" s="391">
        <f t="shared" si="35"/>
        <v>2.7303945953752587E-2</v>
      </c>
      <c r="AB75" s="390">
        <f t="shared" si="40"/>
        <v>128037</v>
      </c>
      <c r="AC75" s="590" t="str">
        <f>TEXT('MYP Assumptions'!J75,"0.00%")&amp;", CPI"</f>
        <v>2.73%, CPI</v>
      </c>
    </row>
    <row r="76" spans="1:31" x14ac:dyDescent="0.25">
      <c r="A76" s="449"/>
      <c r="B76" s="896" t="s">
        <v>122</v>
      </c>
      <c r="C76" s="894" t="s">
        <v>123</v>
      </c>
      <c r="D76" s="390">
        <v>690</v>
      </c>
      <c r="E76" s="880"/>
      <c r="F76" s="390"/>
      <c r="G76" s="391">
        <f t="shared" si="31"/>
        <v>-0.6376811594202898</v>
      </c>
      <c r="H76" s="390">
        <v>250</v>
      </c>
      <c r="I76" s="885"/>
      <c r="J76" s="449"/>
      <c r="K76" s="391">
        <f t="shared" si="32"/>
        <v>0</v>
      </c>
      <c r="L76" s="390">
        <f>ROUND(H76*(1-$L$58),0)</f>
        <v>250</v>
      </c>
      <c r="M76" s="885"/>
      <c r="O76" s="391">
        <f t="shared" si="36"/>
        <v>0</v>
      </c>
      <c r="P76" s="390">
        <f t="shared" si="37"/>
        <v>250</v>
      </c>
      <c r="Q76" s="885"/>
      <c r="S76" s="391">
        <f t="shared" si="33"/>
        <v>2.8000000000000001E-2</v>
      </c>
      <c r="T76" s="390">
        <f t="shared" si="38"/>
        <v>257</v>
      </c>
      <c r="U76" s="590" t="str">
        <f>TEXT('MYP Assumptions'!H75,"0.00%")&amp;", CPI"</f>
        <v>2.73%, CPI</v>
      </c>
      <c r="W76" s="391">
        <f t="shared" si="34"/>
        <v>2.7237354085603113E-2</v>
      </c>
      <c r="X76" s="390">
        <f t="shared" si="39"/>
        <v>264</v>
      </c>
      <c r="Y76" s="590" t="str">
        <f>TEXT('MYP Assumptions'!I75,"0.00%")&amp;", CPI"</f>
        <v>2.73%, CPI</v>
      </c>
      <c r="AA76" s="391">
        <f t="shared" si="35"/>
        <v>2.6515151515151516E-2</v>
      </c>
      <c r="AB76" s="390">
        <f t="shared" si="40"/>
        <v>271</v>
      </c>
      <c r="AC76" s="590" t="str">
        <f>TEXT('MYP Assumptions'!J75,"0.00%")&amp;", CPI"</f>
        <v>2.73%, CPI</v>
      </c>
    </row>
    <row r="77" spans="1:31" x14ac:dyDescent="0.25">
      <c r="A77" s="449"/>
      <c r="B77" s="896" t="s">
        <v>7</v>
      </c>
      <c r="C77" s="894" t="s">
        <v>6</v>
      </c>
      <c r="D77" s="390">
        <v>12956.84</v>
      </c>
      <c r="E77" s="880"/>
      <c r="F77" s="390"/>
      <c r="G77" s="391">
        <f t="shared" si="31"/>
        <v>0.40852244837475804</v>
      </c>
      <c r="H77" s="390">
        <f>22250-4000</f>
        <v>18250</v>
      </c>
      <c r="I77" s="885"/>
      <c r="J77" s="449"/>
      <c r="K77" s="391">
        <f t="shared" si="32"/>
        <v>-0.17808219178082191</v>
      </c>
      <c r="L77" s="390">
        <v>15000</v>
      </c>
      <c r="M77" s="885"/>
      <c r="O77" s="391">
        <f t="shared" si="36"/>
        <v>0</v>
      </c>
      <c r="P77" s="390">
        <f t="shared" si="37"/>
        <v>15000</v>
      </c>
      <c r="Q77" s="885"/>
      <c r="S77" s="391">
        <f t="shared" si="33"/>
        <v>2.7333333333333334E-2</v>
      </c>
      <c r="T77" s="390">
        <f t="shared" si="38"/>
        <v>15410</v>
      </c>
      <c r="U77" s="590" t="str">
        <f>TEXT('MYP Assumptions'!H75,"0.00%")&amp;", CPI"</f>
        <v>2.73%, CPI</v>
      </c>
      <c r="W77" s="391">
        <f t="shared" si="34"/>
        <v>2.7319922128487995E-2</v>
      </c>
      <c r="X77" s="390">
        <f t="shared" si="39"/>
        <v>15831</v>
      </c>
      <c r="Y77" s="590" t="str">
        <f>TEXT('MYP Assumptions'!I75,"0.00%")&amp;", CPI"</f>
        <v>2.73%, CPI</v>
      </c>
      <c r="AA77" s="391">
        <f t="shared" si="35"/>
        <v>2.7288231949971573E-2</v>
      </c>
      <c r="AB77" s="390">
        <f t="shared" si="40"/>
        <v>16263</v>
      </c>
      <c r="AC77" s="590" t="str">
        <f>TEXT('MYP Assumptions'!J75,"0.00%")&amp;", CPI"</f>
        <v>2.73%, CPI</v>
      </c>
    </row>
    <row r="78" spans="1:31" x14ac:dyDescent="0.25">
      <c r="A78" s="449"/>
      <c r="B78" s="896" t="s">
        <v>5</v>
      </c>
      <c r="C78" s="894" t="s">
        <v>4</v>
      </c>
      <c r="D78" s="390">
        <v>24661.119999999999</v>
      </c>
      <c r="E78" s="880"/>
      <c r="F78" s="390"/>
      <c r="G78" s="391">
        <f t="shared" si="31"/>
        <v>-0.12311362987569092</v>
      </c>
      <c r="H78" s="390">
        <v>21625</v>
      </c>
      <c r="I78" s="885" t="s">
        <v>860</v>
      </c>
      <c r="J78" s="449"/>
      <c r="K78" s="391">
        <f t="shared" si="32"/>
        <v>-7.5144508670520235E-2</v>
      </c>
      <c r="L78" s="390">
        <v>20000</v>
      </c>
      <c r="M78" s="885" t="s">
        <v>860</v>
      </c>
      <c r="O78" s="391">
        <f t="shared" si="36"/>
        <v>-0.5</v>
      </c>
      <c r="P78" s="390">
        <v>10000</v>
      </c>
      <c r="Q78" s="885" t="s">
        <v>860</v>
      </c>
      <c r="S78" s="391">
        <f t="shared" si="33"/>
        <v>2.7300000000000001E-2</v>
      </c>
      <c r="T78" s="390">
        <f t="shared" si="38"/>
        <v>10273</v>
      </c>
      <c r="U78" s="590" t="str">
        <f>TEXT('MYP Assumptions'!H75,"0.00%")&amp;", CPI"</f>
        <v>2.73%, CPI</v>
      </c>
      <c r="W78" s="391">
        <f t="shared" si="34"/>
        <v>2.7255913559816995E-2</v>
      </c>
      <c r="X78" s="390">
        <f t="shared" si="39"/>
        <v>10553</v>
      </c>
      <c r="Y78" s="590" t="str">
        <f>TEXT('MYP Assumptions'!I75,"0.00%")&amp;", CPI"</f>
        <v>2.73%, CPI</v>
      </c>
      <c r="AA78" s="391">
        <f t="shared" si="35"/>
        <v>2.7290817776935469E-2</v>
      </c>
      <c r="AB78" s="390">
        <f t="shared" si="40"/>
        <v>10841</v>
      </c>
      <c r="AC78" s="590" t="str">
        <f>TEXT('MYP Assumptions'!J75,"0.00%")&amp;", CPI"</f>
        <v>2.73%, CPI</v>
      </c>
    </row>
    <row r="79" spans="1:31" x14ac:dyDescent="0.25">
      <c r="A79" s="449"/>
      <c r="B79" s="896" t="s">
        <v>3</v>
      </c>
      <c r="C79" s="894" t="s">
        <v>2</v>
      </c>
      <c r="D79" s="390">
        <v>1949.25</v>
      </c>
      <c r="E79" s="880"/>
      <c r="F79" s="390"/>
      <c r="G79" s="391">
        <f t="shared" si="31"/>
        <v>2.6035654739002181E-2</v>
      </c>
      <c r="H79" s="390">
        <v>2000</v>
      </c>
      <c r="I79" s="885"/>
      <c r="J79" s="449"/>
      <c r="K79" s="391">
        <f t="shared" si="32"/>
        <v>-0.5</v>
      </c>
      <c r="L79" s="390">
        <v>1000</v>
      </c>
      <c r="M79" s="885"/>
      <c r="O79" s="391">
        <f t="shared" si="36"/>
        <v>0</v>
      </c>
      <c r="P79" s="390">
        <f t="shared" si="37"/>
        <v>1000</v>
      </c>
      <c r="Q79" s="1072"/>
      <c r="S79" s="391">
        <f t="shared" si="33"/>
        <v>2.7E-2</v>
      </c>
      <c r="T79" s="390">
        <f t="shared" si="38"/>
        <v>1027</v>
      </c>
      <c r="U79" s="590" t="str">
        <f>TEXT('MYP Assumptions'!H75,"0.00%")&amp;", CPI"</f>
        <v>2.73%, CPI</v>
      </c>
      <c r="W79" s="391">
        <f t="shared" si="34"/>
        <v>2.7263875365141188E-2</v>
      </c>
      <c r="X79" s="390">
        <f t="shared" si="39"/>
        <v>1055</v>
      </c>
      <c r="Y79" s="590" t="str">
        <f>TEXT('MYP Assumptions'!I75,"0.00%")&amp;", CPI"</f>
        <v>2.73%, CPI</v>
      </c>
      <c r="AA79" s="391">
        <f t="shared" si="35"/>
        <v>2.7488151658767772E-2</v>
      </c>
      <c r="AB79" s="390">
        <f t="shared" si="40"/>
        <v>1084</v>
      </c>
      <c r="AC79" s="590" t="str">
        <f>TEXT('MYP Assumptions'!J75,"0.00%")&amp;", CPI"</f>
        <v>2.73%, CPI</v>
      </c>
    </row>
    <row r="80" spans="1:31" x14ac:dyDescent="0.25">
      <c r="A80" s="449"/>
      <c r="B80" s="896" t="s">
        <v>124</v>
      </c>
      <c r="C80" s="894" t="s">
        <v>125</v>
      </c>
      <c r="D80" s="390">
        <v>4810.79</v>
      </c>
      <c r="E80" s="880"/>
      <c r="F80" s="390"/>
      <c r="G80" s="391">
        <f t="shared" si="31"/>
        <v>-1</v>
      </c>
      <c r="H80" s="390">
        <v>0</v>
      </c>
      <c r="I80" s="885"/>
      <c r="J80" s="449"/>
      <c r="K80" s="391" t="str">
        <f t="shared" si="32"/>
        <v>0.00%</v>
      </c>
      <c r="L80" s="390">
        <f>ROUND(H80*(1-$L$58),0)</f>
        <v>0</v>
      </c>
      <c r="M80" s="885"/>
      <c r="O80" s="391" t="str">
        <f t="shared" si="36"/>
        <v>0.00%</v>
      </c>
      <c r="P80" s="390">
        <f t="shared" si="37"/>
        <v>0</v>
      </c>
      <c r="Q80" s="913"/>
      <c r="S80" s="391" t="str">
        <f t="shared" si="33"/>
        <v>0.00%</v>
      </c>
      <c r="T80" s="390">
        <f t="shared" si="38"/>
        <v>0</v>
      </c>
      <c r="U80" s="590" t="str">
        <f>TEXT('MYP Assumptions'!H75,"0.00%")&amp;", CPI"</f>
        <v>2.73%, CPI</v>
      </c>
      <c r="W80" s="391" t="str">
        <f t="shared" si="34"/>
        <v>0.00%</v>
      </c>
      <c r="X80" s="390">
        <f t="shared" si="39"/>
        <v>0</v>
      </c>
      <c r="Y80" s="590" t="str">
        <f>TEXT('MYP Assumptions'!I75,"0.00%")&amp;", CPI"</f>
        <v>2.73%, CPI</v>
      </c>
      <c r="AA80" s="391" t="str">
        <f t="shared" si="35"/>
        <v>0.00%</v>
      </c>
      <c r="AB80" s="390">
        <f t="shared" si="40"/>
        <v>0</v>
      </c>
      <c r="AC80" s="590" t="str">
        <f>TEXT('MYP Assumptions'!J75,"0.00%")&amp;", CPI"</f>
        <v>2.73%, CPI</v>
      </c>
    </row>
    <row r="81" spans="1:31" x14ac:dyDescent="0.25">
      <c r="A81" s="449"/>
      <c r="B81" s="896"/>
      <c r="C81" s="894"/>
      <c r="D81" s="390">
        <v>0</v>
      </c>
      <c r="E81" s="880"/>
      <c r="F81" s="390"/>
      <c r="G81" s="391"/>
      <c r="H81" s="390"/>
      <c r="I81" s="885"/>
      <c r="J81" s="449"/>
      <c r="K81" s="391"/>
      <c r="L81" s="390"/>
      <c r="M81" s="885"/>
      <c r="O81" s="391"/>
      <c r="Q81" s="1072"/>
      <c r="S81" s="391"/>
      <c r="T81" s="390"/>
      <c r="U81" s="590"/>
      <c r="W81" s="391"/>
      <c r="X81" s="390"/>
      <c r="Y81" s="590"/>
      <c r="AA81" s="391"/>
      <c r="AB81" s="390"/>
      <c r="AC81" s="590"/>
    </row>
    <row r="82" spans="1:31" x14ac:dyDescent="0.25">
      <c r="A82" s="453"/>
      <c r="D82" s="568">
        <f>SUM(D69:D81)</f>
        <v>236282.78000000003</v>
      </c>
      <c r="E82" s="880"/>
      <c r="F82" s="390"/>
      <c r="G82" s="391">
        <f>IF(D82=0,"0.00%",(H82-D82)/D82)</f>
        <v>1.3888587649087245</v>
      </c>
      <c r="H82" s="568">
        <f>SUM(H69:H81)</f>
        <v>564446.18999999994</v>
      </c>
      <c r="I82" s="1292">
        <f>+H82-D82</f>
        <v>328163.40999999992</v>
      </c>
      <c r="J82" s="453"/>
      <c r="K82" s="391">
        <f t="shared" si="32"/>
        <v>-0.49219092080327437</v>
      </c>
      <c r="L82" s="568">
        <f>SUM(L69:L81)</f>
        <v>286630.90000000002</v>
      </c>
      <c r="M82" s="1292">
        <f>+L82-H82</f>
        <v>-277815.28999999992</v>
      </c>
      <c r="O82" s="391">
        <f t="shared" si="36"/>
        <v>-0.46137349462322452</v>
      </c>
      <c r="P82" s="568">
        <f>SUM(P69:P81)</f>
        <v>154387</v>
      </c>
      <c r="Q82" s="1292">
        <f>+P82-L82</f>
        <v>-132243.90000000002</v>
      </c>
      <c r="S82" s="391">
        <f t="shared" si="33"/>
        <v>2.7301521501162662E-2</v>
      </c>
      <c r="T82" s="568">
        <f>SUM(T69:T81)</f>
        <v>158602</v>
      </c>
      <c r="U82" s="555"/>
      <c r="W82" s="391">
        <f t="shared" si="34"/>
        <v>2.7301042862006783E-2</v>
      </c>
      <c r="X82" s="568">
        <f>SUM(X69:X81)</f>
        <v>162932</v>
      </c>
      <c r="Y82" s="555"/>
      <c r="AA82" s="391">
        <f t="shared" si="35"/>
        <v>2.7299732403702159E-2</v>
      </c>
      <c r="AB82" s="568">
        <f>SUM(AB69:AB81)</f>
        <v>167380</v>
      </c>
      <c r="AC82" s="555"/>
    </row>
    <row r="83" spans="1:31" x14ac:dyDescent="0.25">
      <c r="A83" s="449"/>
      <c r="B83" s="893"/>
      <c r="E83" s="880"/>
      <c r="F83" s="390"/>
      <c r="G83" s="391"/>
      <c r="H83" s="390"/>
      <c r="I83" s="885"/>
      <c r="J83" s="449"/>
      <c r="L83" s="390"/>
      <c r="M83" s="913"/>
      <c r="Q83" s="913"/>
      <c r="T83" s="390"/>
      <c r="U83" s="555"/>
      <c r="X83" s="390"/>
      <c r="Y83" s="555"/>
      <c r="AB83" s="390"/>
      <c r="AC83" s="555"/>
    </row>
    <row r="84" spans="1:31" x14ac:dyDescent="0.25">
      <c r="A84" s="449"/>
      <c r="E84" s="880"/>
      <c r="F84" s="390"/>
      <c r="H84" s="390"/>
      <c r="I84" s="885"/>
      <c r="J84" s="449"/>
      <c r="L84" s="390"/>
      <c r="M84" s="913"/>
      <c r="Q84" s="923"/>
      <c r="T84" s="390"/>
      <c r="U84" s="555"/>
      <c r="X84" s="390"/>
      <c r="Y84" s="555"/>
      <c r="AB84" s="390"/>
      <c r="AC84" s="555"/>
    </row>
    <row r="85" spans="1:31" x14ac:dyDescent="0.25">
      <c r="A85" s="453"/>
      <c r="B85" s="893" t="str">
        <f>'2016-17  RS 3010-DO &amp; All Sites'!AD85</f>
        <v>TOTAL EXPENDITURES</v>
      </c>
      <c r="D85" s="568">
        <f>SUM(D82,D66,D55,D14)</f>
        <v>2259280.1800000002</v>
      </c>
      <c r="E85" s="880"/>
      <c r="F85" s="390"/>
      <c r="G85" s="391">
        <f>IF(D85=0,"0.00%",(H85-D85)/D85)</f>
        <v>9.5623421084496812E-3</v>
      </c>
      <c r="H85" s="568">
        <f>SUM(H82,H66,H55,H14)</f>
        <v>2280884.19</v>
      </c>
      <c r="I85" s="1292">
        <f>+H85-D85</f>
        <v>21604.009999999776</v>
      </c>
      <c r="J85" s="453"/>
      <c r="K85" s="391">
        <f>IF(H85=0,"0.00%",(L85-H85)/H85)</f>
        <v>-0.11866901931570671</v>
      </c>
      <c r="L85" s="568">
        <f>SUM(L82,L66,L55,L14)</f>
        <v>2010213.9</v>
      </c>
      <c r="M85" s="1292">
        <f>+L85-H85</f>
        <v>-270670.29000000004</v>
      </c>
      <c r="O85" s="391">
        <f>IF(L85=0,"0.00%",(P85-L85)/L85)</f>
        <v>-5.358827734700268E-2</v>
      </c>
      <c r="P85" s="568">
        <f>SUM(P82,P66,P55,P14)</f>
        <v>1902490</v>
      </c>
      <c r="Q85" s="1292">
        <f>+P85-L85</f>
        <v>-107723.89999999991</v>
      </c>
      <c r="S85" s="391">
        <f>IF(P85=0,"0.00%",(T85-P85)/P85)</f>
        <v>2.2574625885024364E-2</v>
      </c>
      <c r="T85" s="568">
        <f>SUM(T82,T66,T55,T14)</f>
        <v>1945438</v>
      </c>
      <c r="U85" s="555"/>
      <c r="W85" s="391">
        <f>IF(T85=0,"0.00%",(X85-T85)/T85)</f>
        <v>2.4263944674669663E-2</v>
      </c>
      <c r="X85" s="568">
        <f>SUM(X82,X66,X55,X14)</f>
        <v>1992642</v>
      </c>
      <c r="Y85" s="555"/>
      <c r="AA85" s="391">
        <f>IF(X85=0,"0.00%",(AB85-X85)/X85)</f>
        <v>0.14708612987179834</v>
      </c>
      <c r="AB85" s="568">
        <f>SUM(AB82,AB66,AB55,AB14)</f>
        <v>2285732</v>
      </c>
      <c r="AC85" s="555"/>
    </row>
    <row r="86" spans="1:31" x14ac:dyDescent="0.25">
      <c r="A86" s="449"/>
      <c r="E86" s="880"/>
      <c r="F86" s="390"/>
      <c r="H86" s="390"/>
      <c r="I86" s="885"/>
      <c r="J86" s="449"/>
      <c r="L86" s="390"/>
      <c r="M86" s="913"/>
      <c r="Q86" s="923"/>
      <c r="T86" s="390"/>
      <c r="U86" s="555"/>
      <c r="X86" s="390"/>
      <c r="Y86" s="555"/>
      <c r="AB86" s="390"/>
      <c r="AC86" s="555"/>
    </row>
    <row r="87" spans="1:31" x14ac:dyDescent="0.25">
      <c r="A87" s="449"/>
      <c r="B87" s="893" t="str">
        <f>'2016-17  RS 3010-DO &amp; All Sites'!AD87</f>
        <v>NET INCRS/DCRS TO FB</v>
      </c>
      <c r="D87" s="392">
        <f>D12-D85</f>
        <v>0</v>
      </c>
      <c r="G87" s="391" t="str">
        <f>IF(D87=0,"0.00%",(H87-D87)/D87)</f>
        <v>0.00%</v>
      </c>
      <c r="H87" s="392">
        <f>H12-H85</f>
        <v>0</v>
      </c>
      <c r="I87" s="885"/>
      <c r="J87" s="449"/>
      <c r="K87" s="391" t="str">
        <f>IF(H87=0,"0.00%",(L87-H87)/H87)</f>
        <v>0.00%</v>
      </c>
      <c r="L87" s="392">
        <f>L12-L85</f>
        <v>0</v>
      </c>
      <c r="M87" s="913"/>
      <c r="O87" s="391" t="str">
        <f>IF(L87=0,"0.00%",(P87-L87)/L87)</f>
        <v>0.00%</v>
      </c>
      <c r="P87" s="392">
        <f>P12-P85</f>
        <v>0</v>
      </c>
      <c r="Q87" s="923"/>
      <c r="S87" s="391" t="str">
        <f>IF(P87=0,"0.00%",(T87-P87)/P87)</f>
        <v>0.00%</v>
      </c>
      <c r="T87" s="392">
        <f>T12-T85</f>
        <v>-102948</v>
      </c>
      <c r="U87" s="555"/>
      <c r="W87" s="391">
        <f>IF(T87=0,"0.00%",(X87-T87)/T87)</f>
        <v>0.45852274934918602</v>
      </c>
      <c r="X87" s="392">
        <f>X12-X85</f>
        <v>-150152</v>
      </c>
      <c r="Y87" s="555"/>
      <c r="AA87" s="391">
        <f>IF(X87=0,"0.00%",(AB87-X87)/X87)</f>
        <v>1.9519553519100645</v>
      </c>
      <c r="AB87" s="392">
        <f>AB12-AB85</f>
        <v>-443242</v>
      </c>
      <c r="AC87" s="555"/>
    </row>
    <row r="88" spans="1:31" x14ac:dyDescent="0.25">
      <c r="B88" s="893"/>
      <c r="C88" s="887"/>
      <c r="D88" s="392"/>
      <c r="H88" s="392"/>
      <c r="I88" s="885"/>
      <c r="J88" s="449"/>
      <c r="L88" s="392"/>
      <c r="M88" s="913"/>
      <c r="P88" s="392"/>
      <c r="Q88" s="923"/>
      <c r="T88" s="573"/>
      <c r="U88" s="555"/>
      <c r="X88" s="573"/>
      <c r="Y88" s="555"/>
      <c r="AB88" s="573"/>
      <c r="AC88" s="555"/>
    </row>
    <row r="89" spans="1:31" x14ac:dyDescent="0.25">
      <c r="B89" s="893" t="str">
        <f>'2016-17  RS 3010-DO &amp; All Sites'!AD89</f>
        <v>ENDING FUND BALANCE</v>
      </c>
      <c r="C89" s="889"/>
      <c r="D89" s="392">
        <f>D8+D87</f>
        <v>0</v>
      </c>
      <c r="G89" s="391" t="str">
        <f>IF(D89=0,"0.00%",(H89-D89)/D89)</f>
        <v>0.00%</v>
      </c>
      <c r="H89" s="392">
        <f>H8+H87</f>
        <v>0</v>
      </c>
      <c r="I89" s="909"/>
      <c r="J89" s="449"/>
      <c r="K89" s="391" t="str">
        <f>IF(H89=0,"0.00%",(L89-H89)/H89)</f>
        <v>0.00%</v>
      </c>
      <c r="L89" s="392">
        <f>L8+L87</f>
        <v>0</v>
      </c>
      <c r="M89" s="913"/>
      <c r="O89" s="391" t="str">
        <f>IF(L89=0,"0.00%",(P89-L89)/L89)</f>
        <v>0.00%</v>
      </c>
      <c r="P89" s="392">
        <f>P8+P87</f>
        <v>0</v>
      </c>
      <c r="Q89" s="923"/>
      <c r="S89" s="391" t="str">
        <f>IF(P89=0,"0.00%",(T89-P89)/P89)</f>
        <v>0.00%</v>
      </c>
      <c r="T89" s="579">
        <f>T8+T87</f>
        <v>-102948</v>
      </c>
      <c r="U89" s="555"/>
      <c r="W89" s="391">
        <f>IF(T89=0,"0.00%",(X89-T89)/T89)</f>
        <v>1.4585227493491859</v>
      </c>
      <c r="X89" s="579">
        <f>X8+X87</f>
        <v>-253100</v>
      </c>
      <c r="Y89" s="555"/>
      <c r="AA89" s="391">
        <f>IF(X89=0,"0.00%",(AB89-X89)/X89)</f>
        <v>1.7512524693796918</v>
      </c>
      <c r="AB89" s="579">
        <f>AB8+AB87</f>
        <v>-696342</v>
      </c>
      <c r="AC89" s="555"/>
    </row>
    <row r="90" spans="1:31" x14ac:dyDescent="0.25">
      <c r="C90" s="897"/>
      <c r="G90" s="1892"/>
      <c r="H90" s="595"/>
      <c r="I90" s="908"/>
      <c r="J90" s="453"/>
      <c r="L90" s="595"/>
      <c r="M90" s="913"/>
      <c r="P90" s="595"/>
      <c r="Q90" s="923"/>
      <c r="T90" s="595"/>
      <c r="U90" s="555"/>
      <c r="X90" s="595"/>
      <c r="Y90" s="555"/>
      <c r="AB90" s="595"/>
      <c r="AC90" s="555"/>
    </row>
    <row r="91" spans="1:31" x14ac:dyDescent="0.25">
      <c r="C91" s="886"/>
      <c r="G91" s="1892"/>
      <c r="H91" s="589"/>
      <c r="I91" s="885"/>
      <c r="J91" s="449"/>
      <c r="L91" s="390"/>
      <c r="M91" s="913"/>
      <c r="Q91" s="923"/>
      <c r="T91" s="390"/>
      <c r="U91" s="555"/>
      <c r="X91" s="390"/>
      <c r="Y91" s="555"/>
      <c r="AB91" s="390"/>
      <c r="AC91" s="555"/>
    </row>
    <row r="92" spans="1:31" x14ac:dyDescent="0.25">
      <c r="C92" s="886"/>
      <c r="G92" s="1892"/>
      <c r="H92" s="589"/>
      <c r="I92" s="885"/>
      <c r="J92" s="449"/>
      <c r="L92" s="390"/>
      <c r="M92" s="913"/>
      <c r="Q92" s="923"/>
      <c r="T92" s="390"/>
      <c r="U92" s="555"/>
      <c r="X92" s="390"/>
      <c r="Y92" s="555"/>
      <c r="AB92" s="390"/>
      <c r="AC92" s="555"/>
    </row>
    <row r="93" spans="1:31" x14ac:dyDescent="0.25">
      <c r="C93" s="886"/>
      <c r="G93" s="1892"/>
      <c r="H93" s="589"/>
      <c r="I93" s="885"/>
      <c r="J93" s="449"/>
      <c r="L93" s="390"/>
      <c r="M93" s="913"/>
      <c r="Q93" s="923"/>
      <c r="T93" s="390"/>
      <c r="U93" s="555"/>
      <c r="X93" s="390"/>
      <c r="Y93" s="555"/>
      <c r="AB93" s="390"/>
      <c r="AC93" s="555"/>
    </row>
    <row r="94" spans="1:31" x14ac:dyDescent="0.25">
      <c r="C94" s="886"/>
      <c r="G94" s="1892"/>
      <c r="H94" s="589"/>
      <c r="I94" s="885"/>
      <c r="J94" s="449"/>
      <c r="L94" s="390"/>
      <c r="M94" s="913"/>
      <c r="Q94" s="923"/>
      <c r="T94" s="390"/>
      <c r="U94" s="555"/>
      <c r="X94" s="390"/>
      <c r="Y94" s="555"/>
      <c r="AB94" s="390"/>
      <c r="AC94" s="555"/>
    </row>
    <row r="95" spans="1:31" s="927" customFormat="1" ht="11.25" x14ac:dyDescent="0.2">
      <c r="A95" s="596"/>
      <c r="B95" s="898"/>
      <c r="C95" s="899" t="s">
        <v>223</v>
      </c>
      <c r="D95" s="597">
        <f>+D82+D66+D53+D41+D30</f>
        <v>2178669.41</v>
      </c>
      <c r="E95" s="883"/>
      <c r="F95" s="598"/>
      <c r="G95" s="599" t="s">
        <v>223</v>
      </c>
      <c r="H95" s="597">
        <f>+H82+H66+H53+H41+H30</f>
        <v>2183918.19</v>
      </c>
      <c r="I95" s="910"/>
      <c r="J95" s="600"/>
      <c r="K95" s="599" t="s">
        <v>223</v>
      </c>
      <c r="L95" s="597">
        <f>+L82+L66+L53+L41+L30</f>
        <v>1924754.9</v>
      </c>
      <c r="M95" s="919"/>
      <c r="N95" s="601"/>
      <c r="O95" s="599" t="s">
        <v>223</v>
      </c>
      <c r="P95" s="602">
        <f>+P82+P66+P53+P41+P30</f>
        <v>1821610</v>
      </c>
      <c r="Q95" s="926"/>
      <c r="R95" s="603"/>
      <c r="S95" s="599" t="s">
        <v>223</v>
      </c>
      <c r="T95" s="597">
        <f>+T82+T66+T53+T41+T30</f>
        <v>1879698</v>
      </c>
      <c r="U95" s="604"/>
      <c r="V95" s="601"/>
      <c r="W95" s="599" t="s">
        <v>223</v>
      </c>
      <c r="X95" s="597">
        <f>+X82+X66+X53+X41+X30</f>
        <v>1926902</v>
      </c>
      <c r="Y95" s="604"/>
      <c r="Z95" s="601"/>
      <c r="AA95" s="599" t="s">
        <v>223</v>
      </c>
      <c r="AB95" s="597">
        <f>+AB82+AB66+AB53+AB41+AB30</f>
        <v>1974960</v>
      </c>
      <c r="AC95" s="604"/>
      <c r="AE95" s="609"/>
    </row>
    <row r="96" spans="1:31" s="927" customFormat="1" ht="11.25" x14ac:dyDescent="0.2">
      <c r="A96" s="605"/>
      <c r="B96" s="898"/>
      <c r="C96" s="900" t="s">
        <v>224</v>
      </c>
      <c r="D96" s="606">
        <f>+D14</f>
        <v>80610.77</v>
      </c>
      <c r="E96" s="884"/>
      <c r="F96" s="607"/>
      <c r="G96" s="1883" t="s">
        <v>224</v>
      </c>
      <c r="H96" s="606">
        <f>+H14</f>
        <v>96966</v>
      </c>
      <c r="I96" s="883"/>
      <c r="J96" s="608"/>
      <c r="K96" s="1883" t="s">
        <v>224</v>
      </c>
      <c r="L96" s="606">
        <f>+L14</f>
        <v>85459</v>
      </c>
      <c r="M96" s="919"/>
      <c r="N96" s="601"/>
      <c r="O96" s="1883" t="s">
        <v>224</v>
      </c>
      <c r="P96" s="609">
        <f>+P14</f>
        <v>80880</v>
      </c>
      <c r="R96" s="603"/>
      <c r="S96" s="610" t="s">
        <v>224</v>
      </c>
      <c r="T96" s="606">
        <f>+T14</f>
        <v>65740</v>
      </c>
      <c r="U96" s="601"/>
      <c r="V96" s="601"/>
      <c r="W96" s="610" t="s">
        <v>224</v>
      </c>
      <c r="X96" s="606">
        <f>+X14</f>
        <v>65740</v>
      </c>
      <c r="Y96" s="601"/>
      <c r="Z96" s="601"/>
      <c r="AA96" s="610" t="s">
        <v>224</v>
      </c>
      <c r="AB96" s="606">
        <f>+AB14</f>
        <v>310772</v>
      </c>
      <c r="AC96" s="601"/>
      <c r="AE96" s="609"/>
    </row>
    <row r="97" spans="1:31" s="927" customFormat="1" ht="11.25" x14ac:dyDescent="0.2">
      <c r="A97" s="605"/>
      <c r="B97" s="898"/>
      <c r="C97" s="900"/>
      <c r="D97" s="611">
        <f>+D95+D96</f>
        <v>2259280.1800000002</v>
      </c>
      <c r="E97" s="884"/>
      <c r="F97" s="607"/>
      <c r="G97" s="1883"/>
      <c r="H97" s="611">
        <f>+H95+H96</f>
        <v>2280884.19</v>
      </c>
      <c r="I97" s="883"/>
      <c r="J97" s="608"/>
      <c r="K97" s="1883"/>
      <c r="L97" s="611">
        <f>+L95+L96</f>
        <v>2010213.9</v>
      </c>
      <c r="M97" s="920"/>
      <c r="N97" s="601"/>
      <c r="O97" s="1884"/>
      <c r="P97" s="612">
        <f>+P95+P96</f>
        <v>1902490</v>
      </c>
      <c r="R97" s="603"/>
      <c r="S97" s="610"/>
      <c r="T97" s="611">
        <f>+T95+T96</f>
        <v>1945438</v>
      </c>
      <c r="U97" s="601"/>
      <c r="V97" s="601"/>
      <c r="W97" s="610"/>
      <c r="X97" s="611">
        <f>+X95+X96</f>
        <v>1992642</v>
      </c>
      <c r="Y97" s="601"/>
      <c r="Z97" s="601"/>
      <c r="AA97" s="610"/>
      <c r="AB97" s="611">
        <f>+AB95+AB96</f>
        <v>2285732</v>
      </c>
      <c r="AC97" s="601"/>
      <c r="AE97" s="609"/>
    </row>
    <row r="98" spans="1:31" ht="15" customHeight="1" x14ac:dyDescent="0.25">
      <c r="A98" s="449"/>
      <c r="B98" s="901"/>
      <c r="C98" s="896"/>
      <c r="D98" s="613">
        <f>+D85-D97</f>
        <v>0</v>
      </c>
      <c r="E98" s="885"/>
      <c r="F98" s="589"/>
      <c r="H98" s="613">
        <f>+H85-H97</f>
        <v>0</v>
      </c>
      <c r="K98" s="1881"/>
      <c r="L98" s="613">
        <f>+L85-L97</f>
        <v>0</v>
      </c>
      <c r="P98" s="390">
        <f>+P85-P97</f>
        <v>0</v>
      </c>
      <c r="S98" s="572"/>
      <c r="T98" s="613">
        <f>+T85-T97</f>
        <v>0</v>
      </c>
      <c r="X98" s="613">
        <f>+X85-X97</f>
        <v>0</v>
      </c>
      <c r="AB98" s="613">
        <f>+AB85-AB97</f>
        <v>0</v>
      </c>
    </row>
    <row r="99" spans="1:31" x14ac:dyDescent="0.25">
      <c r="A99" s="449"/>
      <c r="B99" s="901"/>
      <c r="C99" s="901"/>
      <c r="D99" s="589"/>
      <c r="E99" s="885"/>
      <c r="F99" s="589"/>
    </row>
    <row r="100" spans="1:31" x14ac:dyDescent="0.25">
      <c r="A100" s="449"/>
      <c r="B100" s="889"/>
      <c r="C100" s="886"/>
      <c r="D100" s="614"/>
      <c r="E100" s="885"/>
      <c r="F100" s="589"/>
    </row>
    <row r="101" spans="1:31" x14ac:dyDescent="0.25">
      <c r="B101" s="889"/>
      <c r="C101" s="886"/>
      <c r="D101" s="589"/>
      <c r="E101" s="886"/>
      <c r="F101" s="553"/>
    </row>
    <row r="102" spans="1:31" x14ac:dyDescent="0.25">
      <c r="B102" s="889"/>
      <c r="C102" s="886"/>
      <c r="D102" s="589"/>
      <c r="E102" s="886"/>
      <c r="F102" s="553"/>
    </row>
    <row r="103" spans="1:31" ht="15" customHeight="1" x14ac:dyDescent="0.25">
      <c r="B103" s="889"/>
      <c r="C103" s="886"/>
      <c r="D103" s="589"/>
      <c r="E103" s="886"/>
      <c r="F103" s="553"/>
    </row>
    <row r="104" spans="1:31" x14ac:dyDescent="0.25">
      <c r="B104" s="889"/>
      <c r="C104" s="886"/>
      <c r="D104" s="589"/>
      <c r="E104" s="886"/>
      <c r="F104" s="553"/>
    </row>
    <row r="105" spans="1:31" x14ac:dyDescent="0.25">
      <c r="B105" s="889"/>
      <c r="C105" s="886"/>
      <c r="D105" s="589"/>
      <c r="E105" s="886"/>
      <c r="F105" s="553"/>
    </row>
    <row r="106" spans="1:31" ht="15" customHeight="1" x14ac:dyDescent="0.25">
      <c r="B106" s="2215"/>
      <c r="C106" s="2215"/>
      <c r="D106" s="589"/>
      <c r="E106" s="886"/>
      <c r="F106" s="553"/>
    </row>
    <row r="107" spans="1:31" x14ac:dyDescent="0.25">
      <c r="B107" s="2215"/>
      <c r="C107" s="2215"/>
      <c r="D107" s="589"/>
      <c r="E107" s="886"/>
      <c r="F107" s="553"/>
    </row>
    <row r="108" spans="1:31" x14ac:dyDescent="0.25">
      <c r="B108" s="889"/>
      <c r="C108" s="886"/>
      <c r="D108" s="591"/>
      <c r="E108" s="886"/>
      <c r="F108" s="553"/>
    </row>
    <row r="109" spans="1:31" x14ac:dyDescent="0.25">
      <c r="B109" s="889"/>
      <c r="C109" s="886"/>
      <c r="D109" s="589"/>
      <c r="E109" s="886"/>
      <c r="F109" s="553"/>
    </row>
    <row r="110" spans="1:31" x14ac:dyDescent="0.25">
      <c r="B110" s="889"/>
      <c r="C110" s="886"/>
      <c r="D110" s="589"/>
      <c r="E110" s="886"/>
      <c r="F110" s="553"/>
    </row>
    <row r="111" spans="1:31" ht="28.5" customHeight="1" x14ac:dyDescent="0.25">
      <c r="B111" s="889"/>
      <c r="C111" s="886"/>
      <c r="D111" s="614"/>
      <c r="E111" s="886"/>
      <c r="F111" s="553"/>
    </row>
  </sheetData>
  <sheetProtection password="B79F" sheet="1" objects="1" scenarios="1"/>
  <mergeCells count="1">
    <mergeCell ref="B106:C107"/>
  </mergeCells>
  <pageMargins left="0.25" right="0.25" top="0.5" bottom="0.5" header="0.25" footer="0.25"/>
  <pageSetup paperSize="5" scale="57" orientation="portrait" r:id="rId1"/>
  <headerFooter>
    <oddHeader>&amp;L&amp;F</oddHeader>
    <oddFooter>&amp;R&amp;A</oddFooter>
  </headerFooter>
  <ignoredErrors>
    <ignoredError sqref="J26:K26 J25 L25:M25"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33"/>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1.7109375" style="146" customWidth="1"/>
    <col min="2" max="2" width="8.5703125" style="930" customWidth="1"/>
    <col min="3" max="3" width="18.28515625" style="857" customWidth="1"/>
    <col min="4" max="4" width="16" style="2" customWidth="1"/>
    <col min="5" max="5" width="17.7109375" style="857" hidden="1" customWidth="1"/>
    <col min="6" max="6" width="6" style="39" customWidth="1"/>
    <col min="7" max="7" width="9.42578125" style="52" bestFit="1" customWidth="1"/>
    <col min="8" max="8" width="13.85546875" style="122" bestFit="1" customWidth="1"/>
    <col min="9" max="9" width="26" style="868" hidden="1" customWidth="1"/>
    <col min="10" max="10" width="5.7109375" style="59" customWidth="1"/>
    <col min="11" max="11" width="9.42578125" style="377" customWidth="1"/>
    <col min="12" max="12" width="14" style="123" bestFit="1" customWidth="1"/>
    <col min="13" max="13" width="26" style="857" hidden="1" customWidth="1"/>
    <col min="14" max="14" width="5.7109375" style="39" customWidth="1"/>
    <col min="15" max="15" width="14" style="377" bestFit="1" customWidth="1"/>
    <col min="16" max="16" width="14" style="2" bestFit="1" customWidth="1"/>
    <col min="17" max="17" width="24.85546875" style="857" hidden="1" customWidth="1"/>
    <col min="18" max="18" width="5.7109375" style="109" customWidth="1"/>
    <col min="19" max="19" width="11.8554687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930" t="s">
        <v>61</v>
      </c>
      <c r="C1" s="931" t="s">
        <v>231</v>
      </c>
      <c r="D1" s="1044"/>
      <c r="E1" s="855"/>
      <c r="F1" s="98"/>
      <c r="G1" s="369"/>
      <c r="H1" s="1045"/>
      <c r="I1" s="855"/>
      <c r="K1" s="382"/>
      <c r="L1" s="122"/>
      <c r="M1" s="855"/>
      <c r="N1" s="51"/>
      <c r="O1" s="382"/>
      <c r="P1" s="122"/>
      <c r="Q1" s="855"/>
      <c r="T1" s="86">
        <v>0</v>
      </c>
      <c r="U1" s="98"/>
      <c r="X1" s="86">
        <v>0</v>
      </c>
      <c r="Y1" s="98"/>
      <c r="AB1" s="86">
        <v>0</v>
      </c>
      <c r="AC1" s="98"/>
    </row>
    <row r="2" spans="1:29" ht="17.25" x14ac:dyDescent="0.4">
      <c r="B2" s="932" t="s">
        <v>59</v>
      </c>
      <c r="C2" s="933">
        <v>3310</v>
      </c>
      <c r="D2" s="1045"/>
      <c r="E2" s="855"/>
      <c r="F2" s="98"/>
      <c r="G2" s="1863"/>
      <c r="H2" s="1045"/>
      <c r="I2" s="855"/>
      <c r="K2" s="382"/>
      <c r="L2" s="87"/>
      <c r="M2" s="855"/>
      <c r="N2" s="51"/>
      <c r="O2" s="382"/>
      <c r="P2" s="87"/>
      <c r="Q2" s="855"/>
      <c r="T2" s="87">
        <v>0</v>
      </c>
      <c r="U2" s="98"/>
      <c r="X2" s="87">
        <v>0</v>
      </c>
      <c r="Y2" s="98"/>
      <c r="AB2" s="87">
        <v>0</v>
      </c>
      <c r="AC2" s="98"/>
    </row>
    <row r="3" spans="1:29" x14ac:dyDescent="0.25">
      <c r="D3" s="1046"/>
      <c r="E3" s="867"/>
      <c r="F3" s="1047"/>
      <c r="G3" s="1864"/>
      <c r="H3" s="1046"/>
      <c r="I3" s="867"/>
      <c r="K3" s="382"/>
      <c r="L3" s="122"/>
      <c r="M3" s="868"/>
      <c r="N3" s="51"/>
      <c r="O3" s="382"/>
      <c r="P3" s="122"/>
      <c r="Q3" s="868"/>
      <c r="T3" s="86">
        <f>SUM(T1:T2)</f>
        <v>0</v>
      </c>
      <c r="U3" s="51"/>
      <c r="X3" s="86">
        <f>SUM(X1:X2)</f>
        <v>0</v>
      </c>
      <c r="Y3" s="51"/>
      <c r="AB3" s="86">
        <f>SUM(AB1:AB2)</f>
        <v>0</v>
      </c>
      <c r="AC3" s="51"/>
    </row>
    <row r="4" spans="1:29" x14ac:dyDescent="0.25">
      <c r="L4" s="122"/>
      <c r="M4" s="868"/>
      <c r="P4" s="122"/>
      <c r="Q4" s="868"/>
      <c r="T4" s="86"/>
      <c r="U4" s="51"/>
      <c r="X4" s="86"/>
      <c r="Y4" s="51"/>
      <c r="AB4" s="86"/>
      <c r="AC4" s="51"/>
    </row>
    <row r="5" spans="1:29" ht="15.75" x14ac:dyDescent="0.25">
      <c r="B5" s="934" t="s">
        <v>56</v>
      </c>
      <c r="P5" s="123"/>
      <c r="T5" s="73"/>
      <c r="X5" s="73"/>
      <c r="AB5" s="73"/>
    </row>
    <row r="6" spans="1:29" s="89" customFormat="1" ht="15.75" x14ac:dyDescent="0.25">
      <c r="A6" s="147"/>
      <c r="B6" s="935"/>
      <c r="C6" s="935"/>
      <c r="D6" s="284" t="s">
        <v>55</v>
      </c>
      <c r="E6" s="858"/>
      <c r="G6" s="371"/>
      <c r="H6" s="324" t="str">
        <f>LEFT(D6,4)+1&amp;"-"&amp;RIGHT(D6,4)+1</f>
        <v>2017-2018</v>
      </c>
      <c r="I6" s="869"/>
      <c r="J6" s="93"/>
      <c r="K6" s="378"/>
      <c r="L6" s="124" t="str">
        <f>LEFT(H6,4)+1&amp;"-"&amp;RIGHT(H6,4)+1</f>
        <v>2018-2019</v>
      </c>
      <c r="M6" s="946"/>
      <c r="N6" s="96"/>
      <c r="O6" s="381"/>
      <c r="P6" s="124" t="str">
        <f>LEFT(L6,4)+1&amp;"-"&amp;RIGHT(L6,4)+1</f>
        <v>2019-2020</v>
      </c>
      <c r="Q6" s="94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936" t="s">
        <v>54</v>
      </c>
      <c r="D7" s="2">
        <v>0</v>
      </c>
      <c r="E7" s="928"/>
      <c r="H7" s="2">
        <f>D96</f>
        <v>0</v>
      </c>
      <c r="I7" s="928"/>
      <c r="J7" s="60"/>
      <c r="L7" s="2">
        <f>H96</f>
        <v>0</v>
      </c>
      <c r="M7" s="928"/>
      <c r="O7" s="2"/>
      <c r="P7" s="2">
        <f>L96</f>
        <v>0</v>
      </c>
      <c r="Q7" s="928"/>
      <c r="T7" s="2">
        <f>P96</f>
        <v>0</v>
      </c>
      <c r="U7" s="105"/>
      <c r="X7" s="2">
        <f>T96</f>
        <v>-82176</v>
      </c>
      <c r="Y7" s="105"/>
      <c r="AB7" s="2">
        <f>X96</f>
        <v>-220338</v>
      </c>
      <c r="AC7" s="105"/>
    </row>
    <row r="8" spans="1:29" x14ac:dyDescent="0.25">
      <c r="E8" s="928"/>
      <c r="H8" s="2"/>
      <c r="I8" s="928"/>
      <c r="L8" s="2"/>
      <c r="M8" s="928"/>
      <c r="Q8" s="928"/>
      <c r="U8" s="105"/>
      <c r="Y8" s="105"/>
      <c r="AC8" s="105"/>
    </row>
    <row r="9" spans="1:29" x14ac:dyDescent="0.25">
      <c r="B9" s="930" t="s">
        <v>52</v>
      </c>
      <c r="C9" s="857" t="s">
        <v>659</v>
      </c>
      <c r="D9" s="2">
        <v>1691896</v>
      </c>
      <c r="E9" s="928" t="s">
        <v>467</v>
      </c>
      <c r="G9" s="83">
        <f>IF(D9=0,"0.00%",(H9-D9)/D9)</f>
        <v>5.2597795609186379E-3</v>
      </c>
      <c r="H9" s="3">
        <v>1700795</v>
      </c>
      <c r="I9" s="928" t="s">
        <v>174</v>
      </c>
      <c r="J9" s="61"/>
      <c r="K9" s="83">
        <f>IF(H9=0,"0.00%",(L9-H9)/H9)</f>
        <v>0</v>
      </c>
      <c r="L9" s="3">
        <f>+H9</f>
        <v>1700795</v>
      </c>
      <c r="M9" s="928" t="s">
        <v>174</v>
      </c>
      <c r="O9" s="83">
        <f>IF(L9=0,"0.00%",(P9-L9)/L9)</f>
        <v>0</v>
      </c>
      <c r="P9" s="3">
        <f>+L9</f>
        <v>1700795</v>
      </c>
      <c r="Q9" s="928" t="s">
        <v>174</v>
      </c>
      <c r="S9" s="83">
        <f>IF(P9=0,"0.00%",(T9-P9)/P9)</f>
        <v>0</v>
      </c>
      <c r="T9" s="3">
        <f>+P9</f>
        <v>1700795</v>
      </c>
      <c r="U9" s="105"/>
      <c r="W9" s="83">
        <f>IF(T9=0,"0.00%",(X9-T9)/T9)</f>
        <v>0</v>
      </c>
      <c r="X9" s="3">
        <f>+T9</f>
        <v>1700795</v>
      </c>
      <c r="Y9" s="105"/>
      <c r="AA9" s="83">
        <f>IF(X9=0,"0.00%",(AB9-X9)/X9)</f>
        <v>0</v>
      </c>
      <c r="AB9" s="3">
        <f>+X9</f>
        <v>1700795</v>
      </c>
      <c r="AC9" s="105"/>
    </row>
    <row r="10" spans="1:29" x14ac:dyDescent="0.25">
      <c r="C10" s="857" t="s">
        <v>660</v>
      </c>
      <c r="D10" s="2">
        <v>7775</v>
      </c>
      <c r="E10" s="928"/>
      <c r="G10" s="83">
        <f t="shared" ref="G10:G15" si="0">IF(D10=0,"0.00%",(H10-D10)/D10)</f>
        <v>0.32797427652733119</v>
      </c>
      <c r="H10" s="3">
        <v>10325</v>
      </c>
      <c r="I10" s="928" t="s">
        <v>174</v>
      </c>
      <c r="J10" s="61"/>
      <c r="K10" s="83">
        <f>IF(H10=0,"0.00%",(L10-H10)/H10)</f>
        <v>0</v>
      </c>
      <c r="L10" s="3">
        <f>+H10</f>
        <v>10325</v>
      </c>
      <c r="M10" s="928" t="s">
        <v>174</v>
      </c>
      <c r="O10" s="83">
        <f>IF(L10=0,"0.00%",(P10-L10)/L10)</f>
        <v>0</v>
      </c>
      <c r="P10" s="3">
        <f>+L10</f>
        <v>10325</v>
      </c>
      <c r="Q10" s="928" t="s">
        <v>174</v>
      </c>
      <c r="S10" s="83">
        <f>IF(P10=0,"0.00%",(T10-P10)/P10)</f>
        <v>-1</v>
      </c>
      <c r="T10" s="3">
        <f>-P2</f>
        <v>0</v>
      </c>
      <c r="U10" s="105"/>
      <c r="W10" s="83" t="str">
        <f>IF(T10=0,"0.00%",(X10-T10)/T10)</f>
        <v>0.00%</v>
      </c>
      <c r="X10" s="3">
        <f>-T2</f>
        <v>0</v>
      </c>
      <c r="Y10" s="105"/>
      <c r="AA10" s="83" t="str">
        <f>IF(X10=0,"0.00%",(AB10-X10)/X10)</f>
        <v>0.00%</v>
      </c>
      <c r="AB10" s="3">
        <f>-X2</f>
        <v>0</v>
      </c>
      <c r="AC10" s="105"/>
    </row>
    <row r="11" spans="1:29" x14ac:dyDescent="0.25">
      <c r="B11" s="936" t="s">
        <v>137</v>
      </c>
      <c r="D11" s="8">
        <f>SUM(D9:D10)</f>
        <v>1699671</v>
      </c>
      <c r="E11" s="928"/>
      <c r="G11" s="83">
        <f t="shared" si="0"/>
        <v>6.7360094983087903E-3</v>
      </c>
      <c r="H11" s="8">
        <f>SUM(H9:H10)</f>
        <v>1711120</v>
      </c>
      <c r="I11" s="1292">
        <f>+H11-D11</f>
        <v>11449</v>
      </c>
      <c r="J11" s="62"/>
      <c r="K11" s="83">
        <f>IF(H11=0,"0.00%",(L11-H11)/H11)</f>
        <v>0</v>
      </c>
      <c r="L11" s="8">
        <f>SUM(L9:L10)</f>
        <v>1711120</v>
      </c>
      <c r="M11" s="1292">
        <f>+L11-H11</f>
        <v>0</v>
      </c>
      <c r="O11" s="83">
        <f>IF(L11=0,"0.00%",(P11-L11)/L11)</f>
        <v>0</v>
      </c>
      <c r="P11" s="8">
        <f>SUM(P9:P10)</f>
        <v>1711120</v>
      </c>
      <c r="Q11" s="1292">
        <f>+P11-L11</f>
        <v>0</v>
      </c>
      <c r="S11" s="83">
        <f>IF(P11=0,"0.00%",(T11-P11)/P11)</f>
        <v>-6.0340595633269437E-3</v>
      </c>
      <c r="T11" s="78">
        <f>SUM(T9:T10)</f>
        <v>1700795</v>
      </c>
      <c r="U11" s="105"/>
      <c r="W11" s="83">
        <f>IF(T11=0,"0.00%",(X11-T11)/T11)</f>
        <v>0</v>
      </c>
      <c r="X11" s="78">
        <f>SUM(X9:X10)</f>
        <v>1700795</v>
      </c>
      <c r="Y11" s="105"/>
      <c r="AA11" s="83">
        <f>IF(X11=0,"0.00%",(AB11-X11)/X11)</f>
        <v>0</v>
      </c>
      <c r="AB11" s="78">
        <f>SUM(AB9:AB10)</f>
        <v>1700795</v>
      </c>
      <c r="AC11" s="105"/>
    </row>
    <row r="12" spans="1:29" x14ac:dyDescent="0.25">
      <c r="E12" s="928"/>
      <c r="H12" s="3"/>
      <c r="I12" s="928"/>
      <c r="J12" s="63"/>
      <c r="K12" s="52"/>
      <c r="L12" s="3"/>
      <c r="M12" s="928"/>
      <c r="O12" s="52"/>
      <c r="P12" s="3"/>
      <c r="Q12" s="928"/>
      <c r="S12" s="46"/>
      <c r="T12" s="44"/>
      <c r="U12" s="105"/>
      <c r="W12" s="46"/>
      <c r="X12" s="44"/>
      <c r="Y12" s="105"/>
      <c r="AA12" s="46"/>
      <c r="AB12" s="44"/>
      <c r="AC12" s="105"/>
    </row>
    <row r="13" spans="1:29" x14ac:dyDescent="0.25">
      <c r="C13" s="938" t="s">
        <v>64</v>
      </c>
      <c r="D13" s="9">
        <v>60367.16</v>
      </c>
      <c r="E13" s="1035">
        <v>3.6999999999999998E-2</v>
      </c>
      <c r="G13" s="83">
        <f t="shared" si="0"/>
        <v>0.19775387810193482</v>
      </c>
      <c r="H13" s="9">
        <f>ROUND((H11-H89)-((H11-H89)/(1+$I$13)),0)</f>
        <v>72305</v>
      </c>
      <c r="I13" s="1051">
        <v>4.4400000000000002E-2</v>
      </c>
      <c r="J13" s="64"/>
      <c r="K13" s="83">
        <f>IF(H13=0,"0.00%",(L13-H13)/H13)</f>
        <v>0</v>
      </c>
      <c r="L13" s="9">
        <f>ROUND((L11-L89)-((L11-L89)/(1+$I$13)),0)</f>
        <v>72305</v>
      </c>
      <c r="M13" s="1051">
        <v>4.4400000000000002E-2</v>
      </c>
      <c r="O13" s="83">
        <f>IF(L13=0,"0.00%",(P13-L13)/L13)</f>
        <v>0</v>
      </c>
      <c r="P13" s="9">
        <f>ROUND((P11-P89)-((P11-P89)/(1+$I$13)),0)</f>
        <v>72305</v>
      </c>
      <c r="Q13" s="1051">
        <v>4.4400000000000002E-2</v>
      </c>
      <c r="S13" s="83">
        <f>IF(P13=0,"0.00%",(T13-P13)/P13)</f>
        <v>-0.16581149298112163</v>
      </c>
      <c r="T13" s="77">
        <f>ROUND((T11-T89)-((T11-T89)/(1+$E$13)),0)</f>
        <v>60316</v>
      </c>
      <c r="U13" s="105"/>
      <c r="W13" s="83">
        <f>IF(T13=0,"0.00%",(X13-T13)/T13)</f>
        <v>0</v>
      </c>
      <c r="X13" s="77">
        <f>ROUND((X11-X89)-((X11-X89)/(1+$E$13)),0)</f>
        <v>60316</v>
      </c>
      <c r="Y13" s="105"/>
      <c r="AA13" s="83">
        <f>IF(X13=0,"0.00%",(AB13-X13)/X13)</f>
        <v>0</v>
      </c>
      <c r="AB13" s="77">
        <f>ROUND((AB11-AB89)-((AB11-AB89)/(1+$E$13)),0)</f>
        <v>60316</v>
      </c>
      <c r="AC13" s="105"/>
    </row>
    <row r="14" spans="1:29" x14ac:dyDescent="0.25">
      <c r="E14" s="1587" t="s">
        <v>960</v>
      </c>
      <c r="H14" s="3"/>
      <c r="I14" s="928"/>
      <c r="J14" s="63"/>
      <c r="K14" s="52"/>
      <c r="L14" s="3"/>
      <c r="M14" s="928"/>
      <c r="O14" s="52"/>
      <c r="P14" s="3"/>
      <c r="Q14" s="928"/>
      <c r="S14" s="46"/>
      <c r="T14" s="44"/>
      <c r="U14" s="105"/>
      <c r="W14" s="46"/>
      <c r="X14" s="44"/>
      <c r="Y14" s="105"/>
      <c r="AA14" s="46"/>
      <c r="AB14" s="44"/>
      <c r="AC14" s="105"/>
    </row>
    <row r="15" spans="1:29" x14ac:dyDescent="0.25">
      <c r="B15" s="936" t="s">
        <v>50</v>
      </c>
      <c r="D15" s="10">
        <f>D11-D13</f>
        <v>1639303.84</v>
      </c>
      <c r="E15" s="928"/>
      <c r="G15" s="83">
        <f t="shared" si="0"/>
        <v>-2.9819975289027798E-4</v>
      </c>
      <c r="H15" s="9">
        <f>H11-H13</f>
        <v>1638815</v>
      </c>
      <c r="I15" s="1292">
        <f>+H15-D15</f>
        <v>-488.84000000008382</v>
      </c>
      <c r="J15" s="62"/>
      <c r="K15" s="83">
        <f>IF(H15=0,"0.00%",(L15-H15)/H15)</f>
        <v>0</v>
      </c>
      <c r="L15" s="9">
        <f>L11-L13</f>
        <v>1638815</v>
      </c>
      <c r="M15" s="1292">
        <f>+L15-H15</f>
        <v>0</v>
      </c>
      <c r="O15" s="83">
        <f>IF(L15=0,"0.00%",(P15-L15)/L15)</f>
        <v>0</v>
      </c>
      <c r="P15" s="9">
        <f>P11-P13</f>
        <v>1638815</v>
      </c>
      <c r="Q15" s="1292">
        <f>+P15-L15</f>
        <v>0</v>
      </c>
      <c r="S15" s="83">
        <f>IF(P15=0,"0.00%",(T15-P15)/P15)</f>
        <v>1.0153678114979421E-3</v>
      </c>
      <c r="T15" s="19">
        <f>T11-T13</f>
        <v>1640479</v>
      </c>
      <c r="U15" s="105"/>
      <c r="W15" s="83">
        <f>IF(T15=0,"0.00%",(X15-T15)/T15)</f>
        <v>0</v>
      </c>
      <c r="X15" s="19">
        <f>X11-X13</f>
        <v>1640479</v>
      </c>
      <c r="Y15" s="105"/>
      <c r="AA15" s="83">
        <f>IF(X15=0,"0.00%",(AB15-X15)/X15)</f>
        <v>0</v>
      </c>
      <c r="AB15" s="19">
        <f>AB11-AB13</f>
        <v>1640479</v>
      </c>
      <c r="AC15" s="105"/>
    </row>
    <row r="16" spans="1:29" x14ac:dyDescent="0.25">
      <c r="E16" s="928"/>
      <c r="H16" s="3"/>
      <c r="I16" s="928"/>
      <c r="J16" s="62"/>
      <c r="L16" s="3"/>
      <c r="M16" s="928"/>
      <c r="P16" s="3"/>
      <c r="Q16" s="928"/>
      <c r="T16" s="49"/>
      <c r="U16" s="105"/>
      <c r="X16" s="49"/>
      <c r="Y16" s="105"/>
      <c r="AB16" s="49"/>
      <c r="AC16" s="105"/>
    </row>
    <row r="17" spans="1:29" x14ac:dyDescent="0.25">
      <c r="C17" s="930"/>
      <c r="E17" s="928"/>
      <c r="H17" s="3"/>
      <c r="I17" s="928"/>
      <c r="J17" s="63"/>
      <c r="L17" s="3"/>
      <c r="M17" s="928"/>
      <c r="P17" s="3"/>
      <c r="Q17" s="928"/>
      <c r="T17" s="44"/>
      <c r="U17" s="105"/>
      <c r="X17" s="44"/>
      <c r="Y17" s="105"/>
      <c r="AB17" s="44"/>
      <c r="AC17" s="105"/>
    </row>
    <row r="18" spans="1:29" x14ac:dyDescent="0.25">
      <c r="A18" s="148"/>
      <c r="D18" s="29" t="s">
        <v>826</v>
      </c>
      <c r="E18" s="929"/>
      <c r="F18" s="32"/>
      <c r="H18" s="29" t="s">
        <v>177</v>
      </c>
      <c r="I18" s="929"/>
      <c r="J18" s="65"/>
      <c r="M18" s="929"/>
      <c r="Q18" s="929"/>
      <c r="U18" s="106"/>
      <c r="Y18" s="106"/>
      <c r="AC18" s="106"/>
    </row>
    <row r="19" spans="1:29" ht="17.25" x14ac:dyDescent="0.4">
      <c r="A19" s="149"/>
      <c r="D19" s="35" t="s">
        <v>827</v>
      </c>
      <c r="E19" s="860"/>
      <c r="F19" s="34"/>
      <c r="H19" s="35" t="s">
        <v>48</v>
      </c>
      <c r="I19" s="870"/>
      <c r="J19" s="29"/>
      <c r="L19" s="14" t="s">
        <v>48</v>
      </c>
      <c r="M19" s="1003">
        <v>0.02</v>
      </c>
      <c r="P19" s="14" t="s">
        <v>48</v>
      </c>
      <c r="Q19" s="1003">
        <v>0.02</v>
      </c>
      <c r="T19" s="14" t="s">
        <v>48</v>
      </c>
      <c r="U19" s="104">
        <v>0.02</v>
      </c>
      <c r="X19" s="14" t="s">
        <v>48</v>
      </c>
      <c r="Y19" s="104">
        <v>0.02</v>
      </c>
      <c r="AB19" s="14" t="s">
        <v>48</v>
      </c>
      <c r="AC19" s="104">
        <v>0.02</v>
      </c>
    </row>
    <row r="20" spans="1:29" s="13" customFormat="1" hidden="1" x14ac:dyDescent="0.25">
      <c r="A20" s="150"/>
      <c r="B20" s="936" t="s">
        <v>46</v>
      </c>
      <c r="C20" s="938"/>
      <c r="D20" s="10"/>
      <c r="E20" s="861"/>
      <c r="F20" s="10"/>
      <c r="G20" s="372"/>
      <c r="H20" s="10"/>
      <c r="I20" s="864"/>
      <c r="J20" s="57"/>
      <c r="K20" s="379"/>
      <c r="L20" s="10"/>
      <c r="M20" s="947"/>
      <c r="O20" s="379"/>
      <c r="P20" s="10"/>
      <c r="Q20" s="947"/>
      <c r="R20" s="111"/>
      <c r="T20" s="10"/>
      <c r="U20" s="74"/>
      <c r="X20" s="10"/>
      <c r="Y20" s="74"/>
      <c r="AB20" s="10"/>
      <c r="AC20" s="74"/>
    </row>
    <row r="21" spans="1:29" hidden="1" x14ac:dyDescent="0.25">
      <c r="A21" s="151"/>
      <c r="B21" s="939"/>
      <c r="D21" s="2">
        <v>0</v>
      </c>
      <c r="E21" s="863"/>
      <c r="F21" s="2"/>
      <c r="G21" s="83" t="str">
        <f t="shared" ref="G21:G30" si="1">IF(D21=0,"0.00%",(H21-D21)/D21)</f>
        <v>0.00%</v>
      </c>
      <c r="H21" s="2">
        <f t="shared" ref="H21:H27" si="2">ROUND(D21*(1+$I$19),0)</f>
        <v>0</v>
      </c>
      <c r="I21" s="854"/>
      <c r="J21" s="66"/>
      <c r="K21" s="83" t="str">
        <f t="shared" ref="K21:K27" si="3">IF(H21=0,"0.00%",(L21-H21)/H21)</f>
        <v>0.00%</v>
      </c>
      <c r="L21" s="2">
        <f>ROUND(H21*(1+M19),0)</f>
        <v>0</v>
      </c>
      <c r="M21" s="871" t="str">
        <f>TEXT(M19,"0.0%")&amp;" = Est. S &amp; C"</f>
        <v>2.0% = Est. S &amp; C</v>
      </c>
      <c r="O21" s="83" t="str">
        <f t="shared" ref="O21:O27" si="4">IF(L21=0,"0.00%",(P21-L21)/L21)</f>
        <v>0.00%</v>
      </c>
      <c r="P21" s="2">
        <f>ROUND(L21*(1+Q19),0)</f>
        <v>0</v>
      </c>
      <c r="Q21" s="871" t="str">
        <f>TEXT(Q19,"0.0%")&amp;" = Est. S &amp; C"</f>
        <v>2.0% = Est. S &amp; C</v>
      </c>
      <c r="S21" s="83" t="str">
        <f t="shared" ref="S21:S27" si="5">IF(P21=0,"0.00%",(T21-P21)/P21)</f>
        <v>0.00%</v>
      </c>
      <c r="T21" s="2">
        <f>ROUND(P21*(1+U19),0)</f>
        <v>0</v>
      </c>
      <c r="U21" s="36" t="str">
        <f>TEXT(U19,"0.0%")&amp;" = Est. S &amp; C"</f>
        <v>2.0% = Est. S &amp; C</v>
      </c>
      <c r="W21" s="83" t="str">
        <f t="shared" ref="W21:W27" si="6">IF(T21=0,"0.00%",(X21-T21)/T21)</f>
        <v>0.00%</v>
      </c>
      <c r="X21" s="2">
        <f>ROUND(T21*(1+Y19),0)</f>
        <v>0</v>
      </c>
      <c r="Y21" s="36" t="str">
        <f>TEXT(Y19,"0.0%")&amp;" = Est. S &amp; C"</f>
        <v>2.0% = Est. S &amp; C</v>
      </c>
      <c r="AA21" s="83" t="str">
        <f t="shared" ref="AA21:AA27" si="7">IF(X21=0,"0.00%",(AB21-X21)/X21)</f>
        <v>0.00%</v>
      </c>
      <c r="AB21" s="2">
        <f>ROUND(X21*(1+AC19),0)</f>
        <v>0</v>
      </c>
      <c r="AC21" s="36" t="str">
        <f>TEXT(AC19,"0.0%")&amp;" = Est. S &amp; C"</f>
        <v>2.0% = Est. S &amp; C</v>
      </c>
    </row>
    <row r="22" spans="1:29" hidden="1" x14ac:dyDescent="0.25">
      <c r="A22" s="152"/>
      <c r="B22" s="939"/>
      <c r="D22" s="2">
        <v>0</v>
      </c>
      <c r="E22" s="863"/>
      <c r="F22" s="2"/>
      <c r="G22" s="83" t="str">
        <f t="shared" si="1"/>
        <v>0.00%</v>
      </c>
      <c r="H22" s="2">
        <f t="shared" si="2"/>
        <v>0</v>
      </c>
      <c r="I22" s="871"/>
      <c r="J22" s="66"/>
      <c r="K22" s="83" t="str">
        <f t="shared" si="3"/>
        <v>0.00%</v>
      </c>
      <c r="L22" s="2">
        <f>ROUND(H22*(1+M19),0)</f>
        <v>0</v>
      </c>
      <c r="M22" s="871" t="str">
        <f>TEXT(M19,"0.0%")&amp;" = Est. S &amp; C"</f>
        <v>2.0% = Est. S &amp; C</v>
      </c>
      <c r="O22" s="83" t="str">
        <f t="shared" si="4"/>
        <v>0.00%</v>
      </c>
      <c r="P22" s="2">
        <f>ROUND(L22*(1+Q19),0)</f>
        <v>0</v>
      </c>
      <c r="Q22" s="871" t="str">
        <f>TEXT(Q19,"0.0%")&amp;" = Est. S &amp; C"</f>
        <v>2.0% = Est. S &amp; C</v>
      </c>
      <c r="S22" s="83" t="str">
        <f t="shared" si="5"/>
        <v>0.00%</v>
      </c>
      <c r="T22" s="2">
        <f>ROUND(P22*(1+U19),0)</f>
        <v>0</v>
      </c>
      <c r="U22" s="36" t="str">
        <f>TEXT(U19,"0.0%")&amp;" = Est. S &amp; C"</f>
        <v>2.0% = Est. S &amp; C</v>
      </c>
      <c r="W22" s="83" t="str">
        <f t="shared" si="6"/>
        <v>0.00%</v>
      </c>
      <c r="X22" s="2">
        <f>ROUND(T22*(1+Y19),0)</f>
        <v>0</v>
      </c>
      <c r="Y22" s="36" t="str">
        <f>TEXT(Y19,"0.0%")&amp;" = Est. S &amp; C"</f>
        <v>2.0% = Est. S &amp; C</v>
      </c>
      <c r="AA22" s="83" t="str">
        <f t="shared" si="7"/>
        <v>0.00%</v>
      </c>
      <c r="AB22" s="2">
        <f>ROUND(X22*(1+AC19),0)</f>
        <v>0</v>
      </c>
      <c r="AC22" s="36" t="str">
        <f>TEXT(AC19,"0.0%")&amp;" = Est. S &amp; C"</f>
        <v>2.0% = Est. S &amp; C</v>
      </c>
    </row>
    <row r="23" spans="1:29" hidden="1" x14ac:dyDescent="0.25">
      <c r="A23" s="152"/>
      <c r="B23" s="939"/>
      <c r="D23" s="2">
        <v>0</v>
      </c>
      <c r="E23" s="863"/>
      <c r="F23" s="2"/>
      <c r="G23" s="83" t="str">
        <f t="shared" si="1"/>
        <v>0.00%</v>
      </c>
      <c r="H23" s="2">
        <f t="shared" si="2"/>
        <v>0</v>
      </c>
      <c r="I23" s="871"/>
      <c r="J23" s="66"/>
      <c r="K23" s="83" t="str">
        <f t="shared" si="3"/>
        <v>0.00%</v>
      </c>
      <c r="L23" s="2">
        <f>ROUND(H23*(1+M19),0)</f>
        <v>0</v>
      </c>
      <c r="M23" s="871" t="str">
        <f>TEXT(M19,"0.0%")&amp;" = Est. S &amp; C"</f>
        <v>2.0% = Est. S &amp; C</v>
      </c>
      <c r="O23" s="83" t="str">
        <f t="shared" si="4"/>
        <v>0.00%</v>
      </c>
      <c r="P23" s="2">
        <f>ROUND(L23*(1+Q19),0)</f>
        <v>0</v>
      </c>
      <c r="Q23" s="871" t="str">
        <f>TEXT(Q19,"0.0%")&amp;" = Est. S &amp; C"</f>
        <v>2.0% = Est. S &amp; C</v>
      </c>
      <c r="S23" s="83" t="str">
        <f t="shared" si="5"/>
        <v>0.00%</v>
      </c>
      <c r="T23" s="2">
        <f>ROUND(P23*(1+U19),0)</f>
        <v>0</v>
      </c>
      <c r="U23" s="36" t="str">
        <f>TEXT(U19,"0.0%")&amp;" = Est. S &amp; C"</f>
        <v>2.0% = Est. S &amp; C</v>
      </c>
      <c r="W23" s="83" t="str">
        <f t="shared" si="6"/>
        <v>0.00%</v>
      </c>
      <c r="X23" s="2">
        <f>ROUND(T23*(1+Y19),0)</f>
        <v>0</v>
      </c>
      <c r="Y23" s="36" t="str">
        <f>TEXT(Y19,"0.0%")&amp;" = Est. S &amp; C"</f>
        <v>2.0% = Est. S &amp; C</v>
      </c>
      <c r="AA23" s="83" t="str">
        <f t="shared" si="7"/>
        <v>0.00%</v>
      </c>
      <c r="AB23" s="2">
        <f>ROUND(X23*(1+AC19),0)</f>
        <v>0</v>
      </c>
      <c r="AC23" s="36" t="str">
        <f>TEXT(AC19,"0.0%")&amp;" = Est. S &amp; C"</f>
        <v>2.0% = Est. S &amp; C</v>
      </c>
    </row>
    <row r="24" spans="1:29" hidden="1" x14ac:dyDescent="0.25">
      <c r="A24" s="152"/>
      <c r="B24" s="939"/>
      <c r="D24" s="2">
        <v>0</v>
      </c>
      <c r="E24" s="863"/>
      <c r="F24" s="2"/>
      <c r="G24" s="83" t="str">
        <f t="shared" si="1"/>
        <v>0.00%</v>
      </c>
      <c r="H24" s="2">
        <f t="shared" si="2"/>
        <v>0</v>
      </c>
      <c r="I24" s="871"/>
      <c r="J24" s="66"/>
      <c r="K24" s="83" t="str">
        <f t="shared" si="3"/>
        <v>0.00%</v>
      </c>
      <c r="L24" s="2">
        <f>ROUND(H24*(1+M19),0)</f>
        <v>0</v>
      </c>
      <c r="M24" s="871" t="str">
        <f>TEXT(M19,"0.0%")&amp;" = Est. S &amp; C"</f>
        <v>2.0% = Est. S &amp; C</v>
      </c>
      <c r="O24" s="83" t="str">
        <f t="shared" si="4"/>
        <v>0.00%</v>
      </c>
      <c r="P24" s="2">
        <f>ROUND(L24*(1+Q19),0)</f>
        <v>0</v>
      </c>
      <c r="Q24" s="871" t="str">
        <f>TEXT(Q19,"0.0%")&amp;" = Est. S &amp; C"</f>
        <v>2.0% = Est. S &amp; C</v>
      </c>
      <c r="S24" s="83" t="str">
        <f t="shared" si="5"/>
        <v>0.00%</v>
      </c>
      <c r="T24" s="2">
        <f>ROUND(P24*(1+U19),0)</f>
        <v>0</v>
      </c>
      <c r="U24" s="36" t="str">
        <f>TEXT(U19,"0.0%")&amp;" = Est. S &amp; C"</f>
        <v>2.0% = Est. S &amp; C</v>
      </c>
      <c r="W24" s="83" t="str">
        <f t="shared" si="6"/>
        <v>0.00%</v>
      </c>
      <c r="X24" s="2">
        <f>ROUND(T24*(1+Y19),0)</f>
        <v>0</v>
      </c>
      <c r="Y24" s="36" t="str">
        <f>TEXT(Y19,"0.0%")&amp;" = Est. S &amp; C"</f>
        <v>2.0% = Est. S &amp; C</v>
      </c>
      <c r="AA24" s="83" t="str">
        <f t="shared" si="7"/>
        <v>0.00%</v>
      </c>
      <c r="AB24" s="2">
        <f>ROUND(X24*(1+AC19),0)</f>
        <v>0</v>
      </c>
      <c r="AC24" s="36" t="str">
        <f>TEXT(AC19,"0.0%")&amp;" = Est. S &amp; C"</f>
        <v>2.0% = Est. S &amp; C</v>
      </c>
    </row>
    <row r="25" spans="1:29" hidden="1" x14ac:dyDescent="0.25">
      <c r="A25" s="152"/>
      <c r="B25" s="939"/>
      <c r="D25" s="2">
        <v>0</v>
      </c>
      <c r="E25" s="863"/>
      <c r="F25" s="2"/>
      <c r="G25" s="83" t="str">
        <f t="shared" si="1"/>
        <v>0.00%</v>
      </c>
      <c r="H25" s="2">
        <f t="shared" si="2"/>
        <v>0</v>
      </c>
      <c r="I25" s="871"/>
      <c r="J25" s="66"/>
      <c r="K25" s="83" t="str">
        <f t="shared" si="3"/>
        <v>0.00%</v>
      </c>
      <c r="L25" s="2">
        <f>ROUND(H25*(1+M19),0)</f>
        <v>0</v>
      </c>
      <c r="M25" s="871" t="str">
        <f>TEXT(M19,"0.0%")&amp;" = Est. S &amp; C"</f>
        <v>2.0% = Est. S &amp; C</v>
      </c>
      <c r="O25" s="83" t="str">
        <f t="shared" si="4"/>
        <v>0.00%</v>
      </c>
      <c r="P25" s="2">
        <f>ROUND(L25*(1+Q19),0)</f>
        <v>0</v>
      </c>
      <c r="Q25" s="871" t="str">
        <f>TEXT(Q19,"0.0%")&amp;" = Est. S &amp; C"</f>
        <v>2.0% = Est. S &amp; C</v>
      </c>
      <c r="S25" s="83" t="str">
        <f t="shared" si="5"/>
        <v>0.00%</v>
      </c>
      <c r="T25" s="2">
        <f>ROUND(P25*(1+U19),0)</f>
        <v>0</v>
      </c>
      <c r="U25" s="36" t="str">
        <f>TEXT(U19,"0.0%")&amp;" = Est. S &amp; C"</f>
        <v>2.0% = Est. S &amp; C</v>
      </c>
      <c r="W25" s="83" t="str">
        <f t="shared" si="6"/>
        <v>0.00%</v>
      </c>
      <c r="X25" s="2">
        <f>ROUND(T25*(1+Y19),0)</f>
        <v>0</v>
      </c>
      <c r="Y25" s="36" t="str">
        <f>TEXT(Y19,"0.0%")&amp;" = Est. S &amp; C"</f>
        <v>2.0% = Est. S &amp; C</v>
      </c>
      <c r="AA25" s="83" t="str">
        <f t="shared" si="7"/>
        <v>0.00%</v>
      </c>
      <c r="AB25" s="2">
        <f>ROUND(X25*(1+AC19),0)</f>
        <v>0</v>
      </c>
      <c r="AC25" s="36" t="str">
        <f>TEXT(AC19,"0.0%")&amp;" = Est. S &amp; C"</f>
        <v>2.0% = Est. S &amp; C</v>
      </c>
    </row>
    <row r="26" spans="1:29" hidden="1" x14ac:dyDescent="0.25">
      <c r="A26" s="152"/>
      <c r="B26" s="939"/>
      <c r="D26" s="2">
        <v>0</v>
      </c>
      <c r="E26" s="863"/>
      <c r="F26" s="2"/>
      <c r="G26" s="83" t="str">
        <f t="shared" si="1"/>
        <v>0.00%</v>
      </c>
      <c r="H26" s="2">
        <f t="shared" si="2"/>
        <v>0</v>
      </c>
      <c r="I26" s="871"/>
      <c r="J26" s="66"/>
      <c r="K26" s="83" t="str">
        <f t="shared" si="3"/>
        <v>0.00%</v>
      </c>
      <c r="L26" s="2">
        <f>ROUND(H26*(1+M19),0)</f>
        <v>0</v>
      </c>
      <c r="M26" s="382" t="str">
        <f>TEXT(M19,"0.0%")&amp;" = Est. S &amp; C"</f>
        <v>2.0% = Est. S &amp; C</v>
      </c>
      <c r="O26" s="83" t="str">
        <f t="shared" si="4"/>
        <v>0.00%</v>
      </c>
      <c r="P26" s="2">
        <f>ROUND(L26*(1+Q19),0)</f>
        <v>0</v>
      </c>
      <c r="Q26" s="871" t="str">
        <f>TEXT(Q19,"0.0%")&amp;" = Est. S &amp; C"</f>
        <v>2.0% = Est. S &amp; C</v>
      </c>
      <c r="S26" s="83" t="str">
        <f t="shared" si="5"/>
        <v>0.00%</v>
      </c>
      <c r="T26" s="2">
        <f>ROUND(P26*(1+U19),0)</f>
        <v>0</v>
      </c>
      <c r="U26" s="36" t="str">
        <f>TEXT(U19,"0.0%")&amp;" = Est. S &amp; C"</f>
        <v>2.0% = Est. S &amp; C</v>
      </c>
      <c r="W26" s="83" t="str">
        <f t="shared" si="6"/>
        <v>0.00%</v>
      </c>
      <c r="X26" s="2">
        <f>ROUND(T26*(1+Y19),0)</f>
        <v>0</v>
      </c>
      <c r="Y26" s="36" t="str">
        <f>TEXT(Y19,"0.0%")&amp;" = Est. S &amp; C"</f>
        <v>2.0% = Est. S &amp; C</v>
      </c>
      <c r="AA26" s="83" t="str">
        <f t="shared" si="7"/>
        <v>0.00%</v>
      </c>
      <c r="AB26" s="2">
        <f>ROUND(X26*(1+AC19),0)</f>
        <v>0</v>
      </c>
      <c r="AC26" s="36" t="str">
        <f>TEXT(AC19,"0.0%")&amp;" = Est. S &amp; C"</f>
        <v>2.0% = Est. S &amp; C</v>
      </c>
    </row>
    <row r="27" spans="1:29" hidden="1" x14ac:dyDescent="0.25">
      <c r="A27" s="152"/>
      <c r="B27" s="939"/>
      <c r="D27" s="2">
        <v>0</v>
      </c>
      <c r="E27" s="863"/>
      <c r="F27" s="2"/>
      <c r="G27" s="83" t="str">
        <f t="shared" si="1"/>
        <v>0.00%</v>
      </c>
      <c r="H27" s="2">
        <f t="shared" si="2"/>
        <v>0</v>
      </c>
      <c r="I27" s="871"/>
      <c r="J27" s="66"/>
      <c r="K27" s="83" t="str">
        <f t="shared" si="3"/>
        <v>0.00%</v>
      </c>
      <c r="L27" s="2">
        <f>ROUND(H27*(1+M19),0)</f>
        <v>0</v>
      </c>
      <c r="M27" s="871" t="str">
        <f>TEXT(M19,"0.0%")&amp;" = Est. S &amp; C"</f>
        <v>2.0% = Est. S &amp; C</v>
      </c>
      <c r="O27" s="83" t="str">
        <f t="shared" si="4"/>
        <v>0.00%</v>
      </c>
      <c r="P27" s="2">
        <f>ROUND(L27*(1+Q19),0)</f>
        <v>0</v>
      </c>
      <c r="Q27" s="871" t="str">
        <f>TEXT(Q19,"0.0%")&amp;" = Est. S &amp; C"</f>
        <v>2.0% = Est. S &amp; C</v>
      </c>
      <c r="S27" s="83" t="str">
        <f t="shared" si="5"/>
        <v>0.00%</v>
      </c>
      <c r="T27" s="2">
        <f>ROUND(P27*(1+U19),0)</f>
        <v>0</v>
      </c>
      <c r="U27" s="36" t="str">
        <f>TEXT(U19,"0.0%")&amp;" = Est. S &amp; C"</f>
        <v>2.0% = Est. S &amp; C</v>
      </c>
      <c r="W27" s="83" t="str">
        <f t="shared" si="6"/>
        <v>0.00%</v>
      </c>
      <c r="X27" s="2">
        <f>ROUND(T27*(1+Y19),0)</f>
        <v>0</v>
      </c>
      <c r="Y27" s="36" t="str">
        <f>TEXT(Y19,"0.0%")&amp;" = Est. S &amp; C"</f>
        <v>2.0% = Est. S &amp; C</v>
      </c>
      <c r="AA27" s="83" t="str">
        <f t="shared" si="7"/>
        <v>0.00%</v>
      </c>
      <c r="AB27" s="2">
        <f>ROUND(X27*(1+AC19),0)</f>
        <v>0</v>
      </c>
      <c r="AC27" s="36" t="str">
        <f>TEXT(AC19,"0.0%")&amp;" = Est. S &amp; C"</f>
        <v>2.0% = Est. S &amp; C</v>
      </c>
    </row>
    <row r="28" spans="1:29" hidden="1" x14ac:dyDescent="0.25">
      <c r="A28" s="152"/>
      <c r="B28" s="939"/>
      <c r="D28" s="2">
        <v>0</v>
      </c>
      <c r="E28" s="863"/>
      <c r="F28" s="2"/>
      <c r="G28" s="83" t="str">
        <f>IF(D28=0,"0.00%",(H28-D28)/D28)</f>
        <v>0.00%</v>
      </c>
      <c r="H28" s="2">
        <f>ROUND(D28*(1+$I$19),0)</f>
        <v>0</v>
      </c>
      <c r="I28" s="871"/>
      <c r="J28" s="66"/>
      <c r="K28" s="83" t="str">
        <f>IF(H28=0,"0.00%",(L28-H28)/H28)</f>
        <v>0.00%</v>
      </c>
      <c r="L28" s="2">
        <f>ROUND(H28*(1+M20),0)</f>
        <v>0</v>
      </c>
      <c r="M28" s="871" t="str">
        <f>TEXT(M20,"0.0%")&amp;" = Est. S &amp; C"</f>
        <v>0.0% = Est. S &amp; C</v>
      </c>
      <c r="O28" s="83" t="str">
        <f>IF(L28=0,"0.00%",(P28-L28)/L28)</f>
        <v>0.00%</v>
      </c>
      <c r="P28" s="2">
        <f>ROUND(L28*(1+Q20),0)</f>
        <v>0</v>
      </c>
      <c r="Q28" s="871"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939"/>
      <c r="E29" s="863"/>
      <c r="F29" s="2"/>
      <c r="G29" s="83"/>
      <c r="H29" s="2"/>
      <c r="I29" s="871"/>
      <c r="J29" s="66"/>
      <c r="L29" s="2"/>
      <c r="M29" s="948"/>
      <c r="Q29" s="948"/>
      <c r="T29" s="2"/>
      <c r="U29" s="73"/>
      <c r="X29" s="2"/>
      <c r="Y29" s="73"/>
      <c r="AB29" s="2"/>
      <c r="AC29" s="73"/>
    </row>
    <row r="30" spans="1:29" hidden="1" x14ac:dyDescent="0.25">
      <c r="A30" s="153"/>
      <c r="B30" s="939"/>
      <c r="D30" s="8">
        <f>SUM(D21:D29)</f>
        <v>0</v>
      </c>
      <c r="E30" s="863"/>
      <c r="F30" s="2"/>
      <c r="G30" s="83" t="str">
        <f t="shared" si="1"/>
        <v>0.00%</v>
      </c>
      <c r="H30" s="8">
        <f>SUM(H21:H29)</f>
        <v>0</v>
      </c>
      <c r="I30" s="872"/>
      <c r="J30" s="29"/>
      <c r="K30" s="83" t="str">
        <f>IF(H30=0,"0.00%",(L30-H30)/H30)</f>
        <v>0.00%</v>
      </c>
      <c r="L30" s="8">
        <f>SUM(L21:L29)</f>
        <v>0</v>
      </c>
      <c r="M30" s="948"/>
      <c r="O30" s="83" t="str">
        <f>IF(L30=0,"0.00%",(P30-L30)/L30)</f>
        <v>0.00%</v>
      </c>
      <c r="P30" s="8">
        <f>SUM(P21:P29)</f>
        <v>0</v>
      </c>
      <c r="Q30" s="948"/>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x14ac:dyDescent="0.25">
      <c r="A31" s="152"/>
      <c r="E31" s="863"/>
      <c r="F31" s="2"/>
      <c r="H31" s="2"/>
      <c r="I31" s="854"/>
      <c r="J31" s="66"/>
      <c r="L31" s="2"/>
      <c r="M31" s="949"/>
      <c r="Q31" s="949"/>
      <c r="T31" s="2"/>
      <c r="U31" s="73"/>
      <c r="X31" s="2"/>
      <c r="Y31" s="73"/>
      <c r="AB31" s="2"/>
      <c r="AC31" s="73"/>
    </row>
    <row r="32" spans="1:29" s="4" customFormat="1" x14ac:dyDescent="0.25">
      <c r="A32" s="150"/>
      <c r="B32" s="940" t="s">
        <v>35</v>
      </c>
      <c r="C32" s="873"/>
      <c r="D32" s="6"/>
      <c r="E32" s="864"/>
      <c r="F32" s="6"/>
      <c r="G32" s="373"/>
      <c r="H32" s="6"/>
      <c r="I32" s="864"/>
      <c r="J32" s="57"/>
      <c r="K32" s="380"/>
      <c r="L32" s="6"/>
      <c r="M32" s="950"/>
      <c r="O32" s="380"/>
      <c r="P32" s="6"/>
      <c r="Q32" s="950"/>
      <c r="R32" s="111"/>
      <c r="T32" s="6"/>
      <c r="U32" s="71"/>
      <c r="X32" s="6"/>
      <c r="Y32" s="71"/>
      <c r="AB32" s="6"/>
      <c r="AC32" s="71"/>
    </row>
    <row r="33" spans="1:29" x14ac:dyDescent="0.25">
      <c r="A33" s="152"/>
      <c r="B33" s="939">
        <v>2102</v>
      </c>
      <c r="C33" s="857" t="s">
        <v>416</v>
      </c>
      <c r="D33" s="2">
        <v>55180.44</v>
      </c>
      <c r="E33" s="863"/>
      <c r="F33" s="2"/>
      <c r="G33" s="83">
        <f t="shared" ref="G33:G39" si="8">IF(D33=0,"0.00%",(H33-D33)/D33)</f>
        <v>0.11974460515356523</v>
      </c>
      <c r="H33" s="2">
        <v>61788</v>
      </c>
      <c r="I33" s="871"/>
      <c r="J33" s="66"/>
      <c r="K33" s="83">
        <f t="shared" ref="K33:K39" si="9">IF(H33=0,"0.00%",(L33-H33)/H33)</f>
        <v>2.000388424936881E-2</v>
      </c>
      <c r="L33" s="2">
        <f>ROUND(H33*(1+M19),0)</f>
        <v>63024</v>
      </c>
      <c r="M33" s="871" t="str">
        <f>TEXT(M19,"0.0%")&amp;" = Est. S &amp; C"</f>
        <v>2.0% = Est. S &amp; C</v>
      </c>
      <c r="O33" s="83">
        <f t="shared" ref="O33:O39" si="10">IF(L33=0,"0.00%",(P33-L33)/L33)</f>
        <v>1.9992383853769991E-2</v>
      </c>
      <c r="P33" s="2">
        <f>ROUND(L33*(1+Q19),0)</f>
        <v>64284</v>
      </c>
      <c r="Q33" s="871" t="str">
        <f>TEXT(Q19,"0.0%")&amp;" = Est. S &amp; C"</f>
        <v>2.0% = Est. S &amp; C</v>
      </c>
      <c r="S33" s="83">
        <f t="shared" ref="S33:S39" si="11">IF(P33=0,"0.00%",(T33-P33)/P33)</f>
        <v>2.0004977910522057E-2</v>
      </c>
      <c r="T33" s="2">
        <f>ROUND(P33*(1+U19),0)</f>
        <v>65570</v>
      </c>
      <c r="U33" s="36" t="str">
        <f>TEXT(U19,"0.0%")&amp;" = Est. S &amp; C"</f>
        <v>2.0% = Est. S &amp; C</v>
      </c>
      <c r="W33" s="83">
        <f t="shared" ref="W33:W39" si="12">IF(T33=0,"0.00%",(X33-T33)/T33)</f>
        <v>1.9993899649229832E-2</v>
      </c>
      <c r="X33" s="2">
        <f>ROUND(T33*(1+Y19),0)</f>
        <v>66881</v>
      </c>
      <c r="Y33" s="36" t="str">
        <f>TEXT(Y19,"0.0%")&amp;" = Est. S &amp; C"</f>
        <v>2.0% = Est. S &amp; C</v>
      </c>
      <c r="AA33" s="83">
        <f t="shared" ref="AA33:AA39" si="13">IF(X33=0,"0.00%",(AB33-X33)/X33)</f>
        <v>2.0005681733227674E-2</v>
      </c>
      <c r="AB33" s="2">
        <f>ROUND(X33*(1+AC19),0)</f>
        <v>68219</v>
      </c>
      <c r="AC33" s="36" t="str">
        <f>TEXT(AC19,"0.0%")&amp;" = Est. S &amp; C"</f>
        <v>2.0% = Est. S &amp; C</v>
      </c>
    </row>
    <row r="34" spans="1:29" x14ac:dyDescent="0.25">
      <c r="A34" s="152"/>
      <c r="B34" s="939">
        <v>2104</v>
      </c>
      <c r="C34" s="857" t="s">
        <v>416</v>
      </c>
      <c r="D34" s="2">
        <v>351286.91</v>
      </c>
      <c r="E34" s="863"/>
      <c r="F34" s="2"/>
      <c r="G34" s="83">
        <f t="shared" si="8"/>
        <v>-0.1428971833877897</v>
      </c>
      <c r="H34" s="2">
        <v>301089</v>
      </c>
      <c r="I34" s="871"/>
      <c r="J34" s="66"/>
      <c r="K34" s="83">
        <f t="shared" si="9"/>
        <v>2.0000730680961445E-2</v>
      </c>
      <c r="L34" s="2">
        <f>ROUND(H34*(1+M19),0)</f>
        <v>307111</v>
      </c>
      <c r="M34" s="871" t="str">
        <f>TEXT(M19,"0.0%")&amp;" = Est. S &amp; C"</f>
        <v>2.0% = Est. S &amp; C</v>
      </c>
      <c r="O34" s="83">
        <f t="shared" si="10"/>
        <v>1.9999283646629396E-2</v>
      </c>
      <c r="P34" s="2">
        <f>ROUND(L34*(1+Q19),0)</f>
        <v>313253</v>
      </c>
      <c r="Q34" s="871" t="str">
        <f>TEXT(Q19,"0.0%")&amp;" = Est. S &amp; C"</f>
        <v>2.0% = Est. S &amp; C</v>
      </c>
      <c r="S34" s="83">
        <f t="shared" si="11"/>
        <v>1.9999808461531095E-2</v>
      </c>
      <c r="T34" s="2">
        <f>ROUND(P34*(1+U19),0)</f>
        <v>319518</v>
      </c>
      <c r="U34" s="36" t="str">
        <f>TEXT(U19,"0.0%")&amp;" = Est. S &amp; C"</f>
        <v>2.0% = Est. S &amp; C</v>
      </c>
      <c r="W34" s="83">
        <f t="shared" si="12"/>
        <v>1.9998873302912511E-2</v>
      </c>
      <c r="X34" s="2">
        <f>ROUND(T34*(1+Y19),0)</f>
        <v>325908</v>
      </c>
      <c r="Y34" s="36" t="str">
        <f>TEXT(Y19,"0.0%")&amp;" = Est. S &amp; C"</f>
        <v>2.0% = Est. S &amp; C</v>
      </c>
      <c r="AA34" s="83">
        <f t="shared" si="13"/>
        <v>1.9999509063907607E-2</v>
      </c>
      <c r="AB34" s="2">
        <f>ROUND(X34*(1+AC19),0)</f>
        <v>332426</v>
      </c>
      <c r="AC34" s="36" t="str">
        <f>TEXT(AC19,"0.0%")&amp;" = Est. S &amp; C"</f>
        <v>2.0% = Est. S &amp; C</v>
      </c>
    </row>
    <row r="35" spans="1:29" x14ac:dyDescent="0.25">
      <c r="A35" s="152"/>
      <c r="B35" s="939">
        <v>2106</v>
      </c>
      <c r="C35" s="857" t="s">
        <v>416</v>
      </c>
      <c r="D35" s="2">
        <v>785201.93</v>
      </c>
      <c r="E35" s="863"/>
      <c r="F35" s="2"/>
      <c r="G35" s="83">
        <f t="shared" si="8"/>
        <v>1.6459549456278016E-2</v>
      </c>
      <c r="H35" s="2">
        <v>798126</v>
      </c>
      <c r="I35" s="871"/>
      <c r="J35" s="66"/>
      <c r="K35" s="83">
        <f t="shared" si="9"/>
        <v>2.0000601408800115E-2</v>
      </c>
      <c r="L35" s="2">
        <f>ROUND(H35*(1+M19),0)</f>
        <v>814089</v>
      </c>
      <c r="M35" s="871" t="str">
        <f>TEXT(M19,"0.0%")&amp;" = Est. S &amp; C"</f>
        <v>2.0% = Est. S &amp; C</v>
      </c>
      <c r="O35" s="83">
        <f t="shared" si="10"/>
        <v>2.0000270240723067E-2</v>
      </c>
      <c r="P35" s="2">
        <f>ROUND(L35*(1+Q19),0)</f>
        <v>830371</v>
      </c>
      <c r="Q35" s="871" t="str">
        <f>TEXT(Q19,"0.0%")&amp;" = Est. S &amp; C"</f>
        <v>2.0% = Est. S &amp; C</v>
      </c>
      <c r="S35" s="83">
        <f t="shared" si="11"/>
        <v>1.9999494201989231E-2</v>
      </c>
      <c r="T35" s="2">
        <f>ROUND(P35*(1+U19),0)</f>
        <v>846978</v>
      </c>
      <c r="U35" s="36" t="str">
        <f>TEXT(U19,"0.0%")&amp;" = Est. S &amp; C"</f>
        <v>2.0% = Est. S &amp; C</v>
      </c>
      <c r="W35" s="83">
        <f t="shared" si="12"/>
        <v>2.0000519494012832E-2</v>
      </c>
      <c r="X35" s="2">
        <f>ROUND(T35*(1+Y19),0)</f>
        <v>863918</v>
      </c>
      <c r="Y35" s="36" t="str">
        <f>TEXT(Y19,"0.0%")&amp;" = Est. S &amp; C"</f>
        <v>2.0% = Est. S &amp; C</v>
      </c>
      <c r="AA35" s="83">
        <f t="shared" si="13"/>
        <v>1.9999583293784828E-2</v>
      </c>
      <c r="AB35" s="2">
        <f>ROUND(X35*(1+AC19),0)</f>
        <v>881196</v>
      </c>
      <c r="AC35" s="36" t="str">
        <f>TEXT(AC19,"0.0%")&amp;" = Est. S &amp; C"</f>
        <v>2.0% = Est. S &amp; C</v>
      </c>
    </row>
    <row r="36" spans="1:29" x14ac:dyDescent="0.25">
      <c r="A36" s="152"/>
      <c r="B36" s="939">
        <v>2120</v>
      </c>
      <c r="C36" s="857" t="s">
        <v>416</v>
      </c>
      <c r="D36" s="2">
        <v>2351</v>
      </c>
      <c r="E36" s="863"/>
      <c r="F36" s="2"/>
      <c r="G36" s="83">
        <f t="shared" si="8"/>
        <v>-1</v>
      </c>
      <c r="H36" s="2">
        <v>0</v>
      </c>
      <c r="I36" s="871"/>
      <c r="J36" s="66"/>
      <c r="K36" s="83" t="str">
        <f t="shared" si="9"/>
        <v>0.00%</v>
      </c>
      <c r="L36" s="2">
        <v>0</v>
      </c>
      <c r="M36" s="871"/>
      <c r="O36" s="83" t="str">
        <f t="shared" si="10"/>
        <v>0.00%</v>
      </c>
      <c r="P36" s="2">
        <f>ROUND(L36*(1+Q19),0)</f>
        <v>0</v>
      </c>
      <c r="Q36" s="871"/>
      <c r="S36" s="83" t="str">
        <f t="shared" si="11"/>
        <v>0.00%</v>
      </c>
      <c r="T36" s="2">
        <f>ROUND(P36*(1+U19),0)</f>
        <v>0</v>
      </c>
      <c r="U36" s="36" t="str">
        <f>TEXT(U19,"0.0%")&amp;" = Est. S &amp; C"</f>
        <v>2.0% = Est. S &amp; C</v>
      </c>
      <c r="W36" s="83" t="str">
        <f t="shared" si="12"/>
        <v>0.00%</v>
      </c>
      <c r="X36" s="2">
        <f>ROUND(T36*(1+Y19),0)</f>
        <v>0</v>
      </c>
      <c r="Y36" s="36" t="str">
        <f>TEXT(Y19,"0.0%")&amp;" = Est. S &amp; C"</f>
        <v>2.0% = Est. S &amp; C</v>
      </c>
      <c r="AA36" s="83" t="str">
        <f t="shared" si="13"/>
        <v>0.00%</v>
      </c>
      <c r="AB36" s="2">
        <f>ROUND(X36*(1+AC19),0)</f>
        <v>0</v>
      </c>
      <c r="AC36" s="36" t="str">
        <f>TEXT(AC19,"0.0%")&amp;" = Est. S &amp; C"</f>
        <v>2.0% = Est. S &amp; C</v>
      </c>
    </row>
    <row r="37" spans="1:29" x14ac:dyDescent="0.25">
      <c r="A37" s="152"/>
      <c r="B37" s="939">
        <v>2121</v>
      </c>
      <c r="C37" s="857" t="s">
        <v>416</v>
      </c>
      <c r="D37" s="2">
        <v>28264.83</v>
      </c>
      <c r="E37" s="863"/>
      <c r="F37" s="2"/>
      <c r="G37" s="83">
        <f t="shared" si="8"/>
        <v>-1.994811219455421E-2</v>
      </c>
      <c r="H37" s="2">
        <v>27701</v>
      </c>
      <c r="I37" s="871"/>
      <c r="J37" s="66"/>
      <c r="K37" s="83">
        <f t="shared" si="9"/>
        <v>1.9999278004404174E-2</v>
      </c>
      <c r="L37" s="2">
        <f>ROUND(H37*(1+M19),0)</f>
        <v>28255</v>
      </c>
      <c r="M37" s="871" t="str">
        <f>TEXT(M19,"0.0%")&amp;" = Est. S &amp; C"</f>
        <v>2.0% = Est. S &amp; C</v>
      </c>
      <c r="O37" s="83">
        <f t="shared" si="10"/>
        <v>1.999646080339763E-2</v>
      </c>
      <c r="P37" s="2">
        <f>ROUND(L37*(1+Q19),0)</f>
        <v>28820</v>
      </c>
      <c r="Q37" s="871" t="str">
        <f>TEXT(Q19,"0.0%")&amp;" = Est. S &amp; C"</f>
        <v>2.0% = Est. S &amp; C</v>
      </c>
      <c r="S37" s="83">
        <f t="shared" si="11"/>
        <v>1.9986120749479527E-2</v>
      </c>
      <c r="T37" s="2">
        <f>ROUND(P37*(1+U19),0)</f>
        <v>29396</v>
      </c>
      <c r="U37" s="36" t="str">
        <f>TEXT(U19,"0.0%")&amp;" = Est. S &amp; C"</f>
        <v>2.0% = Est. S &amp; C</v>
      </c>
      <c r="W37" s="83">
        <f t="shared" si="12"/>
        <v>2.0002721458701866E-2</v>
      </c>
      <c r="X37" s="2">
        <f>ROUND(T37*(1+Y19),0)</f>
        <v>29984</v>
      </c>
      <c r="Y37" s="36" t="str">
        <f>TEXT(Y19,"0.0%")&amp;" = Est. S &amp; C"</f>
        <v>2.0% = Est. S &amp; C</v>
      </c>
      <c r="AA37" s="83">
        <f t="shared" si="13"/>
        <v>2.0010672358591247E-2</v>
      </c>
      <c r="AB37" s="2">
        <f>ROUND(X37*(1+AC19),0)</f>
        <v>30584</v>
      </c>
      <c r="AC37" s="36" t="str">
        <f>TEXT(AC19,"0.0%")&amp;" = Est. S &amp; C"</f>
        <v>2.0% = Est. S &amp; C</v>
      </c>
    </row>
    <row r="38" spans="1:29" x14ac:dyDescent="0.25">
      <c r="A38" s="152"/>
      <c r="B38" s="939">
        <v>2204</v>
      </c>
      <c r="C38" s="857" t="s">
        <v>232</v>
      </c>
      <c r="D38" s="2">
        <v>54783.18</v>
      </c>
      <c r="E38" s="863"/>
      <c r="F38" s="2"/>
      <c r="G38" s="83">
        <f t="shared" si="8"/>
        <v>7.3595946785126376E-2</v>
      </c>
      <c r="H38" s="2">
        <v>58815</v>
      </c>
      <c r="I38" s="871"/>
      <c r="J38" s="66"/>
      <c r="K38" s="83">
        <f t="shared" si="9"/>
        <v>1.9994899260392756E-2</v>
      </c>
      <c r="L38" s="2">
        <f>ROUND(H38*(1+M19),0)</f>
        <v>59991</v>
      </c>
      <c r="M38" s="871" t="str">
        <f>TEXT(M19,"0.0%")&amp;" = Est. S &amp; C"</f>
        <v>2.0% = Est. S &amp; C</v>
      </c>
      <c r="O38" s="83">
        <f t="shared" si="10"/>
        <v>2.0003000450067511E-2</v>
      </c>
      <c r="P38" s="2">
        <f>ROUND(L38*(1+Q19),0)</f>
        <v>61191</v>
      </c>
      <c r="Q38" s="871" t="str">
        <f>TEXT(Q19,"0.0%")&amp;" = Est. S &amp; C"</f>
        <v>2.0% = Est. S &amp; C</v>
      </c>
      <c r="S38" s="83">
        <f t="shared" si="11"/>
        <v>2.0002941609060156E-2</v>
      </c>
      <c r="T38" s="2">
        <f>ROUND(P38*(1+U19),0)</f>
        <v>62415</v>
      </c>
      <c r="U38" s="36" t="str">
        <f>TEXT(U19,"0.0%")&amp;" = Est. S &amp; C"</f>
        <v>2.0% = Est. S &amp; C</v>
      </c>
      <c r="W38" s="83">
        <f t="shared" si="12"/>
        <v>1.999519346310983E-2</v>
      </c>
      <c r="X38" s="2">
        <f>ROUND(T38*(1+Y19),0)</f>
        <v>63663</v>
      </c>
      <c r="Y38" s="36" t="str">
        <f>TEXT(Y19,"0.0%")&amp;" = Est. S &amp; C"</f>
        <v>2.0% = Est. S &amp; C</v>
      </c>
      <c r="AA38" s="83">
        <f t="shared" si="13"/>
        <v>1.9995915995162025E-2</v>
      </c>
      <c r="AB38" s="2">
        <f>ROUND(X38*(1+AC19),0)</f>
        <v>64936</v>
      </c>
      <c r="AC38" s="36" t="str">
        <f>TEXT(AC19,"0.0%")&amp;" = Est. S &amp; C"</f>
        <v>2.0% = Est. S &amp; C</v>
      </c>
    </row>
    <row r="39" spans="1:29" x14ac:dyDescent="0.25">
      <c r="A39" s="152"/>
      <c r="B39" s="939">
        <v>2100</v>
      </c>
      <c r="C39" s="857" t="s">
        <v>998</v>
      </c>
      <c r="D39" s="2">
        <v>0</v>
      </c>
      <c r="E39" s="863"/>
      <c r="F39" s="2"/>
      <c r="G39" s="83" t="str">
        <f t="shared" si="8"/>
        <v>0.00%</v>
      </c>
      <c r="H39" s="2">
        <v>18575</v>
      </c>
      <c r="I39" s="871"/>
      <c r="J39" s="66"/>
      <c r="K39" s="83">
        <f t="shared" si="9"/>
        <v>-3.0156123822341856</v>
      </c>
      <c r="L39" s="161">
        <v>-37440</v>
      </c>
      <c r="M39" s="954" t="s">
        <v>271</v>
      </c>
      <c r="O39" s="83">
        <f t="shared" si="10"/>
        <v>1.4198985042735042</v>
      </c>
      <c r="P39" s="161">
        <f>-87000-4000+399</f>
        <v>-90601</v>
      </c>
      <c r="Q39" s="954" t="str">
        <f>+M39</f>
        <v>Transfer to RS 6500</v>
      </c>
      <c r="S39" s="83">
        <f t="shared" si="11"/>
        <v>1.9999779251884637E-2</v>
      </c>
      <c r="T39" s="2">
        <f>ROUND(P39*(1+U19),0)</f>
        <v>-92413</v>
      </c>
      <c r="U39" s="36" t="str">
        <f>TEXT(U19,"0.0%")&amp;" = Est. S &amp; C"</f>
        <v>2.0% = Est. S &amp; C</v>
      </c>
      <c r="W39" s="83">
        <f t="shared" si="12"/>
        <v>1.9997186543018838E-2</v>
      </c>
      <c r="X39" s="2">
        <f>ROUND(T39*(1+Y19),0)</f>
        <v>-94261</v>
      </c>
      <c r="Y39" s="36" t="str">
        <f>TEXT(Y19,"0.0%")&amp;" = Est. S &amp; C"</f>
        <v>2.0% = Est. S &amp; C</v>
      </c>
      <c r="AA39" s="83">
        <f t="shared" si="13"/>
        <v>1.9997666054890145E-2</v>
      </c>
      <c r="AB39" s="2">
        <f>ROUND(X39*(1+AC19),0)</f>
        <v>-96146</v>
      </c>
      <c r="AC39" s="36" t="str">
        <f>TEXT(AC19,"0.0%")&amp;" = Est. S &amp; C"</f>
        <v>2.0% = Est. S &amp; C</v>
      </c>
    </row>
    <row r="40" spans="1:29" x14ac:dyDescent="0.25">
      <c r="A40" s="152"/>
      <c r="B40" s="939"/>
      <c r="E40" s="863"/>
      <c r="F40" s="2"/>
      <c r="H40" s="2"/>
      <c r="I40" s="871"/>
      <c r="J40" s="66"/>
      <c r="L40" s="2"/>
      <c r="M40" s="948"/>
      <c r="Q40" s="948"/>
      <c r="T40" s="2"/>
      <c r="U40" s="73"/>
      <c r="X40" s="2"/>
      <c r="Y40" s="73"/>
      <c r="AB40" s="2"/>
      <c r="AC40" s="73"/>
    </row>
    <row r="41" spans="1:29" x14ac:dyDescent="0.25">
      <c r="A41" s="153"/>
      <c r="B41" s="939"/>
      <c r="D41" s="8">
        <f>SUM(D33:D40)</f>
        <v>1277068.29</v>
      </c>
      <c r="E41" s="863"/>
      <c r="F41" s="2"/>
      <c r="G41" s="83">
        <f>IF(D41=0,"0.00%",(H41-D41)/D41)</f>
        <v>-8.5933462493223735E-3</v>
      </c>
      <c r="H41" s="8">
        <f>SUM(H33:H40)</f>
        <v>1266094</v>
      </c>
      <c r="I41" s="1292">
        <f>+H41-D41</f>
        <v>-10974.290000000037</v>
      </c>
      <c r="J41" s="29"/>
      <c r="K41" s="83">
        <f>IF(H41=0,"0.00%",(L41-H41)/H41)</f>
        <v>-2.4535303065965085E-2</v>
      </c>
      <c r="L41" s="8">
        <f>SUM(L33:L40)</f>
        <v>1235030</v>
      </c>
      <c r="M41" s="1292">
        <f>+L41-H41</f>
        <v>-31064</v>
      </c>
      <c r="O41" s="83">
        <f>IF(L41=0,"0.00%",(P41-L41)/L41)</f>
        <v>-2.2438321336323813E-2</v>
      </c>
      <c r="P41" s="8">
        <f>SUM(P33:P40)</f>
        <v>1207318</v>
      </c>
      <c r="Q41" s="1292">
        <f>+P41-L41</f>
        <v>-27712</v>
      </c>
      <c r="S41" s="83">
        <f>IF(P41=0,"0.00%",(T41-P41)/P41)</f>
        <v>1.9999701818410726E-2</v>
      </c>
      <c r="T41" s="8">
        <f>SUM(T33:T40)</f>
        <v>1231464</v>
      </c>
      <c r="U41" s="73"/>
      <c r="W41" s="83">
        <f>IF(T41=0,"0.00%",(X41-T41)/T41)</f>
        <v>1.9999772628351297E-2</v>
      </c>
      <c r="X41" s="8">
        <f>SUM(X33:X40)</f>
        <v>1256093</v>
      </c>
      <c r="Y41" s="73"/>
      <c r="AA41" s="83">
        <f>IF(X41=0,"0.00%",(AB41-X41)/X41)</f>
        <v>2.0000111456715385E-2</v>
      </c>
      <c r="AB41" s="8">
        <f>SUM(AB33:AB40)</f>
        <v>1281215</v>
      </c>
      <c r="AC41" s="73"/>
    </row>
    <row r="42" spans="1:29" x14ac:dyDescent="0.25">
      <c r="A42" s="152"/>
      <c r="B42" s="930" t="s">
        <v>28</v>
      </c>
      <c r="E42" s="863"/>
      <c r="F42" s="2"/>
      <c r="H42" s="2"/>
      <c r="I42" s="871"/>
      <c r="J42" s="66"/>
      <c r="L42" s="2"/>
      <c r="M42" s="948"/>
      <c r="Q42" s="948"/>
      <c r="T42" s="2"/>
      <c r="U42" s="73"/>
      <c r="X42" s="2"/>
      <c r="Y42" s="73"/>
      <c r="AB42" s="2"/>
      <c r="AC42" s="73"/>
    </row>
    <row r="43" spans="1:29" x14ac:dyDescent="0.25">
      <c r="A43" s="154"/>
      <c r="B43" s="936" t="s">
        <v>27</v>
      </c>
      <c r="E43" s="863"/>
      <c r="F43" s="2"/>
      <c r="H43" s="2"/>
      <c r="I43" s="871"/>
      <c r="J43" s="66"/>
      <c r="L43" s="2"/>
      <c r="M43" s="948"/>
      <c r="Q43" s="948"/>
      <c r="T43" s="2"/>
      <c r="U43" s="73"/>
      <c r="X43" s="2"/>
      <c r="Y43" s="73"/>
      <c r="AB43" s="2"/>
      <c r="AC43" s="73"/>
    </row>
    <row r="44" spans="1:29" x14ac:dyDescent="0.25">
      <c r="A44" s="152"/>
      <c r="B44" s="939" t="s">
        <v>83</v>
      </c>
      <c r="C44" s="857" t="s">
        <v>76</v>
      </c>
      <c r="D44" s="2">
        <v>6583.1</v>
      </c>
      <c r="E44" s="854" t="str">
        <f>TEXT('MYP Assumptions'!$D$55,"0.00%")&amp;", STRS rate"</f>
        <v>12.58%, STRS rate</v>
      </c>
      <c r="F44" s="2"/>
      <c r="G44" s="83">
        <f t="shared" ref="G44:G53" si="14">IF(D44=0,"0.00%",(H44-D44)/D44)</f>
        <v>0.24242378210873289</v>
      </c>
      <c r="H44" s="2">
        <v>8179</v>
      </c>
      <c r="I44" s="854" t="str">
        <f>TEXT('MYP Assumptions'!E55,"0.00%")&amp;", projected STRS rate"</f>
        <v>14.43%, projected STRS rate</v>
      </c>
      <c r="J44" s="66"/>
      <c r="K44" s="83">
        <f t="shared" ref="K44:K53" si="15">IF(H44=0,"0.00%",(L44-H44)/H44)</f>
        <v>1.8461914659493827E-2</v>
      </c>
      <c r="L44" s="2">
        <f>ROUND(+H44*1.0185,0)</f>
        <v>8330</v>
      </c>
      <c r="M44" s="854" t="str">
        <f>TEXT('MYP Assumptions'!F55,"0.00%")&amp;", projected STRS rate"</f>
        <v>16.28%, projected STRS rate</v>
      </c>
      <c r="O44" s="83">
        <f t="shared" ref="O44:O53" si="16">IF(L44=0,"0.00%",(P44-L44)/L44)</f>
        <v>1.8487394957983194E-2</v>
      </c>
      <c r="P44" s="2">
        <f>ROUND(+L44*1.0185,0)</f>
        <v>8484</v>
      </c>
      <c r="Q44" s="854" t="str">
        <f>TEXT('MYP Assumptions'!G55,"0.00%")&amp;", projected STRS rate"</f>
        <v>18.13%, projected STRS rate</v>
      </c>
      <c r="S44" s="83">
        <f t="shared" ref="S44:S53" si="17">IF(P44=0,"0.00%",(T44-P44)/P44)</f>
        <v>-1</v>
      </c>
      <c r="T44" s="2">
        <f>ROUND(T30*LEFT(U44,6),0)</f>
        <v>0</v>
      </c>
      <c r="U44" s="81" t="str">
        <f>TEXT('MYP Assumptions'!H55,"0.00%")&amp;", projected STRS rate"</f>
        <v>19.10%, projected STRS rate</v>
      </c>
      <c r="W44" s="83" t="str">
        <f t="shared" ref="W44:W53" si="18">IF(T44=0,"0.00%",(X44-T44)/T44)</f>
        <v>0.00%</v>
      </c>
      <c r="X44" s="2">
        <f>ROUND(X30*LEFT(Y44,6),0)</f>
        <v>0</v>
      </c>
      <c r="Y44" s="81" t="str">
        <f>TEXT('MYP Assumptions'!I55,"0.00%")&amp;", projected STRS rate"</f>
        <v>19.10%, projected STRS rate</v>
      </c>
      <c r="AA44" s="83" t="str">
        <f t="shared" ref="AA44:AA53" si="19">IF(X44=0,"0.00%",(AB44-X44)/X44)</f>
        <v>0.00%</v>
      </c>
      <c r="AB44" s="2">
        <f>ROUND(AB30*LEFT(AC44,6),0)</f>
        <v>0</v>
      </c>
      <c r="AC44" s="81" t="str">
        <f>TEXT('MYP Assumptions'!J55,"0.00%")&amp;", projected STRS rate"</f>
        <v>19.10%, projected STRS rate</v>
      </c>
    </row>
    <row r="45" spans="1:29" x14ac:dyDescent="0.25">
      <c r="A45" s="152"/>
      <c r="B45" s="939" t="s">
        <v>84</v>
      </c>
      <c r="C45" s="857" t="s">
        <v>77</v>
      </c>
      <c r="D45" s="2">
        <v>169521.17</v>
      </c>
      <c r="E45" s="854" t="str">
        <f>TEXT('MYP Assumptions'!$D$56,"0.00%")&amp;", PERS rate"</f>
        <v>13.89%, PERS rate</v>
      </c>
      <c r="F45" s="2"/>
      <c r="G45" s="83">
        <f t="shared" si="14"/>
        <v>7.5051570255207575E-2</v>
      </c>
      <c r="H45" s="2">
        <v>182244</v>
      </c>
      <c r="I45" s="854" t="str">
        <f>TEXT('MYP Assumptions'!E56,"0.00%")&amp;", projected PERS rate"</f>
        <v>15.53%, projected PERS rate</v>
      </c>
      <c r="J45" s="66"/>
      <c r="K45" s="83">
        <f t="shared" si="15"/>
        <v>0.1389510765786528</v>
      </c>
      <c r="L45" s="2">
        <f>ROUND((L41-L37-L38)*LEFT(M45,6),0)-1</f>
        <v>207567</v>
      </c>
      <c r="M45" s="854" t="str">
        <f>TEXT('MYP Assumptions'!F56,"0.00%")&amp;", projected PERS rate"</f>
        <v>18.10%, projected PERS rate</v>
      </c>
      <c r="O45" s="83">
        <f t="shared" si="16"/>
        <v>0.11963366045662364</v>
      </c>
      <c r="P45" s="2">
        <f>ROUND((P41-P37-P38)*LEFT(Q45,6),0)-1</f>
        <v>232399</v>
      </c>
      <c r="Q45" s="854" t="str">
        <f>TEXT('MYP Assumptions'!G56,"0.00%")&amp;", projected PERS rate"</f>
        <v>20.80%, projected PERS rate</v>
      </c>
      <c r="S45" s="83">
        <f t="shared" si="17"/>
        <v>0.26114139905937633</v>
      </c>
      <c r="T45" s="2">
        <f>ROUND(T41*LEFT(U45,6),0)</f>
        <v>293088</v>
      </c>
      <c r="U45" s="81" t="str">
        <f>TEXT('MYP Assumptions'!H56,"0.00%")&amp;", projected PERS rate"</f>
        <v>23.80%, projected PERS rate</v>
      </c>
      <c r="W45" s="83">
        <f t="shared" si="18"/>
        <v>7.9999863522218578E-2</v>
      </c>
      <c r="X45" s="2">
        <f>ROUND(X41*LEFT(Y45,6),0)</f>
        <v>316535</v>
      </c>
      <c r="Y45" s="81" t="str">
        <f>TEXT('MYP Assumptions'!I56,"0.00%")&amp;", projected PERS rate"</f>
        <v>25.20%, projected PERS rate</v>
      </c>
      <c r="AA45" s="83">
        <f t="shared" si="19"/>
        <v>5.6429778697458417E-2</v>
      </c>
      <c r="AB45" s="2">
        <f>ROUND(AB41*LEFT(AC45,6),0)</f>
        <v>334397</v>
      </c>
      <c r="AC45" s="81" t="str">
        <f>TEXT('MYP Assumptions'!J56,"0.00%")&amp;", projected PERS rate"</f>
        <v>26.10%, projected PERS rate</v>
      </c>
    </row>
    <row r="46" spans="1:29" x14ac:dyDescent="0.25">
      <c r="A46" s="152"/>
      <c r="B46" s="939" t="s">
        <v>85</v>
      </c>
      <c r="C46" s="857" t="s">
        <v>78</v>
      </c>
      <c r="D46" s="2">
        <v>72192.75</v>
      </c>
      <c r="E46" s="854" t="str">
        <f>TEXT('MYP Assumptions'!$D$57,"0.00%")&amp;", SS rate"</f>
        <v>6.20%, SS rate</v>
      </c>
      <c r="F46" s="2"/>
      <c r="G46" s="83">
        <f t="shared" si="14"/>
        <v>-4.6749846764391161E-4</v>
      </c>
      <c r="H46" s="2">
        <v>72159</v>
      </c>
      <c r="I46" s="854" t="str">
        <f>TEXT('MYP Assumptions'!E57,"0.00%")&amp;", no rate change"</f>
        <v>6.20%, no rate change</v>
      </c>
      <c r="J46" s="66"/>
      <c r="K46" s="83">
        <f t="shared" si="15"/>
        <v>6.115661248077163E-2</v>
      </c>
      <c r="L46" s="2">
        <f>ROUND(L41*LEFT(M46,5),0)</f>
        <v>76572</v>
      </c>
      <c r="M46" s="854" t="str">
        <f>TEXT('MYP Assumptions'!F57,"0.00%")&amp;", no rate change"</f>
        <v>6.20%, no rate change</v>
      </c>
      <c r="O46" s="83">
        <f t="shared" si="16"/>
        <v>-2.2436399728360236E-2</v>
      </c>
      <c r="P46" s="2">
        <f>ROUND(P41*LEFT(Q46,5),0)</f>
        <v>74854</v>
      </c>
      <c r="Q46" s="854" t="str">
        <f>TEXT('MYP Assumptions'!G57,"0.00%")&amp;", no rate change"</f>
        <v>6.20%, no rate change</v>
      </c>
      <c r="S46" s="83">
        <f t="shared" si="17"/>
        <v>1.9998931252838859E-2</v>
      </c>
      <c r="T46" s="2">
        <f>ROUND(T41*LEFT(U46,5),0)</f>
        <v>76351</v>
      </c>
      <c r="U46" s="81" t="str">
        <f>TEXT('MYP Assumptions'!H57,"0.00%")&amp;", no rate change"</f>
        <v>6.20%, no rate change</v>
      </c>
      <c r="W46" s="83">
        <f t="shared" si="18"/>
        <v>1.9999738051891921E-2</v>
      </c>
      <c r="X46" s="2">
        <f>ROUND(X41*LEFT(Y46,5),0)</f>
        <v>77878</v>
      </c>
      <c r="Y46" s="81" t="str">
        <f>TEXT('MYP Assumptions'!I57,"0.00%")&amp;", no rate change"</f>
        <v>6.20%, no rate change</v>
      </c>
      <c r="AA46" s="83">
        <f t="shared" si="19"/>
        <v>1.9992809265774673E-2</v>
      </c>
      <c r="AB46" s="2">
        <f>ROUND(AB41*LEFT(AC46,5),0)</f>
        <v>79435</v>
      </c>
      <c r="AC46" s="81" t="str">
        <f>TEXT('MYP Assumptions'!J57,"0.00%")&amp;", no rate change"</f>
        <v>6.20%, no rate change</v>
      </c>
    </row>
    <row r="47" spans="1:29" x14ac:dyDescent="0.25">
      <c r="A47" s="152"/>
      <c r="B47" s="939" t="s">
        <v>86</v>
      </c>
      <c r="C47" s="857" t="s">
        <v>79</v>
      </c>
      <c r="D47" s="2">
        <v>17641.25</v>
      </c>
      <c r="E47" s="854" t="str">
        <f>TEXT('MYP Assumptions'!$D$58,"0.00%")&amp;", Medicare rate"</f>
        <v>1.45%, Medicare rate</v>
      </c>
      <c r="F47" s="2"/>
      <c r="G47" s="83">
        <f t="shared" si="14"/>
        <v>5.1441932969602498E-3</v>
      </c>
      <c r="H47" s="2">
        <v>17732</v>
      </c>
      <c r="I47" s="854" t="str">
        <f>TEXT('MYP Assumptions'!E58,"0.00%")&amp;", no rate change"</f>
        <v>1.45%, no rate change</v>
      </c>
      <c r="J47" s="66"/>
      <c r="K47" s="83">
        <f t="shared" si="15"/>
        <v>9.9255583126550868E-3</v>
      </c>
      <c r="L47" s="2">
        <f>ROUND((L41+L30)*LEFT(M47,5),0)</f>
        <v>17908</v>
      </c>
      <c r="M47" s="854" t="str">
        <f>TEXT('MYP Assumptions'!F58,"0.00%")&amp;", no rate change"</f>
        <v>1.45%, no rate change</v>
      </c>
      <c r="O47" s="83">
        <f t="shared" si="16"/>
        <v>-2.2448067902613358E-2</v>
      </c>
      <c r="P47" s="2">
        <f>ROUND((P41+P30)*LEFT(Q47,5),0)</f>
        <v>17506</v>
      </c>
      <c r="Q47" s="854" t="str">
        <f>TEXT('MYP Assumptions'!G58,"0.00%")&amp;", no rate change"</f>
        <v>1.45%, no rate change</v>
      </c>
      <c r="S47" s="83">
        <f t="shared" si="17"/>
        <v>1.9993145207357479E-2</v>
      </c>
      <c r="T47" s="2">
        <f>ROUND((T41+T30)*LEFT(U47,5),0)</f>
        <v>17856</v>
      </c>
      <c r="U47" s="81" t="str">
        <f>TEXT('MYP Assumptions'!H58,"0.00%")&amp;", no rate change"</f>
        <v>1.45%, no rate change</v>
      </c>
      <c r="W47" s="83">
        <f t="shared" si="18"/>
        <v>1.9993279569892473E-2</v>
      </c>
      <c r="X47" s="2">
        <f>ROUND((X41+X30)*LEFT(Y47,5),0)</f>
        <v>18213</v>
      </c>
      <c r="Y47" s="81" t="str">
        <f>TEXT('MYP Assumptions'!I58,"0.00%")&amp;", no rate change"</f>
        <v>1.45%, no rate change</v>
      </c>
      <c r="AA47" s="83">
        <f t="shared" si="19"/>
        <v>2.0040630319002911E-2</v>
      </c>
      <c r="AB47" s="2">
        <f>ROUND((AB41+AB30)*LEFT(AC47,5),0)</f>
        <v>18578</v>
      </c>
      <c r="AC47" s="81" t="str">
        <f>TEXT('MYP Assumptions'!J58,"0.00%")&amp;", no rate change"</f>
        <v>1.45%, no rate change</v>
      </c>
    </row>
    <row r="48" spans="1:29" x14ac:dyDescent="0.25">
      <c r="A48" s="152"/>
      <c r="B48" s="939" t="s">
        <v>87</v>
      </c>
      <c r="C48" s="857" t="s">
        <v>80</v>
      </c>
      <c r="D48" s="2">
        <v>74530.429999999993</v>
      </c>
      <c r="E48" s="854"/>
      <c r="F48" s="2"/>
      <c r="G48" s="83">
        <f t="shared" si="14"/>
        <v>-8.9821432668508602E-2</v>
      </c>
      <c r="H48" s="2">
        <v>67836</v>
      </c>
      <c r="I48" s="854"/>
      <c r="J48" s="66"/>
      <c r="K48" s="83">
        <f t="shared" si="15"/>
        <v>7.0007075888908546E-2</v>
      </c>
      <c r="L48" s="2">
        <f>ROUND((H48)*(LEFT(M48,5)+1),0)</f>
        <v>72585</v>
      </c>
      <c r="M48" s="854" t="str">
        <f>TEXT('MYP Assumptions'!$M$65,"0.00%")&amp;", projected increase"</f>
        <v>7.00%, projected increase</v>
      </c>
      <c r="O48" s="83">
        <f t="shared" si="16"/>
        <v>7.0000688847558029E-2</v>
      </c>
      <c r="P48" s="2">
        <f>ROUND((L48)*(LEFT(Q48,5)+1),0)</f>
        <v>77666</v>
      </c>
      <c r="Q48" s="854" t="str">
        <f>TEXT('MYP Assumptions'!$M$65,"0.00%")&amp;", projected increase"</f>
        <v>7.00%, projected increase</v>
      </c>
      <c r="S48" s="83">
        <f t="shared" si="17"/>
        <v>7.0004892745860484E-2</v>
      </c>
      <c r="T48" s="2">
        <f>ROUND((P48)*(LEFT(U48,5)+1),0)</f>
        <v>83103</v>
      </c>
      <c r="U48" s="81" t="str">
        <f>TEXT('MYP Assumptions'!$M$65,"0.00%")&amp;", projected increase"</f>
        <v>7.00%, projected increase</v>
      </c>
      <c r="W48" s="83">
        <f t="shared" si="18"/>
        <v>6.9997473015414605E-2</v>
      </c>
      <c r="X48" s="2">
        <f>ROUND((T48)*(LEFT(Y48,5)+1),0)</f>
        <v>88920</v>
      </c>
      <c r="Y48" s="81" t="str">
        <f>TEXT('MYP Assumptions'!$M$65,"0.00%")&amp;", projected increase"</f>
        <v>7.00%, projected increase</v>
      </c>
      <c r="AA48" s="83">
        <f t="shared" si="19"/>
        <v>6.9995501574448948E-2</v>
      </c>
      <c r="AB48" s="2">
        <f>ROUND((X48)*(LEFT(AC48,5)+1),0)</f>
        <v>95144</v>
      </c>
      <c r="AC48" s="81" t="str">
        <f>TEXT('MYP Assumptions'!$M$65,"0.00%")&amp;", projected increase"</f>
        <v>7.00%, projected increase</v>
      </c>
    </row>
    <row r="49" spans="1:29" x14ac:dyDescent="0.25">
      <c r="A49" s="152"/>
      <c r="B49" s="939" t="s">
        <v>88</v>
      </c>
      <c r="C49" s="857" t="s">
        <v>81</v>
      </c>
      <c r="D49" s="2">
        <v>609.35</v>
      </c>
      <c r="E49" s="854" t="str">
        <f>TEXT('MYP Assumptions'!$D$59,"0.00%")&amp;", SUI rate"</f>
        <v>0.05%, SUI rate</v>
      </c>
      <c r="F49" s="2"/>
      <c r="G49" s="83">
        <f t="shared" si="14"/>
        <v>2.0759826044145363E-2</v>
      </c>
      <c r="H49" s="2">
        <v>622</v>
      </c>
      <c r="I49" s="854" t="str">
        <f>TEXT('MYP Assumptions'!E59,"0.00%")&amp;", no rate change"</f>
        <v>0.05%, no rate change</v>
      </c>
      <c r="J49" s="66"/>
      <c r="K49" s="83">
        <f t="shared" si="15"/>
        <v>-6.4308681672025723E-3</v>
      </c>
      <c r="L49" s="2">
        <f>ROUND((L41+L30)*LEFT(M49,5),0)</f>
        <v>618</v>
      </c>
      <c r="M49" s="854" t="str">
        <f>TEXT('MYP Assumptions'!F59,"0.00%")&amp;", no rate change"</f>
        <v>0.05%, no rate change</v>
      </c>
      <c r="O49" s="83">
        <f t="shared" si="16"/>
        <v>-2.2653721682847898E-2</v>
      </c>
      <c r="P49" s="2">
        <f>ROUND((P41+P30)*LEFT(Q49,5),0)</f>
        <v>604</v>
      </c>
      <c r="Q49" s="854" t="str">
        <f>TEXT('MYP Assumptions'!G59,"0.00%")&amp;", no rate change"</f>
        <v>0.05%, no rate change</v>
      </c>
      <c r="S49" s="83">
        <f t="shared" si="17"/>
        <v>1.9867549668874173E-2</v>
      </c>
      <c r="T49" s="2">
        <f>ROUND((T41+T30)*LEFT(U49,5),0)</f>
        <v>616</v>
      </c>
      <c r="U49" s="81" t="str">
        <f>TEXT('MYP Assumptions'!H59,"0.00%")&amp;", no rate change"</f>
        <v>0.05%, no rate change</v>
      </c>
      <c r="W49" s="83">
        <f t="shared" si="18"/>
        <v>1.948051948051948E-2</v>
      </c>
      <c r="X49" s="2">
        <f>ROUND((X41+X30)*LEFT(Y49,5),0)</f>
        <v>628</v>
      </c>
      <c r="Y49" s="81" t="str">
        <f>TEXT('MYP Assumptions'!I59,"0.00%")&amp;", no rate change"</f>
        <v>0.05%, no rate change</v>
      </c>
      <c r="AA49" s="83">
        <f t="shared" si="19"/>
        <v>2.0700636942675158E-2</v>
      </c>
      <c r="AB49" s="2">
        <f>ROUND((AB41+AB30)*LEFT(AC49,5),0)</f>
        <v>641</v>
      </c>
      <c r="AC49" s="81" t="str">
        <f>TEXT('MYP Assumptions'!J59,"0.00%")&amp;", no rate change"</f>
        <v>0.05%, no rate change</v>
      </c>
    </row>
    <row r="50" spans="1:29" x14ac:dyDescent="0.25">
      <c r="A50" s="152"/>
      <c r="B50" s="939" t="s">
        <v>89</v>
      </c>
      <c r="C50" s="857" t="s">
        <v>82</v>
      </c>
      <c r="D50" s="2">
        <v>13382.5</v>
      </c>
      <c r="E50" s="854" t="str">
        <f>TEXT('MYP Assumptions'!$D$60,"0.00%")&amp;", W/C rate"</f>
        <v>1.10%, W/C rate</v>
      </c>
      <c r="F50" s="2"/>
      <c r="G50" s="83">
        <f t="shared" si="14"/>
        <v>1.8045955538950123E-2</v>
      </c>
      <c r="H50" s="2">
        <v>13624</v>
      </c>
      <c r="I50" s="854" t="str">
        <f>TEXT('MYP Assumptions'!E60,"0.00%")&amp;", no rate change"</f>
        <v>0.80%, no rate change</v>
      </c>
      <c r="J50" s="66"/>
      <c r="K50" s="83">
        <f t="shared" si="15"/>
        <v>-0.27480916030534353</v>
      </c>
      <c r="L50" s="2">
        <f>ROUND((L41+L30)*LEFT(M50,5),0)</f>
        <v>9880</v>
      </c>
      <c r="M50" s="854" t="str">
        <f>TEXT('MYP Assumptions'!F60,"0.00%")&amp;", no rate change"</f>
        <v>0.80%, no rate change</v>
      </c>
      <c r="O50" s="83">
        <f t="shared" si="16"/>
        <v>-2.2368421052631579E-2</v>
      </c>
      <c r="P50" s="2">
        <f>ROUND((P41+P30)*LEFT(Q50,5),0)</f>
        <v>9659</v>
      </c>
      <c r="Q50" s="854" t="str">
        <f>TEXT('MYP Assumptions'!G60,"0.00%")&amp;", no rate change"</f>
        <v>0.80%, no rate change</v>
      </c>
      <c r="S50" s="83">
        <f t="shared" si="17"/>
        <v>1.9981364530489699E-2</v>
      </c>
      <c r="T50" s="2">
        <f>ROUND((T41+T30)*LEFT(U50,5),0)</f>
        <v>9852</v>
      </c>
      <c r="U50" s="81" t="str">
        <f>TEXT('MYP Assumptions'!H60,"0.00%")&amp;", no rate change"</f>
        <v>0.80%, no rate change</v>
      </c>
      <c r="W50" s="83">
        <f t="shared" si="18"/>
        <v>1.9995939910678034E-2</v>
      </c>
      <c r="X50" s="2">
        <f>ROUND((X41+X30)*LEFT(Y50,5),0)</f>
        <v>10049</v>
      </c>
      <c r="Y50" s="81" t="str">
        <f>TEXT('MYP Assumptions'!I60,"0.00%")&amp;", no rate change"</f>
        <v>0.80%, no rate change</v>
      </c>
      <c r="AA50" s="83">
        <f t="shared" si="19"/>
        <v>2.0001990247785848E-2</v>
      </c>
      <c r="AB50" s="2">
        <f>ROUND((AB41+AB30)*LEFT(AC50,5),0)</f>
        <v>10250</v>
      </c>
      <c r="AC50" s="81" t="str">
        <f>TEXT('MYP Assumptions'!J60,"0.00%")&amp;", no rate change"</f>
        <v>0.80%, no rate change</v>
      </c>
    </row>
    <row r="51" spans="1:29" x14ac:dyDescent="0.25">
      <c r="A51" s="152"/>
      <c r="B51" s="939" t="s">
        <v>91</v>
      </c>
      <c r="C51" s="857" t="s">
        <v>93</v>
      </c>
      <c r="D51" s="2">
        <v>0</v>
      </c>
      <c r="E51" s="863"/>
      <c r="F51" s="2"/>
      <c r="G51" s="83" t="str">
        <f t="shared" ref="G51" si="20">IF(D51=0,"0.00%",(H51-D51)/D51)</f>
        <v>0.00%</v>
      </c>
      <c r="H51" s="2">
        <f>D51</f>
        <v>0</v>
      </c>
      <c r="I51" s="854"/>
      <c r="J51" s="66"/>
      <c r="K51" s="83" t="str">
        <f t="shared" ref="K51" si="21">IF(H51=0,"0.00%",(L51-H51)/H51)</f>
        <v>0.00%</v>
      </c>
      <c r="L51" s="2">
        <f>H51</f>
        <v>0</v>
      </c>
      <c r="M51" s="854"/>
      <c r="O51" s="83" t="str">
        <f t="shared" ref="O51" si="22">IF(L51=0,"0.00%",(P51-L51)/L51)</f>
        <v>0.00%</v>
      </c>
      <c r="P51" s="2">
        <f>L51</f>
        <v>0</v>
      </c>
      <c r="Q51" s="854"/>
      <c r="S51" s="83" t="str">
        <f t="shared" ref="S51" si="23">IF(P51=0,"0.00%",(T51-P51)/P51)</f>
        <v>0.00%</v>
      </c>
      <c r="T51" s="2">
        <f>P51</f>
        <v>0</v>
      </c>
      <c r="U51" s="81" t="s">
        <v>166</v>
      </c>
      <c r="W51" s="83" t="str">
        <f t="shared" ref="W51" si="24">IF(T51=0,"0.00%",(X51-T51)/T51)</f>
        <v>0.00%</v>
      </c>
      <c r="X51" s="2">
        <f>T51</f>
        <v>0</v>
      </c>
      <c r="Y51" s="81" t="s">
        <v>166</v>
      </c>
      <c r="AA51" s="83" t="str">
        <f t="shared" ref="AA51" si="25">IF(X51=0,"0.00%",(AB51-X51)/X51)</f>
        <v>0.00%</v>
      </c>
      <c r="AB51" s="2">
        <f>X51</f>
        <v>0</v>
      </c>
      <c r="AC51" s="81" t="s">
        <v>166</v>
      </c>
    </row>
    <row r="52" spans="1:29" x14ac:dyDescent="0.25">
      <c r="A52" s="152"/>
      <c r="B52" s="939"/>
      <c r="E52" s="863"/>
      <c r="F52" s="2"/>
      <c r="G52" s="83"/>
      <c r="H52" s="2"/>
      <c r="I52" s="854"/>
      <c r="J52" s="66"/>
      <c r="K52" s="83"/>
      <c r="L52" s="2"/>
      <c r="M52" s="854"/>
      <c r="O52" s="83"/>
      <c r="Q52" s="854"/>
      <c r="S52" s="83"/>
      <c r="T52" s="2"/>
      <c r="U52" s="81"/>
      <c r="W52" s="83"/>
      <c r="X52" s="2"/>
      <c r="Y52" s="81"/>
      <c r="AA52" s="83"/>
      <c r="AB52" s="2"/>
      <c r="AC52" s="81"/>
    </row>
    <row r="53" spans="1:29" x14ac:dyDescent="0.25">
      <c r="A53" s="153"/>
      <c r="B53" s="939"/>
      <c r="D53" s="8">
        <f>SUM(D44:D52)</f>
        <v>354460.55</v>
      </c>
      <c r="E53" s="863"/>
      <c r="F53" s="2"/>
      <c r="G53" s="83">
        <f t="shared" si="14"/>
        <v>2.2387399669723505E-2</v>
      </c>
      <c r="H53" s="8">
        <f>SUM(H44:H52)</f>
        <v>362396</v>
      </c>
      <c r="I53" s="1292">
        <f>+H53-D53</f>
        <v>7935.4500000000116</v>
      </c>
      <c r="J53" s="29"/>
      <c r="K53" s="83">
        <f t="shared" si="15"/>
        <v>8.5718385412642525E-2</v>
      </c>
      <c r="L53" s="8">
        <f>SUM(L44:L52)</f>
        <v>393460</v>
      </c>
      <c r="M53" s="1292">
        <f>+L53-H53</f>
        <v>31064</v>
      </c>
      <c r="O53" s="83">
        <f t="shared" si="16"/>
        <v>7.0431555939612672E-2</v>
      </c>
      <c r="P53" s="8">
        <f>SUM(P44:P52)</f>
        <v>421172</v>
      </c>
      <c r="Q53" s="1292">
        <f>+P53-L53</f>
        <v>27712</v>
      </c>
      <c r="S53" s="83">
        <f t="shared" si="17"/>
        <v>0.14173306867503063</v>
      </c>
      <c r="T53" s="8">
        <f>SUM(T44:T52)</f>
        <v>480866</v>
      </c>
      <c r="U53" s="73"/>
      <c r="W53" s="83">
        <f t="shared" si="18"/>
        <v>6.5209434644994652E-2</v>
      </c>
      <c r="X53" s="8">
        <f>SUM(X44:X52)</f>
        <v>512223</v>
      </c>
      <c r="Y53" s="73"/>
      <c r="AA53" s="83">
        <f t="shared" si="19"/>
        <v>5.1192546996132543E-2</v>
      </c>
      <c r="AB53" s="8">
        <f>SUM(AB44:AB52)</f>
        <v>538445</v>
      </c>
      <c r="AC53" s="73"/>
    </row>
    <row r="54" spans="1:29" x14ac:dyDescent="0.25">
      <c r="A54" s="154"/>
      <c r="B54" s="939"/>
      <c r="E54" s="863"/>
      <c r="F54" s="2"/>
      <c r="H54" s="2"/>
      <c r="I54" s="871"/>
      <c r="J54" s="66"/>
      <c r="L54" s="2"/>
      <c r="M54" s="948"/>
      <c r="Q54" s="948"/>
      <c r="T54" s="2"/>
      <c r="U54" s="73"/>
      <c r="X54" s="2"/>
      <c r="Y54" s="73"/>
      <c r="AB54" s="2"/>
      <c r="AC54" s="73"/>
    </row>
    <row r="55" spans="1:29" x14ac:dyDescent="0.25">
      <c r="A55" s="153"/>
      <c r="B55" s="936" t="s">
        <v>26</v>
      </c>
      <c r="D55" s="8">
        <f>SUM(D53,D41,D30)</f>
        <v>1631528.84</v>
      </c>
      <c r="E55" s="863"/>
      <c r="F55" s="2"/>
      <c r="G55" s="83">
        <f>IF(D55=0,"0.00%",(H55-D55)/D55)</f>
        <v>-1.8625720400995691E-3</v>
      </c>
      <c r="H55" s="8">
        <f>SUM(H53,H41,H30)</f>
        <v>1628490</v>
      </c>
      <c r="I55" s="1292">
        <f>+H55-D55</f>
        <v>-3038.8400000000838</v>
      </c>
      <c r="J55" s="29"/>
      <c r="K55" s="83">
        <f>IF(H55=0,"0.00%",(L55-H55)/H55)</f>
        <v>0</v>
      </c>
      <c r="L55" s="8">
        <f>SUM(L53,L41,L30)</f>
        <v>1628490</v>
      </c>
      <c r="M55" s="1292">
        <f>+L55-H55</f>
        <v>0</v>
      </c>
      <c r="O55" s="83">
        <f>IF(L55=0,"0.00%",(P55-L55)/L55)</f>
        <v>0</v>
      </c>
      <c r="P55" s="8">
        <f>SUM(P53,P41,P30)</f>
        <v>1628490</v>
      </c>
      <c r="Q55" s="1292">
        <f>+P55-L55</f>
        <v>0</v>
      </c>
      <c r="S55" s="83">
        <f>IF(P55=0,"0.00%",(T55-P55)/P55)</f>
        <v>5.1483275918181873E-2</v>
      </c>
      <c r="T55" s="8">
        <f>SUM(T53,T41,T30)</f>
        <v>1712330</v>
      </c>
      <c r="U55" s="73"/>
      <c r="W55" s="83">
        <f>IF(T55=0,"0.00%",(X55-T55)/T55)</f>
        <v>3.269580045902367E-2</v>
      </c>
      <c r="X55" s="8">
        <f>SUM(X53,X41,X30)</f>
        <v>1768316</v>
      </c>
      <c r="Y55" s="73"/>
      <c r="AA55" s="83">
        <f>IF(X55=0,"0.00%",(AB55-X55)/X55)</f>
        <v>2.9035534372815718E-2</v>
      </c>
      <c r="AB55" s="8">
        <f>SUM(AB53,AB41,AB30)</f>
        <v>1819660</v>
      </c>
      <c r="AC55" s="73"/>
    </row>
    <row r="56" spans="1:29" x14ac:dyDescent="0.25">
      <c r="A56" s="155"/>
      <c r="E56" s="863"/>
      <c r="F56" s="2"/>
      <c r="H56" s="2"/>
      <c r="I56" s="871"/>
      <c r="J56" s="66"/>
      <c r="L56" s="2"/>
      <c r="M56" s="948"/>
      <c r="Q56" s="948"/>
      <c r="T56" s="2"/>
      <c r="U56" s="73"/>
      <c r="X56" s="2"/>
      <c r="Y56" s="73"/>
      <c r="AB56" s="2"/>
      <c r="AC56" s="73"/>
    </row>
    <row r="57" spans="1:29" x14ac:dyDescent="0.25">
      <c r="A57" s="152"/>
      <c r="E57" s="863"/>
      <c r="F57" s="2"/>
      <c r="H57" s="2"/>
      <c r="I57" s="871"/>
      <c r="J57" s="66"/>
      <c r="L57" s="2"/>
      <c r="M57" s="948"/>
      <c r="Q57" s="948"/>
      <c r="T57" s="2"/>
      <c r="U57" s="73"/>
      <c r="X57" s="2"/>
      <c r="Y57" s="73"/>
      <c r="AB57" s="2"/>
      <c r="AC57" s="73"/>
    </row>
    <row r="58" spans="1:29" x14ac:dyDescent="0.25">
      <c r="A58" s="155"/>
      <c r="B58" s="940" t="s">
        <v>25</v>
      </c>
      <c r="C58" s="873"/>
      <c r="E58" s="863"/>
      <c r="F58" s="2"/>
      <c r="H58" s="2"/>
      <c r="I58" s="871"/>
      <c r="J58" s="66"/>
      <c r="L58" s="2"/>
      <c r="M58" s="948"/>
      <c r="Q58" s="948"/>
      <c r="T58" s="2"/>
      <c r="U58" s="73"/>
      <c r="X58" s="2"/>
      <c r="Y58" s="73"/>
      <c r="AB58" s="2"/>
      <c r="AC58" s="73"/>
    </row>
    <row r="59" spans="1:29" hidden="1" x14ac:dyDescent="0.25">
      <c r="A59" s="152"/>
      <c r="B59" s="939"/>
      <c r="D59" s="2">
        <v>0</v>
      </c>
      <c r="E59" s="863"/>
      <c r="F59" s="2"/>
      <c r="G59" s="83" t="str">
        <f t="shared" ref="G59:G66" si="26">IF(D59=0,"0.00%",(H59-D59)/D59)</f>
        <v>0.00%</v>
      </c>
      <c r="H59" s="2">
        <f t="shared" ref="H59:H65" si="27">ROUND(D59*(LEFT(I59,5)+1),0)</f>
        <v>0</v>
      </c>
      <c r="I59" s="854" t="str">
        <f>TEXT('MYP Assumptions'!E75,"0.00%")&amp;", CPI"</f>
        <v>3.42%, CPI</v>
      </c>
      <c r="J59" s="66"/>
      <c r="K59" s="83" t="str">
        <f t="shared" ref="K59:K66" si="28">IF(H59=0,"0.00%",(L59-H59)/H59)</f>
        <v>0.00%</v>
      </c>
      <c r="L59" s="2">
        <f>ROUND(H59*(LEFT(M59,5)+1),0)</f>
        <v>0</v>
      </c>
      <c r="M59" s="854" t="str">
        <f>TEXT('MYP Assumptions'!F75,"0.00%")&amp;", CPI"</f>
        <v>3.35%, CPI</v>
      </c>
      <c r="O59" s="83" t="str">
        <f t="shared" ref="O59:O66" si="29">IF(L59=0,"0.00%",(P59-L59)/L59)</f>
        <v>0.00%</v>
      </c>
      <c r="P59" s="2">
        <f>ROUND(L59*(LEFT(Q59,5)+1),0)</f>
        <v>0</v>
      </c>
      <c r="Q59" s="854" t="str">
        <f>TEXT('MYP Assumptions'!G75,"0.00%")&amp;", CPI"</f>
        <v>3.02%, CPI</v>
      </c>
      <c r="S59" s="83" t="str">
        <f t="shared" ref="S59:S66" si="30">IF(P59=0,"0.00%",(T59-P59)/P59)</f>
        <v>0.00%</v>
      </c>
      <c r="T59" s="2">
        <f>ROUND(P59*(LEFT(U59,5)+1),0)</f>
        <v>0</v>
      </c>
      <c r="U59" s="81" t="str">
        <f>TEXT('MYP Assumptions'!H75,"0.00%")&amp;", CPI"</f>
        <v>2.73%, CPI</v>
      </c>
      <c r="W59" s="83" t="str">
        <f t="shared" ref="W59:W66" si="31">IF(T59=0,"0.00%",(X59-T59)/T59)</f>
        <v>0.00%</v>
      </c>
      <c r="X59" s="2">
        <f>ROUND(T59*(LEFT(Y59,5)+1),0)</f>
        <v>0</v>
      </c>
      <c r="Y59" s="81" t="str">
        <f>TEXT('MYP Assumptions'!I75,"0.00%")&amp;", CPI"</f>
        <v>2.73%, CPI</v>
      </c>
      <c r="AA59" s="83" t="str">
        <f t="shared" ref="AA59:AA66" si="32">IF(X59=0,"0.00%",(AB59-X59)/X59)</f>
        <v>0.00%</v>
      </c>
      <c r="AB59" s="2">
        <f>ROUND(X59*(LEFT(AC59,5)+1),0)</f>
        <v>0</v>
      </c>
      <c r="AC59" s="81" t="str">
        <f>TEXT('MYP Assumptions'!J75,"0.00%")&amp;", CPI"</f>
        <v>2.73%, CPI</v>
      </c>
    </row>
    <row r="60" spans="1:29" hidden="1" x14ac:dyDescent="0.25">
      <c r="A60" s="152"/>
      <c r="B60" s="939"/>
      <c r="D60" s="2">
        <v>0</v>
      </c>
      <c r="E60" s="863"/>
      <c r="F60" s="2"/>
      <c r="G60" s="83" t="str">
        <f t="shared" si="26"/>
        <v>0.00%</v>
      </c>
      <c r="H60" s="2">
        <f t="shared" si="27"/>
        <v>0</v>
      </c>
      <c r="I60" s="854" t="str">
        <f>TEXT('MYP Assumptions'!E75,"0.00%")&amp;", CPI"</f>
        <v>3.42%, CPI</v>
      </c>
      <c r="J60" s="66"/>
      <c r="K60" s="83" t="str">
        <f t="shared" si="28"/>
        <v>0.00%</v>
      </c>
      <c r="L60" s="2">
        <f t="shared" ref="L60:L65" si="33">ROUND(H60*(LEFT(M60,5)+1),0)</f>
        <v>0</v>
      </c>
      <c r="M60" s="854" t="str">
        <f>TEXT('MYP Assumptions'!F75,"0.00%")&amp;", CPI"</f>
        <v>3.35%, CPI</v>
      </c>
      <c r="O60" s="83" t="str">
        <f t="shared" si="29"/>
        <v>0.00%</v>
      </c>
      <c r="P60" s="2">
        <f t="shared" ref="P60:P65" si="34">ROUND(L60*(LEFT(Q60,5)+1),0)</f>
        <v>0</v>
      </c>
      <c r="Q60" s="854" t="str">
        <f>TEXT('MYP Assumptions'!G75,"0.00%")&amp;", CPI"</f>
        <v>3.02%, CPI</v>
      </c>
      <c r="S60" s="83" t="str">
        <f t="shared" si="30"/>
        <v>0.00%</v>
      </c>
      <c r="T60" s="2">
        <f t="shared" ref="T60:T65" si="35">ROUND(P60*(LEFT(U60,5)+1),0)</f>
        <v>0</v>
      </c>
      <c r="U60" s="81" t="str">
        <f>TEXT('MYP Assumptions'!H75,"0.00%")&amp;", CPI"</f>
        <v>2.73%, CPI</v>
      </c>
      <c r="W60" s="83" t="str">
        <f t="shared" si="31"/>
        <v>0.00%</v>
      </c>
      <c r="X60" s="2">
        <f t="shared" ref="X60:X65" si="36">ROUND(T60*(LEFT(Y60,5)+1),0)</f>
        <v>0</v>
      </c>
      <c r="Y60" s="81" t="str">
        <f>TEXT('MYP Assumptions'!I75,"0.00%")&amp;", CPI"</f>
        <v>2.73%, CPI</v>
      </c>
      <c r="AA60" s="83" t="str">
        <f t="shared" si="32"/>
        <v>0.00%</v>
      </c>
      <c r="AB60" s="2">
        <f t="shared" ref="AB60:AB65" si="37">ROUND(X60*(LEFT(AC60,5)+1),0)</f>
        <v>0</v>
      </c>
      <c r="AC60" s="81" t="str">
        <f>TEXT('MYP Assumptions'!J75,"0.00%")&amp;", CPI"</f>
        <v>2.73%, CPI</v>
      </c>
    </row>
    <row r="61" spans="1:29" hidden="1" x14ac:dyDescent="0.25">
      <c r="A61" s="152"/>
      <c r="B61" s="939"/>
      <c r="D61" s="2">
        <v>0</v>
      </c>
      <c r="E61" s="863"/>
      <c r="F61" s="2"/>
      <c r="G61" s="83" t="str">
        <f t="shared" si="26"/>
        <v>0.00%</v>
      </c>
      <c r="H61" s="2">
        <f t="shared" si="27"/>
        <v>0</v>
      </c>
      <c r="I61" s="854" t="str">
        <f>TEXT('MYP Assumptions'!E75,"0.00%")&amp;", CPI"</f>
        <v>3.42%, CPI</v>
      </c>
      <c r="J61" s="66"/>
      <c r="K61" s="83" t="str">
        <f t="shared" si="28"/>
        <v>0.00%</v>
      </c>
      <c r="L61" s="2">
        <f t="shared" si="33"/>
        <v>0</v>
      </c>
      <c r="M61" s="854" t="str">
        <f>TEXT('MYP Assumptions'!F75,"0.00%")&amp;", CPI"</f>
        <v>3.35%, CPI</v>
      </c>
      <c r="O61" s="83" t="str">
        <f t="shared" si="29"/>
        <v>0.00%</v>
      </c>
      <c r="P61" s="2">
        <f t="shared" si="34"/>
        <v>0</v>
      </c>
      <c r="Q61" s="854" t="str">
        <f>TEXT('MYP Assumptions'!G75,"0.00%")&amp;", CPI"</f>
        <v>3.02%, CPI</v>
      </c>
      <c r="S61" s="83" t="str">
        <f t="shared" si="30"/>
        <v>0.00%</v>
      </c>
      <c r="T61" s="2">
        <f t="shared" si="35"/>
        <v>0</v>
      </c>
      <c r="U61" s="81" t="str">
        <f>TEXT('MYP Assumptions'!H75,"0.00%")&amp;", CPI"</f>
        <v>2.73%, CPI</v>
      </c>
      <c r="W61" s="83" t="str">
        <f t="shared" si="31"/>
        <v>0.00%</v>
      </c>
      <c r="X61" s="2">
        <f t="shared" si="36"/>
        <v>0</v>
      </c>
      <c r="Y61" s="81" t="str">
        <f>TEXT('MYP Assumptions'!I75,"0.00%")&amp;", CPI"</f>
        <v>2.73%, CPI</v>
      </c>
      <c r="AA61" s="83" t="str">
        <f t="shared" si="32"/>
        <v>0.00%</v>
      </c>
      <c r="AB61" s="2">
        <f t="shared" si="37"/>
        <v>0</v>
      </c>
      <c r="AC61" s="81" t="str">
        <f>TEXT('MYP Assumptions'!J75,"0.00%")&amp;", CPI"</f>
        <v>2.73%, CPI</v>
      </c>
    </row>
    <row r="62" spans="1:29" hidden="1" x14ac:dyDescent="0.25">
      <c r="A62" s="152"/>
      <c r="B62" s="939"/>
      <c r="D62" s="2">
        <v>0</v>
      </c>
      <c r="E62" s="863"/>
      <c r="F62" s="2"/>
      <c r="G62" s="83" t="str">
        <f t="shared" si="26"/>
        <v>0.00%</v>
      </c>
      <c r="H62" s="2">
        <f t="shared" si="27"/>
        <v>0</v>
      </c>
      <c r="I62" s="854" t="str">
        <f>TEXT('MYP Assumptions'!E75,"0.00%")&amp;", CPI"</f>
        <v>3.42%, CPI</v>
      </c>
      <c r="J62" s="66"/>
      <c r="K62" s="83" t="str">
        <f t="shared" si="28"/>
        <v>0.00%</v>
      </c>
      <c r="L62" s="2">
        <f t="shared" si="33"/>
        <v>0</v>
      </c>
      <c r="M62" s="854" t="str">
        <f>TEXT('MYP Assumptions'!F75,"0.00%")&amp;", CPI"</f>
        <v>3.35%, CPI</v>
      </c>
      <c r="O62" s="83" t="str">
        <f t="shared" si="29"/>
        <v>0.00%</v>
      </c>
      <c r="P62" s="2">
        <f t="shared" si="34"/>
        <v>0</v>
      </c>
      <c r="Q62" s="854" t="str">
        <f>TEXT('MYP Assumptions'!G75,"0.00%")&amp;", CPI"</f>
        <v>3.02%, CPI</v>
      </c>
      <c r="S62" s="83" t="str">
        <f t="shared" si="30"/>
        <v>0.00%</v>
      </c>
      <c r="T62" s="2">
        <f t="shared" si="35"/>
        <v>0</v>
      </c>
      <c r="U62" s="81" t="str">
        <f>TEXT('MYP Assumptions'!H75,"0.00%")&amp;", CPI"</f>
        <v>2.73%, CPI</v>
      </c>
      <c r="W62" s="83" t="str">
        <f t="shared" si="31"/>
        <v>0.00%</v>
      </c>
      <c r="X62" s="2">
        <f t="shared" si="36"/>
        <v>0</v>
      </c>
      <c r="Y62" s="81" t="str">
        <f>TEXT('MYP Assumptions'!I75,"0.00%")&amp;", CPI"</f>
        <v>2.73%, CPI</v>
      </c>
      <c r="AA62" s="83" t="str">
        <f t="shared" si="32"/>
        <v>0.00%</v>
      </c>
      <c r="AB62" s="2">
        <f t="shared" si="37"/>
        <v>0</v>
      </c>
      <c r="AC62" s="81" t="str">
        <f>TEXT('MYP Assumptions'!J75,"0.00%")&amp;", CPI"</f>
        <v>2.73%, CPI</v>
      </c>
    </row>
    <row r="63" spans="1:29" hidden="1" x14ac:dyDescent="0.25">
      <c r="A63" s="152"/>
      <c r="B63" s="939"/>
      <c r="D63" s="2">
        <v>0</v>
      </c>
      <c r="E63" s="863"/>
      <c r="F63" s="2"/>
      <c r="G63" s="83" t="str">
        <f t="shared" si="26"/>
        <v>0.00%</v>
      </c>
      <c r="H63" s="2">
        <f t="shared" si="27"/>
        <v>0</v>
      </c>
      <c r="I63" s="854" t="str">
        <f>TEXT('MYP Assumptions'!E75,"0.00%")&amp;", CPI"</f>
        <v>3.42%, CPI</v>
      </c>
      <c r="J63" s="66"/>
      <c r="K63" s="83" t="str">
        <f t="shared" si="28"/>
        <v>0.00%</v>
      </c>
      <c r="L63" s="2">
        <f t="shared" si="33"/>
        <v>0</v>
      </c>
      <c r="M63" s="854" t="str">
        <f>TEXT('MYP Assumptions'!F75,"0.00%")&amp;", CPI"</f>
        <v>3.35%, CPI</v>
      </c>
      <c r="O63" s="83" t="str">
        <f t="shared" si="29"/>
        <v>0.00%</v>
      </c>
      <c r="P63" s="2">
        <f t="shared" si="34"/>
        <v>0</v>
      </c>
      <c r="Q63" s="854" t="str">
        <f>TEXT('MYP Assumptions'!G75,"0.00%")&amp;", CPI"</f>
        <v>3.02%, CPI</v>
      </c>
      <c r="S63" s="83" t="str">
        <f t="shared" si="30"/>
        <v>0.00%</v>
      </c>
      <c r="T63" s="2">
        <f t="shared" si="35"/>
        <v>0</v>
      </c>
      <c r="U63" s="81" t="str">
        <f>TEXT('MYP Assumptions'!H75,"0.00%")&amp;", CPI"</f>
        <v>2.73%, CPI</v>
      </c>
      <c r="W63" s="83" t="str">
        <f t="shared" si="31"/>
        <v>0.00%</v>
      </c>
      <c r="X63" s="2">
        <f t="shared" si="36"/>
        <v>0</v>
      </c>
      <c r="Y63" s="81" t="str">
        <f>TEXT('MYP Assumptions'!I75,"0.00%")&amp;", CPI"</f>
        <v>2.73%, CPI</v>
      </c>
      <c r="AA63" s="83" t="str">
        <f t="shared" si="32"/>
        <v>0.00%</v>
      </c>
      <c r="AB63" s="2">
        <f t="shared" si="37"/>
        <v>0</v>
      </c>
      <c r="AC63" s="81" t="str">
        <f>TEXT('MYP Assumptions'!J75,"0.00%")&amp;", CPI"</f>
        <v>2.73%, CPI</v>
      </c>
    </row>
    <row r="64" spans="1:29" hidden="1" x14ac:dyDescent="0.25">
      <c r="A64" s="152"/>
      <c r="B64" s="939"/>
      <c r="D64" s="2">
        <v>0</v>
      </c>
      <c r="E64" s="863"/>
      <c r="F64" s="2"/>
      <c r="G64" s="83" t="str">
        <f t="shared" si="26"/>
        <v>0.00%</v>
      </c>
      <c r="H64" s="2">
        <f t="shared" si="27"/>
        <v>0</v>
      </c>
      <c r="I64" s="854" t="str">
        <f>TEXT('MYP Assumptions'!E75,"0.00%")&amp;", CPI"</f>
        <v>3.42%, CPI</v>
      </c>
      <c r="J64" s="66"/>
      <c r="K64" s="83" t="str">
        <f t="shared" si="28"/>
        <v>0.00%</v>
      </c>
      <c r="L64" s="2">
        <f t="shared" si="33"/>
        <v>0</v>
      </c>
      <c r="M64" s="854" t="str">
        <f>TEXT('MYP Assumptions'!F75,"0.00%")&amp;", CPI"</f>
        <v>3.35%, CPI</v>
      </c>
      <c r="O64" s="83" t="str">
        <f t="shared" si="29"/>
        <v>0.00%</v>
      </c>
      <c r="P64" s="2">
        <f t="shared" si="34"/>
        <v>0</v>
      </c>
      <c r="Q64" s="854" t="str">
        <f>TEXT('MYP Assumptions'!G75,"0.00%")&amp;", CPI"</f>
        <v>3.02%, CPI</v>
      </c>
      <c r="S64" s="83" t="str">
        <f t="shared" si="30"/>
        <v>0.00%</v>
      </c>
      <c r="T64" s="2">
        <f t="shared" si="35"/>
        <v>0</v>
      </c>
      <c r="U64" s="81" t="str">
        <f>TEXT('MYP Assumptions'!H75,"0.00%")&amp;", CPI"</f>
        <v>2.73%, CPI</v>
      </c>
      <c r="W64" s="83" t="str">
        <f t="shared" si="31"/>
        <v>0.00%</v>
      </c>
      <c r="X64" s="2">
        <f t="shared" si="36"/>
        <v>0</v>
      </c>
      <c r="Y64" s="81" t="str">
        <f>TEXT('MYP Assumptions'!I75,"0.00%")&amp;", CPI"</f>
        <v>2.73%, CPI</v>
      </c>
      <c r="AA64" s="83" t="str">
        <f t="shared" si="32"/>
        <v>0.00%</v>
      </c>
      <c r="AB64" s="2">
        <f t="shared" si="37"/>
        <v>0</v>
      </c>
      <c r="AC64" s="81" t="str">
        <f>TEXT('MYP Assumptions'!J75,"0.00%")&amp;", CPI"</f>
        <v>2.73%, CPI</v>
      </c>
    </row>
    <row r="65" spans="1:29" hidden="1" x14ac:dyDescent="0.25">
      <c r="A65" s="152"/>
      <c r="B65" s="939"/>
      <c r="C65" s="941"/>
      <c r="D65" s="2">
        <v>0</v>
      </c>
      <c r="E65" s="863"/>
      <c r="F65" s="2"/>
      <c r="G65" s="83" t="str">
        <f t="shared" si="26"/>
        <v>0.00%</v>
      </c>
      <c r="H65" s="2">
        <f t="shared" si="27"/>
        <v>0</v>
      </c>
      <c r="I65" s="854" t="str">
        <f>TEXT('MYP Assumptions'!E75,"0.00%")&amp;", CPI"</f>
        <v>3.42%, CPI</v>
      </c>
      <c r="J65" s="66"/>
      <c r="K65" s="83" t="str">
        <f t="shared" si="28"/>
        <v>0.00%</v>
      </c>
      <c r="L65" s="2">
        <f t="shared" si="33"/>
        <v>0</v>
      </c>
      <c r="M65" s="854" t="str">
        <f>TEXT('MYP Assumptions'!F75,"0.00%")&amp;", CPI"</f>
        <v>3.35%, CPI</v>
      </c>
      <c r="O65" s="83" t="str">
        <f t="shared" si="29"/>
        <v>0.00%</v>
      </c>
      <c r="P65" s="2">
        <f t="shared" si="34"/>
        <v>0</v>
      </c>
      <c r="Q65" s="854" t="str">
        <f>TEXT('MYP Assumptions'!G75,"0.00%")&amp;", CPI"</f>
        <v>3.02%, CPI</v>
      </c>
      <c r="S65" s="83" t="str">
        <f t="shared" si="30"/>
        <v>0.00%</v>
      </c>
      <c r="T65" s="2">
        <f t="shared" si="35"/>
        <v>0</v>
      </c>
      <c r="U65" s="81" t="str">
        <f>TEXT('MYP Assumptions'!H75,"0.00%")&amp;", CPI"</f>
        <v>2.73%, CPI</v>
      </c>
      <c r="W65" s="83" t="str">
        <f t="shared" si="31"/>
        <v>0.00%</v>
      </c>
      <c r="X65" s="2">
        <f t="shared" si="36"/>
        <v>0</v>
      </c>
      <c r="Y65" s="81" t="str">
        <f>TEXT('MYP Assumptions'!I75,"0.00%")&amp;", CPI"</f>
        <v>2.73%, CPI</v>
      </c>
      <c r="AA65" s="83" t="str">
        <f t="shared" si="32"/>
        <v>0.00%</v>
      </c>
      <c r="AB65" s="2">
        <f t="shared" si="37"/>
        <v>0</v>
      </c>
      <c r="AC65" s="81" t="str">
        <f>TEXT('MYP Assumptions'!J75,"0.00%")&amp;", CPI"</f>
        <v>2.73%, CPI</v>
      </c>
    </row>
    <row r="66" spans="1:29" x14ac:dyDescent="0.25">
      <c r="A66" s="153"/>
      <c r="B66" s="857"/>
      <c r="D66" s="8">
        <f>SUM(D59:D65)</f>
        <v>0</v>
      </c>
      <c r="E66" s="863"/>
      <c r="F66" s="2"/>
      <c r="G66" s="83" t="str">
        <f t="shared" si="26"/>
        <v>0.00%</v>
      </c>
      <c r="H66" s="8">
        <f>SUM(H59:H65)</f>
        <v>0</v>
      </c>
      <c r="I66" s="872"/>
      <c r="J66" s="29"/>
      <c r="K66" s="83" t="str">
        <f t="shared" si="28"/>
        <v>0.00%</v>
      </c>
      <c r="L66" s="8">
        <f>SUM(L59:L65)</f>
        <v>0</v>
      </c>
      <c r="M66" s="948"/>
      <c r="O66" s="83" t="str">
        <f t="shared" si="29"/>
        <v>0.00%</v>
      </c>
      <c r="P66" s="8">
        <f>SUM(P59:P65)</f>
        <v>0</v>
      </c>
      <c r="Q66" s="948"/>
      <c r="S66" s="83" t="str">
        <f t="shared" si="30"/>
        <v>0.00%</v>
      </c>
      <c r="T66" s="8">
        <f>SUM(T59:T65)</f>
        <v>0</v>
      </c>
      <c r="U66" s="73"/>
      <c r="W66" s="83" t="str">
        <f t="shared" si="31"/>
        <v>0.00%</v>
      </c>
      <c r="X66" s="8">
        <f>SUM(X59:X65)</f>
        <v>0</v>
      </c>
      <c r="Y66" s="73"/>
      <c r="AA66" s="83" t="str">
        <f t="shared" si="32"/>
        <v>0.00%</v>
      </c>
      <c r="AB66" s="8">
        <f>SUM(AB59:AB65)</f>
        <v>0</v>
      </c>
      <c r="AC66" s="73"/>
    </row>
    <row r="67" spans="1:29" x14ac:dyDescent="0.25">
      <c r="A67" s="152"/>
      <c r="E67" s="863"/>
      <c r="F67" s="2"/>
      <c r="H67" s="2"/>
      <c r="I67" s="871"/>
      <c r="J67" s="66"/>
      <c r="L67" s="2"/>
      <c r="M67" s="948"/>
      <c r="Q67" s="948"/>
      <c r="T67" s="2"/>
      <c r="U67" s="73"/>
      <c r="X67" s="2"/>
      <c r="Y67" s="73"/>
      <c r="AB67" s="2"/>
      <c r="AC67" s="73"/>
    </row>
    <row r="68" spans="1:29" s="4" customFormat="1" x14ac:dyDescent="0.25">
      <c r="A68" s="150"/>
      <c r="B68" s="936" t="s">
        <v>16</v>
      </c>
      <c r="C68" s="873"/>
      <c r="D68" s="6"/>
      <c r="E68" s="864"/>
      <c r="F68" s="6"/>
      <c r="G68" s="373"/>
      <c r="H68" s="6"/>
      <c r="I68" s="873"/>
      <c r="J68" s="58"/>
      <c r="K68" s="380"/>
      <c r="L68" s="6"/>
      <c r="M68" s="950"/>
      <c r="O68" s="380"/>
      <c r="P68" s="6"/>
      <c r="Q68" s="950"/>
      <c r="R68" s="111"/>
      <c r="U68" s="71"/>
      <c r="Y68" s="71"/>
      <c r="AC68" s="71"/>
    </row>
    <row r="69" spans="1:29" hidden="1" x14ac:dyDescent="0.25">
      <c r="A69" s="152"/>
      <c r="B69" s="939"/>
      <c r="D69" s="2">
        <v>0</v>
      </c>
      <c r="E69" s="863"/>
      <c r="F69" s="2"/>
      <c r="G69" s="83" t="str">
        <f t="shared" ref="G69:G74" si="38">IF(D69=0,"0.00%",(H69-D69)/D69)</f>
        <v>0.00%</v>
      </c>
      <c r="H69" s="2">
        <f>ROUND(D69*(LEFT(I69,5)+1),0)</f>
        <v>0</v>
      </c>
      <c r="I69" s="854" t="str">
        <f>TEXT('MYP Assumptions'!E75,"0.00%")&amp;", CPI"</f>
        <v>3.42%, CPI</v>
      </c>
      <c r="J69" s="66"/>
      <c r="K69" s="83" t="str">
        <f t="shared" ref="K69:K82" si="39">IF(H69=0,"0.00%",(L69-H69)/H69)</f>
        <v>0.00%</v>
      </c>
      <c r="L69" s="2">
        <f>ROUND(H69*(LEFT(M69,5)+1),0)</f>
        <v>0</v>
      </c>
      <c r="M69" s="854" t="str">
        <f>TEXT('MYP Assumptions'!F75,"0.00%")&amp;", CPI"</f>
        <v>3.35%, CPI</v>
      </c>
      <c r="O69" s="83" t="str">
        <f t="shared" ref="O69:O82" si="40">IF(L69=0,"0.00%",(P69-L69)/L69)</f>
        <v>0.00%</v>
      </c>
      <c r="P69" s="2">
        <f>ROUND(L69*(LEFT(Q69,5)+1),0)</f>
        <v>0</v>
      </c>
      <c r="Q69" s="854" t="str">
        <f>TEXT('MYP Assumptions'!G75,"0.00%")&amp;", CPI"</f>
        <v>3.02%, CPI</v>
      </c>
      <c r="S69" s="83" t="str">
        <f t="shared" ref="S69:S82" si="41">IF(P69=0,"0.00%",(T69-P69)/P69)</f>
        <v>0.00%</v>
      </c>
      <c r="T69" s="2">
        <f>ROUND(P69*(LEFT(U69,5)+1),0)</f>
        <v>0</v>
      </c>
      <c r="U69" s="81" t="str">
        <f>TEXT('MYP Assumptions'!H75,"0.00%")&amp;", CPI"</f>
        <v>2.73%, CPI</v>
      </c>
      <c r="W69" s="83" t="str">
        <f t="shared" ref="W69:W82" si="42">IF(T69=0,"0.00%",(X69-T69)/T69)</f>
        <v>0.00%</v>
      </c>
      <c r="X69" s="2">
        <f>ROUND(T69*(LEFT(Y69,5)+1),0)</f>
        <v>0</v>
      </c>
      <c r="Y69" s="81" t="str">
        <f>TEXT('MYP Assumptions'!I75,"0.00%")&amp;", CPI"</f>
        <v>2.73%, CPI</v>
      </c>
      <c r="AA69" s="83" t="str">
        <f t="shared" ref="AA69:AA82" si="43">IF(X69=0,"0.00%",(AB69-X69)/X69)</f>
        <v>0.00%</v>
      </c>
      <c r="AB69" s="2">
        <f>ROUND(X69*(LEFT(AC69,5)+1),0)</f>
        <v>0</v>
      </c>
      <c r="AC69" s="81" t="str">
        <f>TEXT('MYP Assumptions'!J75,"0.00%")&amp;", CPI"</f>
        <v>2.73%, CPI</v>
      </c>
    </row>
    <row r="70" spans="1:29" hidden="1" x14ac:dyDescent="0.25">
      <c r="A70" s="152"/>
      <c r="B70" s="939"/>
      <c r="D70" s="2">
        <v>0</v>
      </c>
      <c r="E70" s="863"/>
      <c r="F70" s="2"/>
      <c r="G70" s="83" t="str">
        <f t="shared" si="38"/>
        <v>0.00%</v>
      </c>
      <c r="H70" s="2">
        <f>ROUND(D70*(LEFT(I70,5)+1),0)</f>
        <v>0</v>
      </c>
      <c r="I70" s="854" t="str">
        <f>TEXT('MYP Assumptions'!E75,"0.00%")&amp;", CPI"</f>
        <v>3.42%, CPI</v>
      </c>
      <c r="J70" s="66"/>
      <c r="K70" s="83" t="str">
        <f t="shared" si="39"/>
        <v>0.00%</v>
      </c>
      <c r="L70" s="2">
        <f t="shared" ref="L70:L81" si="44">ROUND(H70*(LEFT(M70,5)+1),0)</f>
        <v>0</v>
      </c>
      <c r="M70" s="854" t="str">
        <f>TEXT('MYP Assumptions'!F75,"0.00%")&amp;", CPI"</f>
        <v>3.35%, CPI</v>
      </c>
      <c r="O70" s="83" t="str">
        <f t="shared" si="40"/>
        <v>0.00%</v>
      </c>
      <c r="P70" s="2">
        <f t="shared" ref="P70:P81" si="45">ROUND(L70*(LEFT(Q70,5)+1),0)</f>
        <v>0</v>
      </c>
      <c r="Q70" s="854" t="str">
        <f>TEXT('MYP Assumptions'!G75,"0.00%")&amp;", CPI"</f>
        <v>3.02%, CPI</v>
      </c>
      <c r="S70" s="83" t="str">
        <f t="shared" si="41"/>
        <v>0.00%</v>
      </c>
      <c r="T70" s="2">
        <f t="shared" ref="T70:T81" si="46">ROUND(P70*(LEFT(U70,5)+1),0)</f>
        <v>0</v>
      </c>
      <c r="U70" s="81" t="str">
        <f>TEXT('MYP Assumptions'!H75,"0.00%")&amp;", CPI"</f>
        <v>2.73%, CPI</v>
      </c>
      <c r="W70" s="83" t="str">
        <f t="shared" si="42"/>
        <v>0.00%</v>
      </c>
      <c r="X70" s="2">
        <f t="shared" ref="X70:X81" si="47">ROUND(T70*(LEFT(Y70,5)+1),0)</f>
        <v>0</v>
      </c>
      <c r="Y70" s="81" t="str">
        <f>TEXT('MYP Assumptions'!I75,"0.00%")&amp;", CPI"</f>
        <v>2.73%, CPI</v>
      </c>
      <c r="AA70" s="83" t="str">
        <f t="shared" si="43"/>
        <v>0.00%</v>
      </c>
      <c r="AB70" s="2">
        <f t="shared" ref="AB70:AB81" si="48">ROUND(X70*(LEFT(AC70,5)+1),0)</f>
        <v>0</v>
      </c>
      <c r="AC70" s="81" t="str">
        <f>TEXT('MYP Assumptions'!J75,"0.00%")&amp;", CPI"</f>
        <v>2.73%, CPI</v>
      </c>
    </row>
    <row r="71" spans="1:29" hidden="1" x14ac:dyDescent="0.25">
      <c r="A71" s="152"/>
      <c r="B71" s="939"/>
      <c r="D71" s="2">
        <v>0</v>
      </c>
      <c r="E71" s="863"/>
      <c r="F71" s="2"/>
      <c r="G71" s="83" t="str">
        <f t="shared" si="38"/>
        <v>0.00%</v>
      </c>
      <c r="H71" s="2">
        <f t="shared" ref="H71:H76" si="49">ROUND(D71*(LEFT(I71,5)+1),0)</f>
        <v>0</v>
      </c>
      <c r="I71" s="854" t="str">
        <f>TEXT('MYP Assumptions'!E75,"0.00%")&amp;", CPI"</f>
        <v>3.42%, CPI</v>
      </c>
      <c r="J71" s="66"/>
      <c r="K71" s="83" t="str">
        <f t="shared" si="39"/>
        <v>0.00%</v>
      </c>
      <c r="L71" s="2">
        <f t="shared" si="44"/>
        <v>0</v>
      </c>
      <c r="M71" s="854" t="str">
        <f>TEXT('MYP Assumptions'!F75,"0.00%")&amp;", CPI"</f>
        <v>3.35%, CPI</v>
      </c>
      <c r="O71" s="83" t="str">
        <f t="shared" si="40"/>
        <v>0.00%</v>
      </c>
      <c r="P71" s="2">
        <f t="shared" si="45"/>
        <v>0</v>
      </c>
      <c r="Q71" s="854" t="str">
        <f>TEXT('MYP Assumptions'!G75,"0.00%")&amp;", CPI"</f>
        <v>3.02%, CPI</v>
      </c>
      <c r="S71" s="83" t="str">
        <f t="shared" si="41"/>
        <v>0.00%</v>
      </c>
      <c r="T71" s="2">
        <f t="shared" si="46"/>
        <v>0</v>
      </c>
      <c r="U71" s="81" t="str">
        <f>TEXT('MYP Assumptions'!H75,"0.00%")&amp;", CPI"</f>
        <v>2.73%, CPI</v>
      </c>
      <c r="W71" s="83" t="str">
        <f t="shared" si="42"/>
        <v>0.00%</v>
      </c>
      <c r="X71" s="2">
        <f t="shared" si="47"/>
        <v>0</v>
      </c>
      <c r="Y71" s="81" t="str">
        <f>TEXT('MYP Assumptions'!I75,"0.00%")&amp;", CPI"</f>
        <v>2.73%, CPI</v>
      </c>
      <c r="AA71" s="83" t="str">
        <f t="shared" si="43"/>
        <v>0.00%</v>
      </c>
      <c r="AB71" s="2">
        <f t="shared" si="48"/>
        <v>0</v>
      </c>
      <c r="AC71" s="81" t="str">
        <f>TEXT('MYP Assumptions'!J75,"0.00%")&amp;", CPI"</f>
        <v>2.73%, CPI</v>
      </c>
    </row>
    <row r="72" spans="1:29" hidden="1" x14ac:dyDescent="0.25">
      <c r="A72" s="152"/>
      <c r="B72" s="939"/>
      <c r="D72" s="2">
        <v>0</v>
      </c>
      <c r="E72" s="863"/>
      <c r="F72" s="2"/>
      <c r="G72" s="83" t="str">
        <f t="shared" si="38"/>
        <v>0.00%</v>
      </c>
      <c r="H72" s="2">
        <f t="shared" si="49"/>
        <v>0</v>
      </c>
      <c r="I72" s="854" t="str">
        <f>TEXT('MYP Assumptions'!E75,"0.00%")&amp;", CPI"</f>
        <v>3.42%, CPI</v>
      </c>
      <c r="J72" s="66"/>
      <c r="K72" s="83" t="str">
        <f t="shared" si="39"/>
        <v>0.00%</v>
      </c>
      <c r="L72" s="2">
        <f t="shared" si="44"/>
        <v>0</v>
      </c>
      <c r="M72" s="854" t="str">
        <f>TEXT('MYP Assumptions'!F75,"0.00%")&amp;", CPI"</f>
        <v>3.35%, CPI</v>
      </c>
      <c r="O72" s="83" t="str">
        <f t="shared" si="40"/>
        <v>0.00%</v>
      </c>
      <c r="P72" s="2">
        <f t="shared" si="45"/>
        <v>0</v>
      </c>
      <c r="Q72" s="854" t="str">
        <f>TEXT('MYP Assumptions'!G75,"0.00%")&amp;", CPI"</f>
        <v>3.02%, CPI</v>
      </c>
      <c r="S72" s="83" t="str">
        <f t="shared" si="41"/>
        <v>0.00%</v>
      </c>
      <c r="T72" s="2">
        <f t="shared" si="46"/>
        <v>0</v>
      </c>
      <c r="U72" s="81" t="str">
        <f>TEXT('MYP Assumptions'!H75,"0.00%")&amp;", CPI"</f>
        <v>2.73%, CPI</v>
      </c>
      <c r="W72" s="83" t="str">
        <f t="shared" si="42"/>
        <v>0.00%</v>
      </c>
      <c r="X72" s="2">
        <f t="shared" si="47"/>
        <v>0</v>
      </c>
      <c r="Y72" s="81" t="str">
        <f>TEXT('MYP Assumptions'!I75,"0.00%")&amp;", CPI"</f>
        <v>2.73%, CPI</v>
      </c>
      <c r="AA72" s="83" t="str">
        <f t="shared" si="43"/>
        <v>0.00%</v>
      </c>
      <c r="AB72" s="2">
        <f t="shared" si="48"/>
        <v>0</v>
      </c>
      <c r="AC72" s="81" t="str">
        <f>TEXT('MYP Assumptions'!J75,"0.00%")&amp;", CPI"</f>
        <v>2.73%, CPI</v>
      </c>
    </row>
    <row r="73" spans="1:29" hidden="1" x14ac:dyDescent="0.25">
      <c r="A73" s="152"/>
      <c r="B73" s="939"/>
      <c r="D73" s="2">
        <v>0</v>
      </c>
      <c r="E73" s="863"/>
      <c r="F73" s="2"/>
      <c r="G73" s="83" t="str">
        <f t="shared" si="38"/>
        <v>0.00%</v>
      </c>
      <c r="H73" s="2">
        <f t="shared" si="49"/>
        <v>0</v>
      </c>
      <c r="I73" s="854" t="str">
        <f>TEXT('MYP Assumptions'!E75,"0.00%")&amp;", CPI"</f>
        <v>3.42%, CPI</v>
      </c>
      <c r="J73" s="66"/>
      <c r="K73" s="83" t="str">
        <f t="shared" si="39"/>
        <v>0.00%</v>
      </c>
      <c r="L73" s="2">
        <f t="shared" si="44"/>
        <v>0</v>
      </c>
      <c r="M73" s="854" t="str">
        <f>TEXT('MYP Assumptions'!F75,"0.00%")&amp;", CPI"</f>
        <v>3.35%, CPI</v>
      </c>
      <c r="O73" s="83" t="str">
        <f t="shared" si="40"/>
        <v>0.00%</v>
      </c>
      <c r="P73" s="2">
        <f t="shared" si="45"/>
        <v>0</v>
      </c>
      <c r="Q73" s="854" t="str">
        <f>TEXT('MYP Assumptions'!G75,"0.00%")&amp;", CPI"</f>
        <v>3.02%, CPI</v>
      </c>
      <c r="S73" s="83" t="str">
        <f t="shared" si="41"/>
        <v>0.00%</v>
      </c>
      <c r="T73" s="2">
        <f t="shared" si="46"/>
        <v>0</v>
      </c>
      <c r="U73" s="81" t="str">
        <f>TEXT('MYP Assumptions'!H75,"0.00%")&amp;", CPI"</f>
        <v>2.73%, CPI</v>
      </c>
      <c r="W73" s="83" t="str">
        <f t="shared" si="42"/>
        <v>0.00%</v>
      </c>
      <c r="X73" s="2">
        <f t="shared" si="47"/>
        <v>0</v>
      </c>
      <c r="Y73" s="81" t="str">
        <f>TEXT('MYP Assumptions'!I75,"0.00%")&amp;", CPI"</f>
        <v>2.73%, CPI</v>
      </c>
      <c r="AA73" s="83" t="str">
        <f t="shared" si="43"/>
        <v>0.00%</v>
      </c>
      <c r="AB73" s="2">
        <f t="shared" si="48"/>
        <v>0</v>
      </c>
      <c r="AC73" s="81" t="str">
        <f>TEXT('MYP Assumptions'!J75,"0.00%")&amp;", CPI"</f>
        <v>2.73%, CPI</v>
      </c>
    </row>
    <row r="74" spans="1:29" hidden="1" x14ac:dyDescent="0.25">
      <c r="A74" s="152"/>
      <c r="B74" s="939"/>
      <c r="D74" s="2">
        <v>0</v>
      </c>
      <c r="E74" s="863"/>
      <c r="F74" s="2"/>
      <c r="G74" s="83" t="str">
        <f t="shared" si="38"/>
        <v>0.00%</v>
      </c>
      <c r="H74" s="2">
        <f t="shared" si="49"/>
        <v>0</v>
      </c>
      <c r="I74" s="854" t="str">
        <f>TEXT('MYP Assumptions'!E75,"0.00%")&amp;", CPI"</f>
        <v>3.42%, CPI</v>
      </c>
      <c r="J74" s="66"/>
      <c r="K74" s="83" t="str">
        <f t="shared" si="39"/>
        <v>0.00%</v>
      </c>
      <c r="L74" s="2">
        <f t="shared" si="44"/>
        <v>0</v>
      </c>
      <c r="M74" s="854" t="str">
        <f>TEXT('MYP Assumptions'!F75,"0.00%")&amp;", CPI"</f>
        <v>3.35%, CPI</v>
      </c>
      <c r="O74" s="83" t="str">
        <f t="shared" si="40"/>
        <v>0.00%</v>
      </c>
      <c r="P74" s="2">
        <f t="shared" si="45"/>
        <v>0</v>
      </c>
      <c r="Q74" s="854" t="str">
        <f>TEXT('MYP Assumptions'!G75,"0.00%")&amp;", CPI"</f>
        <v>3.02%, CPI</v>
      </c>
      <c r="S74" s="83" t="str">
        <f t="shared" si="41"/>
        <v>0.00%</v>
      </c>
      <c r="T74" s="2">
        <f t="shared" si="46"/>
        <v>0</v>
      </c>
      <c r="U74" s="81" t="str">
        <f>TEXT('MYP Assumptions'!H75,"0.00%")&amp;", CPI"</f>
        <v>2.73%, CPI</v>
      </c>
      <c r="W74" s="83" t="str">
        <f t="shared" si="42"/>
        <v>0.00%</v>
      </c>
      <c r="X74" s="2">
        <f t="shared" si="47"/>
        <v>0</v>
      </c>
      <c r="Y74" s="81" t="str">
        <f>TEXT('MYP Assumptions'!I75,"0.00%")&amp;", CPI"</f>
        <v>2.73%, CPI</v>
      </c>
      <c r="AA74" s="83" t="str">
        <f t="shared" si="43"/>
        <v>0.00%</v>
      </c>
      <c r="AB74" s="2">
        <f t="shared" si="48"/>
        <v>0</v>
      </c>
      <c r="AC74" s="81" t="str">
        <f>TEXT('MYP Assumptions'!J75,"0.00%")&amp;", CPI"</f>
        <v>2.73%, CPI</v>
      </c>
    </row>
    <row r="75" spans="1:29" hidden="1" x14ac:dyDescent="0.25">
      <c r="A75" s="152"/>
      <c r="B75" s="939"/>
      <c r="D75" s="2">
        <v>0</v>
      </c>
      <c r="E75" s="863"/>
      <c r="F75" s="2"/>
      <c r="G75" s="83" t="str">
        <f>IF(D75=0,"0.00%",(H75-D75)/D75)</f>
        <v>0.00%</v>
      </c>
      <c r="H75" s="2">
        <f t="shared" si="49"/>
        <v>0</v>
      </c>
      <c r="I75" s="854" t="str">
        <f>TEXT('MYP Assumptions'!E75,"0.00%")&amp;", CPI"</f>
        <v>3.42%, CPI</v>
      </c>
      <c r="J75" s="66"/>
      <c r="K75" s="83" t="str">
        <f t="shared" si="39"/>
        <v>0.00%</v>
      </c>
      <c r="L75" s="2">
        <f t="shared" si="44"/>
        <v>0</v>
      </c>
      <c r="M75" s="854" t="str">
        <f>TEXT('MYP Assumptions'!F75,"0.00%")&amp;", CPI"</f>
        <v>3.35%, CPI</v>
      </c>
      <c r="O75" s="83" t="str">
        <f t="shared" si="40"/>
        <v>0.00%</v>
      </c>
      <c r="P75" s="2">
        <f t="shared" si="45"/>
        <v>0</v>
      </c>
      <c r="Q75" s="854" t="str">
        <f>TEXT('MYP Assumptions'!G75,"0.00%")&amp;", CPI"</f>
        <v>3.02%, CPI</v>
      </c>
      <c r="S75" s="83" t="str">
        <f t="shared" si="41"/>
        <v>0.00%</v>
      </c>
      <c r="T75" s="2">
        <f t="shared" si="46"/>
        <v>0</v>
      </c>
      <c r="U75" s="81" t="str">
        <f>TEXT('MYP Assumptions'!H75,"0.00%")&amp;", CPI"</f>
        <v>2.73%, CPI</v>
      </c>
      <c r="W75" s="83" t="str">
        <f t="shared" si="42"/>
        <v>0.00%</v>
      </c>
      <c r="X75" s="2">
        <f t="shared" si="47"/>
        <v>0</v>
      </c>
      <c r="Y75" s="81" t="str">
        <f>TEXT('MYP Assumptions'!I75,"0.00%")&amp;", CPI"</f>
        <v>2.73%, CPI</v>
      </c>
      <c r="AA75" s="83" t="str">
        <f t="shared" si="43"/>
        <v>0.00%</v>
      </c>
      <c r="AB75" s="2">
        <f t="shared" si="48"/>
        <v>0</v>
      </c>
      <c r="AC75" s="81" t="str">
        <f>TEXT('MYP Assumptions'!J75,"0.00%")&amp;", CPI"</f>
        <v>2.73%, CPI</v>
      </c>
    </row>
    <row r="76" spans="1:29" hidden="1" x14ac:dyDescent="0.25">
      <c r="A76" s="152"/>
      <c r="B76" s="939"/>
      <c r="D76" s="2">
        <v>0</v>
      </c>
      <c r="E76" s="863"/>
      <c r="F76" s="2"/>
      <c r="G76" s="83" t="str">
        <f t="shared" ref="G76:G82" si="50">IF(D76=0,"0.00%",(H76-D76)/D76)</f>
        <v>0.00%</v>
      </c>
      <c r="H76" s="2">
        <f t="shared" si="49"/>
        <v>0</v>
      </c>
      <c r="I76" s="854" t="str">
        <f>TEXT('MYP Assumptions'!E75,"0.00%")&amp;", CPI"</f>
        <v>3.42%, CPI</v>
      </c>
      <c r="J76" s="66"/>
      <c r="K76" s="83" t="str">
        <f t="shared" si="39"/>
        <v>0.00%</v>
      </c>
      <c r="L76" s="2">
        <f t="shared" si="44"/>
        <v>0</v>
      </c>
      <c r="M76" s="854" t="str">
        <f>TEXT('MYP Assumptions'!F75,"0.00%")&amp;", CPI"</f>
        <v>3.35%, CPI</v>
      </c>
      <c r="O76" s="83" t="str">
        <f t="shared" si="40"/>
        <v>0.00%</v>
      </c>
      <c r="P76" s="2">
        <f t="shared" si="45"/>
        <v>0</v>
      </c>
      <c r="Q76" s="854" t="str">
        <f>TEXT('MYP Assumptions'!G75,"0.00%")&amp;", CPI"</f>
        <v>3.02%, CPI</v>
      </c>
      <c r="S76" s="83" t="str">
        <f t="shared" si="41"/>
        <v>0.00%</v>
      </c>
      <c r="T76" s="2">
        <f t="shared" si="46"/>
        <v>0</v>
      </c>
      <c r="U76" s="81" t="str">
        <f>TEXT('MYP Assumptions'!H75,"0.00%")&amp;", CPI"</f>
        <v>2.73%, CPI</v>
      </c>
      <c r="W76" s="83" t="str">
        <f t="shared" si="42"/>
        <v>0.00%</v>
      </c>
      <c r="X76" s="2">
        <f t="shared" si="47"/>
        <v>0</v>
      </c>
      <c r="Y76" s="81" t="str">
        <f>TEXT('MYP Assumptions'!I75,"0.00%")&amp;", CPI"</f>
        <v>2.73%, CPI</v>
      </c>
      <c r="AA76" s="83" t="str">
        <f t="shared" si="43"/>
        <v>0.00%</v>
      </c>
      <c r="AB76" s="2">
        <f t="shared" si="48"/>
        <v>0</v>
      </c>
      <c r="AC76" s="81" t="str">
        <f>TEXT('MYP Assumptions'!J75,"0.00%")&amp;", CPI"</f>
        <v>2.73%, CPI</v>
      </c>
    </row>
    <row r="77" spans="1:29" hidden="1" x14ac:dyDescent="0.25">
      <c r="A77" s="152"/>
      <c r="B77" s="939"/>
      <c r="D77" s="2">
        <v>0</v>
      </c>
      <c r="E77" s="863"/>
      <c r="F77" s="2"/>
      <c r="G77" s="83" t="str">
        <f t="shared" si="50"/>
        <v>0.00%</v>
      </c>
      <c r="H77" s="2">
        <f>ROUND(D77*(LEFT(I77,5)+1),0)</f>
        <v>0</v>
      </c>
      <c r="I77" s="854" t="str">
        <f>TEXT('MYP Assumptions'!E75,"0.00%")&amp;", CPI"</f>
        <v>3.42%, CPI</v>
      </c>
      <c r="J77" s="66"/>
      <c r="K77" s="83" t="str">
        <f t="shared" si="39"/>
        <v>0.00%</v>
      </c>
      <c r="L77" s="2">
        <f t="shared" si="44"/>
        <v>0</v>
      </c>
      <c r="M77" s="854" t="str">
        <f>TEXT('MYP Assumptions'!F75,"0.00%")&amp;", CPI"</f>
        <v>3.35%, CPI</v>
      </c>
      <c r="O77" s="83" t="str">
        <f t="shared" si="40"/>
        <v>0.00%</v>
      </c>
      <c r="P77" s="2">
        <f t="shared" si="45"/>
        <v>0</v>
      </c>
      <c r="Q77" s="854" t="str">
        <f>TEXT('MYP Assumptions'!G75,"0.00%")&amp;", CPI"</f>
        <v>3.02%, CPI</v>
      </c>
      <c r="S77" s="83" t="str">
        <f t="shared" si="41"/>
        <v>0.00%</v>
      </c>
      <c r="T77" s="2">
        <f t="shared" si="46"/>
        <v>0</v>
      </c>
      <c r="U77" s="81" t="str">
        <f>TEXT('MYP Assumptions'!H75,"0.00%")&amp;", CPI"</f>
        <v>2.73%, CPI</v>
      </c>
      <c r="W77" s="83" t="str">
        <f t="shared" si="42"/>
        <v>0.00%</v>
      </c>
      <c r="X77" s="2">
        <f t="shared" si="47"/>
        <v>0</v>
      </c>
      <c r="Y77" s="81" t="str">
        <f>TEXT('MYP Assumptions'!I75,"0.00%")&amp;", CPI"</f>
        <v>2.73%, CPI</v>
      </c>
      <c r="AA77" s="83" t="str">
        <f t="shared" si="43"/>
        <v>0.00%</v>
      </c>
      <c r="AB77" s="2">
        <f t="shared" si="48"/>
        <v>0</v>
      </c>
      <c r="AC77" s="81" t="str">
        <f>TEXT('MYP Assumptions'!J75,"0.00%")&amp;", CPI"</f>
        <v>2.73%, CPI</v>
      </c>
    </row>
    <row r="78" spans="1:29" hidden="1" x14ac:dyDescent="0.25">
      <c r="A78" s="152"/>
      <c r="B78" s="939"/>
      <c r="D78" s="2">
        <v>0</v>
      </c>
      <c r="E78" s="863"/>
      <c r="F78" s="2"/>
      <c r="G78" s="83" t="str">
        <f t="shared" si="50"/>
        <v>0.00%</v>
      </c>
      <c r="H78" s="2">
        <f>ROUND(D78*(LEFT(I78,5)+1),0)</f>
        <v>0</v>
      </c>
      <c r="I78" s="854" t="str">
        <f>TEXT('MYP Assumptions'!E75,"0.00%")&amp;", CPI"</f>
        <v>3.42%, CPI</v>
      </c>
      <c r="J78" s="66"/>
      <c r="K78" s="83" t="str">
        <f t="shared" si="39"/>
        <v>0.00%</v>
      </c>
      <c r="L78" s="2">
        <f t="shared" si="44"/>
        <v>0</v>
      </c>
      <c r="M78" s="854" t="str">
        <f>TEXT('MYP Assumptions'!F75,"0.00%")&amp;", CPI"</f>
        <v>3.35%, CPI</v>
      </c>
      <c r="O78" s="83" t="str">
        <f t="shared" si="40"/>
        <v>0.00%</v>
      </c>
      <c r="P78" s="2">
        <f t="shared" si="45"/>
        <v>0</v>
      </c>
      <c r="Q78" s="854" t="str">
        <f>TEXT('MYP Assumptions'!G75,"0.00%")&amp;", CPI"</f>
        <v>3.02%, CPI</v>
      </c>
      <c r="S78" s="83" t="str">
        <f t="shared" si="41"/>
        <v>0.00%</v>
      </c>
      <c r="T78" s="2">
        <f t="shared" si="46"/>
        <v>0</v>
      </c>
      <c r="U78" s="81" t="str">
        <f>TEXT('MYP Assumptions'!H75,"0.00%")&amp;", CPI"</f>
        <v>2.73%, CPI</v>
      </c>
      <c r="W78" s="83" t="str">
        <f t="shared" si="42"/>
        <v>0.00%</v>
      </c>
      <c r="X78" s="2">
        <f t="shared" si="47"/>
        <v>0</v>
      </c>
      <c r="Y78" s="81" t="str">
        <f>TEXT('MYP Assumptions'!I75,"0.00%")&amp;", CPI"</f>
        <v>2.73%, CPI</v>
      </c>
      <c r="AA78" s="83" t="str">
        <f t="shared" si="43"/>
        <v>0.00%</v>
      </c>
      <c r="AB78" s="2">
        <f t="shared" si="48"/>
        <v>0</v>
      </c>
      <c r="AC78" s="81" t="str">
        <f>TEXT('MYP Assumptions'!J75,"0.00%")&amp;", CPI"</f>
        <v>2.73%, CPI</v>
      </c>
    </row>
    <row r="79" spans="1:29" hidden="1" x14ac:dyDescent="0.25">
      <c r="A79" s="152"/>
      <c r="B79" s="939"/>
      <c r="D79" s="2">
        <v>0</v>
      </c>
      <c r="E79" s="863"/>
      <c r="F79" s="2"/>
      <c r="G79" s="83" t="str">
        <f t="shared" si="50"/>
        <v>0.00%</v>
      </c>
      <c r="H79" s="2">
        <f>ROUND(D79*(LEFT(I79,5)+1),0)</f>
        <v>0</v>
      </c>
      <c r="I79" s="854" t="str">
        <f>TEXT('MYP Assumptions'!E75,"0.00%")&amp;", CPI"</f>
        <v>3.42%, CPI</v>
      </c>
      <c r="J79" s="66"/>
      <c r="K79" s="83" t="str">
        <f t="shared" si="39"/>
        <v>0.00%</v>
      </c>
      <c r="L79" s="2">
        <f t="shared" si="44"/>
        <v>0</v>
      </c>
      <c r="M79" s="854" t="str">
        <f>TEXT('MYP Assumptions'!F75,"0.00%")&amp;", CPI"</f>
        <v>3.35%, CPI</v>
      </c>
      <c r="O79" s="83" t="str">
        <f t="shared" si="40"/>
        <v>0.00%</v>
      </c>
      <c r="P79" s="2">
        <f t="shared" si="45"/>
        <v>0</v>
      </c>
      <c r="Q79" s="854" t="str">
        <f>TEXT('MYP Assumptions'!G75,"0.00%")&amp;", CPI"</f>
        <v>3.02%, CPI</v>
      </c>
      <c r="S79" s="83" t="str">
        <f t="shared" si="41"/>
        <v>0.00%</v>
      </c>
      <c r="T79" s="2">
        <f t="shared" si="46"/>
        <v>0</v>
      </c>
      <c r="U79" s="81" t="str">
        <f>TEXT('MYP Assumptions'!H75,"0.00%")&amp;", CPI"</f>
        <v>2.73%, CPI</v>
      </c>
      <c r="W79" s="83" t="str">
        <f t="shared" si="42"/>
        <v>0.00%</v>
      </c>
      <c r="X79" s="2">
        <f t="shared" si="47"/>
        <v>0</v>
      </c>
      <c r="Y79" s="81" t="str">
        <f>TEXT('MYP Assumptions'!I75,"0.00%")&amp;", CPI"</f>
        <v>2.73%, CPI</v>
      </c>
      <c r="AA79" s="83" t="str">
        <f t="shared" si="43"/>
        <v>0.00%</v>
      </c>
      <c r="AB79" s="2">
        <f t="shared" si="48"/>
        <v>0</v>
      </c>
      <c r="AC79" s="81" t="str">
        <f>TEXT('MYP Assumptions'!J75,"0.00%")&amp;", CPI"</f>
        <v>2.73%, CPI</v>
      </c>
    </row>
    <row r="80" spans="1:29" hidden="1" x14ac:dyDescent="0.25">
      <c r="A80" s="152"/>
      <c r="B80" s="939"/>
      <c r="D80" s="2">
        <v>0</v>
      </c>
      <c r="E80" s="863"/>
      <c r="F80" s="2"/>
      <c r="G80" s="83" t="str">
        <f t="shared" si="50"/>
        <v>0.00%</v>
      </c>
      <c r="H80" s="2">
        <f>ROUND(D80*(LEFT(I80,5)+1),0)</f>
        <v>0</v>
      </c>
      <c r="I80" s="854" t="str">
        <f>TEXT('MYP Assumptions'!E75,"0.00%")&amp;", CPI"</f>
        <v>3.42%, CPI</v>
      </c>
      <c r="J80" s="66"/>
      <c r="K80" s="83" t="str">
        <f t="shared" si="39"/>
        <v>0.00%</v>
      </c>
      <c r="L80" s="2">
        <f t="shared" si="44"/>
        <v>0</v>
      </c>
      <c r="M80" s="854" t="str">
        <f>TEXT('MYP Assumptions'!F75,"0.00%")&amp;", CPI"</f>
        <v>3.35%, CPI</v>
      </c>
      <c r="O80" s="83" t="str">
        <f t="shared" si="40"/>
        <v>0.00%</v>
      </c>
      <c r="P80" s="2">
        <f t="shared" si="45"/>
        <v>0</v>
      </c>
      <c r="Q80" s="854" t="str">
        <f>TEXT('MYP Assumptions'!G75,"0.00%")&amp;", CPI"</f>
        <v>3.02%, CPI</v>
      </c>
      <c r="S80" s="83" t="str">
        <f t="shared" si="41"/>
        <v>0.00%</v>
      </c>
      <c r="T80" s="2">
        <f t="shared" si="46"/>
        <v>0</v>
      </c>
      <c r="U80" s="81" t="str">
        <f>TEXT('MYP Assumptions'!H75,"0.00%")&amp;", CPI"</f>
        <v>2.73%, CPI</v>
      </c>
      <c r="W80" s="83" t="str">
        <f t="shared" si="42"/>
        <v>0.00%</v>
      </c>
      <c r="X80" s="2">
        <f t="shared" si="47"/>
        <v>0</v>
      </c>
      <c r="Y80" s="81" t="str">
        <f>TEXT('MYP Assumptions'!I75,"0.00%")&amp;", CPI"</f>
        <v>2.73%, CPI</v>
      </c>
      <c r="AA80" s="83" t="str">
        <f t="shared" si="43"/>
        <v>0.00%</v>
      </c>
      <c r="AB80" s="2">
        <f t="shared" si="48"/>
        <v>0</v>
      </c>
      <c r="AC80" s="81" t="str">
        <f>TEXT('MYP Assumptions'!J75,"0.00%")&amp;", CPI"</f>
        <v>2.73%, CPI</v>
      </c>
    </row>
    <row r="81" spans="1:29" hidden="1" x14ac:dyDescent="0.25">
      <c r="A81" s="152"/>
      <c r="B81" s="939"/>
      <c r="D81" s="2">
        <f>'RS 3010-ALL'!AF80</f>
        <v>0</v>
      </c>
      <c r="E81" s="863"/>
      <c r="F81" s="2"/>
      <c r="G81" s="83" t="str">
        <f t="shared" si="50"/>
        <v>0.00%</v>
      </c>
      <c r="H81" s="2">
        <f>ROUND(D81*(LEFT(I81,5)+1),0)</f>
        <v>0</v>
      </c>
      <c r="I81" s="854" t="str">
        <f>TEXT('MYP Assumptions'!E75,"0.00%")&amp;", CPI"</f>
        <v>3.42%, CPI</v>
      </c>
      <c r="J81" s="66"/>
      <c r="K81" s="83" t="str">
        <f t="shared" si="39"/>
        <v>0.00%</v>
      </c>
      <c r="L81" s="2">
        <f t="shared" si="44"/>
        <v>0</v>
      </c>
      <c r="M81" s="854" t="str">
        <f>TEXT('MYP Assumptions'!F75,"0.00%")&amp;", CPI"</f>
        <v>3.35%, CPI</v>
      </c>
      <c r="O81" s="83" t="str">
        <f t="shared" si="40"/>
        <v>0.00%</v>
      </c>
      <c r="P81" s="2">
        <f t="shared" si="45"/>
        <v>0</v>
      </c>
      <c r="Q81" s="854" t="str">
        <f>TEXT('MYP Assumptions'!G75,"0.00%")&amp;", CPI"</f>
        <v>3.02%, CPI</v>
      </c>
      <c r="S81" s="83" t="str">
        <f t="shared" si="41"/>
        <v>0.00%</v>
      </c>
      <c r="T81" s="2">
        <f t="shared" si="46"/>
        <v>0</v>
      </c>
      <c r="U81" s="81" t="str">
        <f>TEXT('MYP Assumptions'!H75,"0.00%")&amp;", CPI"</f>
        <v>2.73%, CPI</v>
      </c>
      <c r="W81" s="83" t="str">
        <f t="shared" si="42"/>
        <v>0.00%</v>
      </c>
      <c r="X81" s="2">
        <f t="shared" si="47"/>
        <v>0</v>
      </c>
      <c r="Y81" s="81" t="str">
        <f>TEXT('MYP Assumptions'!I75,"0.00%")&amp;", CPI"</f>
        <v>2.73%, CPI</v>
      </c>
      <c r="AA81" s="83" t="str">
        <f t="shared" si="43"/>
        <v>0.00%</v>
      </c>
      <c r="AB81" s="2">
        <f t="shared" si="48"/>
        <v>0</v>
      </c>
      <c r="AC81" s="81" t="str">
        <f>TEXT('MYP Assumptions'!J75,"0.00%")&amp;", CPI"</f>
        <v>2.73%, CPI</v>
      </c>
    </row>
    <row r="82" spans="1:29" x14ac:dyDescent="0.25">
      <c r="A82" s="153"/>
      <c r="D82" s="8">
        <f>SUM(D69:D81)</f>
        <v>0</v>
      </c>
      <c r="E82" s="863"/>
      <c r="F82" s="2"/>
      <c r="G82" s="83" t="str">
        <f t="shared" si="50"/>
        <v>0.00%</v>
      </c>
      <c r="H82" s="8">
        <f>SUM(H69:H81)</f>
        <v>0</v>
      </c>
      <c r="I82" s="872"/>
      <c r="J82" s="29"/>
      <c r="K82" s="83" t="str">
        <f t="shared" si="39"/>
        <v>0.00%</v>
      </c>
      <c r="L82" s="8">
        <f>SUM(L69:L81)</f>
        <v>0</v>
      </c>
      <c r="M82" s="948"/>
      <c r="O82" s="83" t="str">
        <f t="shared" si="40"/>
        <v>0.00%</v>
      </c>
      <c r="P82" s="8">
        <f>SUM(P69:P81)</f>
        <v>0</v>
      </c>
      <c r="Q82" s="948"/>
      <c r="S82" s="83" t="str">
        <f t="shared" si="41"/>
        <v>0.00%</v>
      </c>
      <c r="T82" s="8">
        <f>SUM(T69:T81)</f>
        <v>0</v>
      </c>
      <c r="U82" s="73"/>
      <c r="W82" s="83" t="str">
        <f t="shared" si="42"/>
        <v>0.00%</v>
      </c>
      <c r="X82" s="8">
        <f>SUM(X69:X81)</f>
        <v>0</v>
      </c>
      <c r="Y82" s="73"/>
      <c r="AA82" s="83" t="str">
        <f t="shared" si="43"/>
        <v>0.00%</v>
      </c>
      <c r="AB82" s="8">
        <f>SUM(AB69:AB81)</f>
        <v>0</v>
      </c>
      <c r="AC82" s="73"/>
    </row>
    <row r="83" spans="1:29" x14ac:dyDescent="0.25">
      <c r="A83" s="152"/>
      <c r="B83" s="936"/>
      <c r="E83" s="863"/>
      <c r="F83" s="2"/>
      <c r="G83" s="83"/>
      <c r="H83" s="2"/>
      <c r="I83" s="871"/>
      <c r="J83" s="66"/>
      <c r="L83" s="2"/>
      <c r="M83" s="948"/>
      <c r="Q83" s="948"/>
      <c r="T83" s="2"/>
      <c r="U83" s="73"/>
      <c r="X83" s="2"/>
      <c r="Y83" s="73"/>
      <c r="AB83" s="2"/>
      <c r="AC83" s="73"/>
    </row>
    <row r="84" spans="1:29" x14ac:dyDescent="0.25">
      <c r="A84" s="152"/>
      <c r="B84" s="936" t="s">
        <v>233</v>
      </c>
      <c r="E84" s="863"/>
      <c r="F84" s="2"/>
      <c r="G84" s="83"/>
      <c r="H84" s="2"/>
      <c r="I84" s="871"/>
      <c r="J84" s="66"/>
      <c r="L84" s="2"/>
      <c r="M84" s="948"/>
      <c r="Q84" s="948"/>
      <c r="T84" s="2"/>
      <c r="U84" s="73"/>
      <c r="X84" s="2"/>
      <c r="Y84" s="73"/>
      <c r="AB84" s="2"/>
      <c r="AC84" s="73"/>
    </row>
    <row r="85" spans="1:29" x14ac:dyDescent="0.25">
      <c r="A85" s="152"/>
      <c r="B85" s="939">
        <v>7211</v>
      </c>
      <c r="C85" s="857" t="s">
        <v>235</v>
      </c>
      <c r="D85" s="2">
        <v>7775</v>
      </c>
      <c r="E85" s="863"/>
      <c r="F85" s="2"/>
      <c r="G85" s="83"/>
      <c r="H85" s="2">
        <v>10325</v>
      </c>
      <c r="I85" s="871" t="s">
        <v>174</v>
      </c>
      <c r="J85" s="66"/>
      <c r="L85" s="2">
        <f>+H85</f>
        <v>10325</v>
      </c>
      <c r="M85" s="871" t="s">
        <v>174</v>
      </c>
      <c r="P85" s="2">
        <f>+L85</f>
        <v>10325</v>
      </c>
      <c r="Q85" s="871" t="s">
        <v>174</v>
      </c>
      <c r="T85" s="2">
        <f>+P85</f>
        <v>10325</v>
      </c>
      <c r="U85" s="36" t="s">
        <v>174</v>
      </c>
      <c r="X85" s="2">
        <f>+T85</f>
        <v>10325</v>
      </c>
      <c r="Y85" s="36" t="s">
        <v>174</v>
      </c>
      <c r="AB85" s="2">
        <f>+X85</f>
        <v>10325</v>
      </c>
      <c r="AC85" s="36" t="s">
        <v>174</v>
      </c>
    </row>
    <row r="86" spans="1:29" hidden="1" x14ac:dyDescent="0.25">
      <c r="A86" s="152"/>
      <c r="B86" s="936"/>
      <c r="D86" s="2">
        <v>0</v>
      </c>
      <c r="E86" s="863"/>
      <c r="F86" s="2"/>
      <c r="G86" s="83"/>
      <c r="H86" s="2">
        <v>0</v>
      </c>
      <c r="I86" s="871"/>
      <c r="J86" s="66"/>
      <c r="L86" s="2">
        <v>0</v>
      </c>
      <c r="M86" s="871"/>
      <c r="P86" s="2">
        <v>0</v>
      </c>
      <c r="Q86" s="871"/>
      <c r="T86" s="2">
        <v>0</v>
      </c>
      <c r="U86" s="36"/>
      <c r="X86" s="2">
        <v>0</v>
      </c>
      <c r="Y86" s="36"/>
      <c r="AB86" s="2">
        <v>0</v>
      </c>
      <c r="AC86" s="36"/>
    </row>
    <row r="87" spans="1:29" hidden="1" x14ac:dyDescent="0.25">
      <c r="A87" s="152"/>
      <c r="B87" s="936"/>
      <c r="D87" s="2">
        <v>0</v>
      </c>
      <c r="E87" s="863"/>
      <c r="F87" s="2"/>
      <c r="G87" s="83"/>
      <c r="H87" s="2">
        <v>0</v>
      </c>
      <c r="I87" s="871"/>
      <c r="J87" s="66"/>
      <c r="L87" s="2">
        <v>0</v>
      </c>
      <c r="M87" s="871"/>
      <c r="P87" s="2">
        <v>0</v>
      </c>
      <c r="Q87" s="871"/>
      <c r="T87" s="2">
        <v>0</v>
      </c>
      <c r="U87" s="36"/>
      <c r="X87" s="2">
        <v>0</v>
      </c>
      <c r="Y87" s="36"/>
      <c r="AB87" s="2">
        <v>0</v>
      </c>
      <c r="AC87" s="36"/>
    </row>
    <row r="88" spans="1:29" ht="6.75" hidden="1" customHeight="1" x14ac:dyDescent="0.25">
      <c r="A88" s="152"/>
      <c r="B88" s="936"/>
      <c r="E88" s="863"/>
      <c r="F88" s="2"/>
      <c r="G88" s="83"/>
      <c r="H88" s="2"/>
      <c r="I88" s="871"/>
      <c r="J88" s="66"/>
      <c r="L88" s="2"/>
      <c r="M88" s="871"/>
      <c r="Q88" s="871"/>
      <c r="T88" s="2"/>
      <c r="U88" s="36"/>
      <c r="X88" s="2"/>
      <c r="Y88" s="36"/>
      <c r="AB88" s="2"/>
      <c r="AC88" s="36"/>
    </row>
    <row r="89" spans="1:29" s="13" customFormat="1" x14ac:dyDescent="0.25">
      <c r="A89" s="154"/>
      <c r="B89" s="938"/>
      <c r="C89" s="938"/>
      <c r="D89" s="160">
        <f>SUM(D85:D88)</f>
        <v>7775</v>
      </c>
      <c r="E89" s="861"/>
      <c r="F89" s="10"/>
      <c r="G89" s="372"/>
      <c r="H89" s="160">
        <f>SUM(H85:H88)</f>
        <v>10325</v>
      </c>
      <c r="I89" s="1292">
        <f>+H89-D89</f>
        <v>2550</v>
      </c>
      <c r="J89" s="57"/>
      <c r="K89" s="379"/>
      <c r="L89" s="160">
        <f>SUM(L85:L88)</f>
        <v>10325</v>
      </c>
      <c r="M89" s="1292">
        <f>+L89-H89</f>
        <v>0</v>
      </c>
      <c r="O89" s="379"/>
      <c r="P89" s="160">
        <f>SUM(P85:P88)</f>
        <v>10325</v>
      </c>
      <c r="Q89" s="1292">
        <f>+P89-L89</f>
        <v>0</v>
      </c>
      <c r="R89" s="111"/>
      <c r="T89" s="160">
        <f>SUM(T85:T88)</f>
        <v>10325</v>
      </c>
      <c r="U89" s="6"/>
      <c r="X89" s="160">
        <f>SUM(X85:X88)</f>
        <v>10325</v>
      </c>
      <c r="Y89" s="6"/>
      <c r="AB89" s="160">
        <f>SUM(AB85:AB88)</f>
        <v>10325</v>
      </c>
      <c r="AC89" s="6"/>
    </row>
    <row r="90" spans="1:29" x14ac:dyDescent="0.25">
      <c r="A90" s="152"/>
      <c r="E90" s="863"/>
      <c r="F90" s="2"/>
      <c r="H90" s="2"/>
      <c r="I90" s="871"/>
      <c r="J90" s="66"/>
      <c r="L90" s="2"/>
      <c r="M90" s="871"/>
      <c r="Q90" s="871"/>
      <c r="T90" s="2"/>
      <c r="U90" s="36"/>
      <c r="X90" s="2"/>
      <c r="Y90" s="36"/>
      <c r="AB90" s="2"/>
      <c r="AC90" s="36"/>
    </row>
    <row r="91" spans="1:29" x14ac:dyDescent="0.25">
      <c r="A91" s="152"/>
      <c r="E91" s="863"/>
      <c r="F91" s="2"/>
      <c r="H91" s="2"/>
      <c r="I91" s="871"/>
      <c r="J91" s="66"/>
      <c r="L91" s="2"/>
      <c r="M91" s="871"/>
      <c r="Q91" s="871"/>
      <c r="T91" s="2"/>
      <c r="U91" s="36"/>
      <c r="X91" s="2"/>
      <c r="Y91" s="36"/>
      <c r="AB91" s="2"/>
      <c r="AC91" s="36"/>
    </row>
    <row r="92" spans="1:29" x14ac:dyDescent="0.25">
      <c r="A92" s="153"/>
      <c r="B92" s="936" t="s">
        <v>0</v>
      </c>
      <c r="D92" s="8">
        <f>SUM(D82,D66,D55,D13,D89)</f>
        <v>1699671</v>
      </c>
      <c r="E92" s="863"/>
      <c r="F92" s="2"/>
      <c r="G92" s="83">
        <f>IF(D92=0,"0.00%",(H92-D92)/D92)</f>
        <v>6.7360094983087903E-3</v>
      </c>
      <c r="H92" s="8">
        <f>SUM(H82,H66,H55,H13,H89)</f>
        <v>1711120</v>
      </c>
      <c r="I92" s="1292">
        <f>+H92-D92</f>
        <v>11449</v>
      </c>
      <c r="J92" s="29"/>
      <c r="K92" s="83">
        <f>IF(H92=0,"0.00%",(L92-H92)/H92)</f>
        <v>0</v>
      </c>
      <c r="L92" s="8">
        <f>SUM(L82,L66,L55,L13,L89)</f>
        <v>1711120</v>
      </c>
      <c r="M92" s="1292">
        <f>+L92-H92</f>
        <v>0</v>
      </c>
      <c r="O92" s="83">
        <f>IF(L92=0,"0.00%",(P92-L92)/L92)</f>
        <v>0</v>
      </c>
      <c r="P92" s="8">
        <f>SUM(P82,P66,P55,P13,P89)</f>
        <v>1711120</v>
      </c>
      <c r="Q92" s="1292">
        <f>+P92-L92</f>
        <v>0</v>
      </c>
      <c r="S92" s="83">
        <f>IF(P92=0,"0.00%",(T92-P92)/P92)</f>
        <v>4.1990626022721959E-2</v>
      </c>
      <c r="T92" s="8">
        <f>SUM(T82,T66,T55,T13,T89)</f>
        <v>1782971</v>
      </c>
      <c r="U92" s="5"/>
      <c r="W92" s="83">
        <f>IF(T92=0,"0.00%",(X92-T92)/T92)</f>
        <v>3.140039854826579E-2</v>
      </c>
      <c r="X92" s="8">
        <f>SUM(X82,X66,X55,X13,X89)</f>
        <v>1838957</v>
      </c>
      <c r="Y92" s="5"/>
      <c r="AA92" s="83">
        <f>IF(X92=0,"0.00%",(AB92-X92)/X92)</f>
        <v>2.7920174316202064E-2</v>
      </c>
      <c r="AB92" s="8">
        <f>SUM(AB82,AB66,AB55,AB13,AB89)</f>
        <v>1890301</v>
      </c>
      <c r="AC92" s="5"/>
    </row>
    <row r="93" spans="1:29" x14ac:dyDescent="0.25">
      <c r="A93" s="152"/>
      <c r="E93" s="863"/>
      <c r="F93" s="2"/>
      <c r="H93" s="2"/>
      <c r="I93" s="871"/>
      <c r="J93" s="66"/>
      <c r="L93" s="2"/>
      <c r="M93" s="948"/>
      <c r="Q93" s="948"/>
      <c r="T93" s="2"/>
      <c r="U93" s="73"/>
      <c r="X93" s="2"/>
      <c r="Y93" s="73"/>
      <c r="AB93" s="2"/>
      <c r="AC93" s="73"/>
    </row>
    <row r="94" spans="1:29" x14ac:dyDescent="0.25">
      <c r="A94" s="152"/>
      <c r="B94" s="936" t="s">
        <v>138</v>
      </c>
      <c r="D94" s="3">
        <f>D11-D92</f>
        <v>0</v>
      </c>
      <c r="G94" s="83" t="str">
        <f>IF(D94=0,"0.00%",(H94-D94)/D94)</f>
        <v>0.00%</v>
      </c>
      <c r="H94" s="3">
        <f>H11-H92</f>
        <v>0</v>
      </c>
      <c r="I94" s="871"/>
      <c r="J94" s="66"/>
      <c r="K94" s="83" t="str">
        <f>IF(H94=0,"0.00%",(L94-H94)/H94)</f>
        <v>0.00%</v>
      </c>
      <c r="L94" s="3">
        <f>L11-L92</f>
        <v>0</v>
      </c>
      <c r="M94" s="948"/>
      <c r="O94" s="83" t="str">
        <f>IF(L94=0,"0.00%",(P94-L94)/L94)</f>
        <v>0.00%</v>
      </c>
      <c r="P94" s="3">
        <f>P11-P92</f>
        <v>0</v>
      </c>
      <c r="Q94" s="948"/>
      <c r="S94" s="83" t="str">
        <f>IF(P94=0,"0.00%",(T94-P94)/P94)</f>
        <v>0.00%</v>
      </c>
      <c r="T94" s="3">
        <f>T11-T92</f>
        <v>-82176</v>
      </c>
      <c r="U94" s="73"/>
      <c r="W94" s="83">
        <f>IF(T94=0,"0.00%",(X94-T94)/T94)</f>
        <v>0.68129380841121501</v>
      </c>
      <c r="X94" s="3">
        <f>X11-X92</f>
        <v>-138162</v>
      </c>
      <c r="Y94" s="73"/>
      <c r="AA94" s="83">
        <f>IF(X94=0,"0.00%",(AB94-X94)/X94)</f>
        <v>0.37162171943081312</v>
      </c>
      <c r="AB94" s="3">
        <f>AB11-AB92</f>
        <v>-189506</v>
      </c>
      <c r="AC94" s="73"/>
    </row>
    <row r="95" spans="1:29" x14ac:dyDescent="0.25">
      <c r="B95" s="936"/>
      <c r="C95" s="930"/>
      <c r="D95" s="3"/>
      <c r="H95" s="3"/>
      <c r="I95" s="871"/>
      <c r="J95" s="66"/>
      <c r="L95" s="3"/>
      <c r="M95" s="948"/>
      <c r="P95" s="3"/>
      <c r="Q95" s="948"/>
      <c r="T95" s="44"/>
      <c r="U95" s="73"/>
      <c r="X95" s="44"/>
      <c r="Y95" s="73"/>
      <c r="AB95" s="44"/>
      <c r="AC95" s="73"/>
    </row>
    <row r="96" spans="1:29" x14ac:dyDescent="0.25">
      <c r="B96" s="936" t="s">
        <v>136</v>
      </c>
      <c r="C96" s="932"/>
      <c r="D96" s="3">
        <f>D7+D94</f>
        <v>0</v>
      </c>
      <c r="G96" s="83" t="str">
        <f>IF(D96=0,"0.00%",(H96-D96)/D96)</f>
        <v>0.00%</v>
      </c>
      <c r="H96" s="3">
        <f>H7+H94</f>
        <v>0</v>
      </c>
      <c r="I96" s="871"/>
      <c r="J96" s="66"/>
      <c r="K96" s="83" t="str">
        <f>IF(H96=0,"0.00%",(L96-H96)/H96)</f>
        <v>0.00%</v>
      </c>
      <c r="L96" s="3">
        <f>L7+L94</f>
        <v>0</v>
      </c>
      <c r="M96" s="948"/>
      <c r="O96" s="83" t="str">
        <f>IF(L96=0,"0.00%",(P96-L96)/L96)</f>
        <v>0.00%</v>
      </c>
      <c r="P96" s="3">
        <f>P7+P94</f>
        <v>0</v>
      </c>
      <c r="Q96" s="948"/>
      <c r="S96" s="83" t="str">
        <f>IF(P96=0,"0.00%",(T96-P96)/P96)</f>
        <v>0.00%</v>
      </c>
      <c r="T96" s="49">
        <f>T7+T94</f>
        <v>-82176</v>
      </c>
      <c r="U96" s="73"/>
      <c r="W96" s="83">
        <f>IF(T96=0,"0.00%",(X96-T96)/T96)</f>
        <v>1.681293808411215</v>
      </c>
      <c r="X96" s="49">
        <f>X7+X94</f>
        <v>-220338</v>
      </c>
      <c r="Y96" s="73"/>
      <c r="AA96" s="83">
        <f>IF(X96=0,"0.00%",(AB96-X96)/X96)</f>
        <v>0.86006952954097793</v>
      </c>
      <c r="AB96" s="49">
        <f>AB7+AB94</f>
        <v>-409844</v>
      </c>
      <c r="AC96" s="73"/>
    </row>
    <row r="97" spans="1:29" x14ac:dyDescent="0.25">
      <c r="C97" s="873"/>
      <c r="G97" s="374"/>
      <c r="H97" s="5"/>
      <c r="I97" s="872"/>
      <c r="J97" s="29"/>
      <c r="L97" s="5"/>
      <c r="M97" s="948"/>
      <c r="P97" s="5"/>
      <c r="Q97" s="948"/>
      <c r="T97" s="5"/>
      <c r="U97" s="73"/>
      <c r="X97" s="5"/>
      <c r="Y97" s="73"/>
      <c r="AB97" s="5"/>
      <c r="AC97" s="73"/>
    </row>
    <row r="98" spans="1:29" x14ac:dyDescent="0.25">
      <c r="C98" s="868"/>
      <c r="G98" s="374"/>
      <c r="H98" s="36"/>
      <c r="I98" s="871"/>
      <c r="J98" s="66"/>
      <c r="L98" s="2"/>
      <c r="M98" s="948"/>
      <c r="Q98" s="948"/>
      <c r="T98" s="2"/>
      <c r="U98" s="73"/>
      <c r="X98" s="2"/>
      <c r="Y98" s="73"/>
      <c r="AB98" s="2"/>
      <c r="AC98" s="73"/>
    </row>
    <row r="99" spans="1:29" x14ac:dyDescent="0.25">
      <c r="C99" s="868"/>
      <c r="G99" s="374"/>
      <c r="H99" s="36"/>
      <c r="I99" s="871"/>
      <c r="J99" s="66"/>
      <c r="L99" s="2"/>
      <c r="M99" s="948"/>
      <c r="Q99" s="948"/>
      <c r="T99" s="2"/>
      <c r="U99" s="73"/>
      <c r="X99" s="2"/>
      <c r="Y99" s="73"/>
      <c r="AB99" s="2"/>
      <c r="AC99" s="73"/>
    </row>
    <row r="100" spans="1:29" x14ac:dyDescent="0.25">
      <c r="C100" s="868"/>
      <c r="G100" s="374"/>
      <c r="H100" s="36"/>
      <c r="I100" s="871"/>
      <c r="J100" s="66"/>
      <c r="L100" s="2">
        <f>+L96*1.0444</f>
        <v>0</v>
      </c>
      <c r="M100" s="948"/>
      <c r="Q100" s="948"/>
      <c r="T100" s="2"/>
      <c r="U100" s="73"/>
      <c r="X100" s="2"/>
      <c r="Y100" s="73"/>
      <c r="AB100" s="2"/>
      <c r="AC100" s="73"/>
    </row>
    <row r="101" spans="1:29" x14ac:dyDescent="0.25">
      <c r="C101" s="868"/>
      <c r="G101" s="374"/>
      <c r="H101" s="36"/>
      <c r="I101" s="871"/>
      <c r="J101" s="66"/>
      <c r="L101" s="2"/>
      <c r="M101" s="948"/>
      <c r="Q101" s="948"/>
      <c r="T101" s="2"/>
      <c r="U101" s="73"/>
      <c r="X101" s="2"/>
      <c r="Y101" s="73"/>
      <c r="AB101" s="2"/>
      <c r="AC101" s="73"/>
    </row>
    <row r="102" spans="1:29" s="137" customFormat="1" ht="11.25" x14ac:dyDescent="0.2">
      <c r="A102" s="156"/>
      <c r="B102" s="942"/>
      <c r="C102" s="943" t="s">
        <v>269</v>
      </c>
      <c r="D102" s="134">
        <f>+D82+D66+D53+D41+D30+D89</f>
        <v>1639303.84</v>
      </c>
      <c r="E102" s="865"/>
      <c r="G102" s="133" t="s">
        <v>269</v>
      </c>
      <c r="H102" s="134">
        <f>+H82+H66+H53+H41+H30+H89</f>
        <v>1638815</v>
      </c>
      <c r="I102" s="874"/>
      <c r="J102" s="135"/>
      <c r="K102" s="133" t="s">
        <v>269</v>
      </c>
      <c r="L102" s="134">
        <f>+L82+L66+L53+L41+L30+L89</f>
        <v>1638815</v>
      </c>
      <c r="M102" s="951"/>
      <c r="O102" s="133" t="s">
        <v>269</v>
      </c>
      <c r="P102" s="134">
        <f>+P82+P66+P53+P41+P30+P89</f>
        <v>1638815</v>
      </c>
      <c r="Q102" s="951"/>
      <c r="R102" s="139"/>
      <c r="S102" s="157" t="s">
        <v>269</v>
      </c>
      <c r="T102" s="134">
        <f>+T82+T66+T53+T41+T30+T89</f>
        <v>1722655</v>
      </c>
      <c r="U102" s="138"/>
      <c r="W102" s="157" t="s">
        <v>269</v>
      </c>
      <c r="X102" s="134">
        <f>+X82+X66+X53+X41+X30+X89</f>
        <v>1778641</v>
      </c>
      <c r="Y102" s="138"/>
      <c r="AA102" s="157" t="s">
        <v>269</v>
      </c>
      <c r="AB102" s="134">
        <f>+AB82+AB66+AB53+AB41+AB30+AB89</f>
        <v>1829985</v>
      </c>
      <c r="AC102" s="138"/>
    </row>
    <row r="103" spans="1:29" s="137" customFormat="1" ht="11.25" x14ac:dyDescent="0.2">
      <c r="A103" s="158"/>
      <c r="B103" s="942"/>
      <c r="C103" s="944" t="s">
        <v>224</v>
      </c>
      <c r="D103" s="142">
        <f>+D13</f>
        <v>60367.16</v>
      </c>
      <c r="E103" s="866"/>
      <c r="F103" s="144"/>
      <c r="G103" s="375" t="s">
        <v>224</v>
      </c>
      <c r="H103" s="142">
        <f>+H13</f>
        <v>72305</v>
      </c>
      <c r="I103" s="875"/>
      <c r="J103" s="143"/>
      <c r="K103" s="375" t="s">
        <v>224</v>
      </c>
      <c r="L103" s="142">
        <f>+L13</f>
        <v>72305</v>
      </c>
      <c r="M103" s="951"/>
      <c r="O103" s="375" t="s">
        <v>224</v>
      </c>
      <c r="P103" s="142">
        <f>+P13</f>
        <v>72305</v>
      </c>
      <c r="Q103" s="865"/>
      <c r="R103" s="139"/>
      <c r="S103" s="159" t="s">
        <v>224</v>
      </c>
      <c r="T103" s="142">
        <f>+T13</f>
        <v>60316</v>
      </c>
      <c r="W103" s="159" t="s">
        <v>224</v>
      </c>
      <c r="X103" s="142">
        <f>+X13</f>
        <v>60316</v>
      </c>
      <c r="AA103" s="159" t="s">
        <v>224</v>
      </c>
      <c r="AB103" s="142">
        <f>+AB13</f>
        <v>60316</v>
      </c>
    </row>
    <row r="104" spans="1:29" s="137" customFormat="1" ht="11.25" x14ac:dyDescent="0.2">
      <c r="A104" s="158"/>
      <c r="B104" s="942"/>
      <c r="C104" s="944"/>
      <c r="D104" s="145">
        <f>+D102+D103</f>
        <v>1699671</v>
      </c>
      <c r="E104" s="866"/>
      <c r="F104" s="144"/>
      <c r="G104" s="375"/>
      <c r="H104" s="145">
        <f>+H102+H103</f>
        <v>1711120</v>
      </c>
      <c r="I104" s="875"/>
      <c r="J104" s="143"/>
      <c r="K104" s="375"/>
      <c r="L104" s="145">
        <f>+L102+L103</f>
        <v>1711120</v>
      </c>
      <c r="M104" s="865"/>
      <c r="O104" s="375"/>
      <c r="P104" s="145">
        <f>+P102+P103</f>
        <v>1711120</v>
      </c>
      <c r="Q104" s="865"/>
      <c r="R104" s="139"/>
      <c r="S104" s="141"/>
      <c r="T104" s="145">
        <f>+T102+T103</f>
        <v>1782971</v>
      </c>
      <c r="W104" s="141"/>
      <c r="X104" s="145">
        <f>+X102+X103</f>
        <v>1838957</v>
      </c>
      <c r="AA104" s="141"/>
      <c r="AB104" s="145">
        <f>+AB102+AB103</f>
        <v>1890301</v>
      </c>
    </row>
    <row r="105" spans="1:29" ht="15" customHeight="1" x14ac:dyDescent="0.25">
      <c r="A105" s="152"/>
      <c r="B105" s="945"/>
      <c r="C105" s="945"/>
      <c r="D105" s="5">
        <f>+D92-D104</f>
        <v>0</v>
      </c>
      <c r="E105" s="863"/>
      <c r="F105" s="2"/>
      <c r="G105" s="376"/>
      <c r="H105" s="5">
        <f>+H92-H104</f>
        <v>0</v>
      </c>
      <c r="K105" s="376"/>
      <c r="L105" s="5">
        <f>+L92-L104</f>
        <v>0</v>
      </c>
      <c r="O105" s="376"/>
      <c r="P105" s="5">
        <f>+P92-P104</f>
        <v>0</v>
      </c>
      <c r="S105" s="103"/>
      <c r="T105" s="5">
        <f>+T92-T104</f>
        <v>0</v>
      </c>
      <c r="W105" s="103"/>
      <c r="X105" s="5">
        <f>+X92-X104</f>
        <v>0</v>
      </c>
      <c r="AA105" s="103"/>
      <c r="AB105" s="5">
        <f>+AB92-AB104</f>
        <v>0</v>
      </c>
    </row>
    <row r="106" spans="1:29" x14ac:dyDescent="0.25">
      <c r="A106" s="152"/>
      <c r="B106" s="945"/>
      <c r="C106" s="945"/>
      <c r="D106" s="36"/>
      <c r="E106" s="863"/>
      <c r="F106" s="2"/>
    </row>
    <row r="107" spans="1:29" x14ac:dyDescent="0.25">
      <c r="A107" s="152"/>
      <c r="B107" s="932"/>
      <c r="C107" s="868"/>
      <c r="D107" s="25"/>
      <c r="E107" s="863"/>
      <c r="F107" s="2"/>
    </row>
    <row r="108" spans="1:29" x14ac:dyDescent="0.25">
      <c r="B108" s="932"/>
      <c r="C108" s="868"/>
      <c r="D108" s="36"/>
    </row>
    <row r="109" spans="1:29" x14ac:dyDescent="0.25">
      <c r="B109" s="932"/>
      <c r="C109" s="868"/>
      <c r="D109" s="36"/>
    </row>
    <row r="110" spans="1:29" ht="15" customHeight="1" x14ac:dyDescent="0.25">
      <c r="B110" s="932"/>
      <c r="C110" s="868"/>
      <c r="D110" s="36"/>
    </row>
    <row r="111" spans="1:29" x14ac:dyDescent="0.25">
      <c r="B111" s="932"/>
      <c r="C111" s="868"/>
      <c r="D111" s="36"/>
    </row>
    <row r="112" spans="1:29" x14ac:dyDescent="0.25">
      <c r="B112" s="932"/>
      <c r="C112" s="868"/>
      <c r="D112" s="36"/>
    </row>
    <row r="113" spans="2:4" ht="15" customHeight="1" x14ac:dyDescent="0.25">
      <c r="B113" s="2209"/>
      <c r="C113" s="2209"/>
      <c r="D113" s="36"/>
    </row>
    <row r="114" spans="2:4" x14ac:dyDescent="0.25">
      <c r="B114" s="2209"/>
      <c r="C114" s="2209"/>
      <c r="D114" s="36"/>
    </row>
    <row r="115" spans="2:4" x14ac:dyDescent="0.25">
      <c r="B115" s="932"/>
      <c r="C115" s="868"/>
      <c r="D115" s="6"/>
    </row>
    <row r="116" spans="2:4" x14ac:dyDescent="0.25">
      <c r="B116" s="932"/>
      <c r="C116" s="868"/>
      <c r="D116" s="36"/>
    </row>
    <row r="117" spans="2:4" x14ac:dyDescent="0.25">
      <c r="B117" s="932"/>
      <c r="C117" s="868"/>
      <c r="D117" s="36"/>
    </row>
    <row r="118" spans="2:4" ht="28.5" customHeight="1" x14ac:dyDescent="0.25">
      <c r="B118" s="932"/>
      <c r="C118" s="868"/>
      <c r="D118" s="25"/>
    </row>
    <row r="119" spans="2:4" x14ac:dyDescent="0.25">
      <c r="B119" s="932"/>
      <c r="C119" s="868"/>
      <c r="D119" s="36"/>
    </row>
    <row r="120" spans="2:4" x14ac:dyDescent="0.25">
      <c r="B120" s="932"/>
      <c r="C120" s="868"/>
      <c r="D120" s="36"/>
    </row>
    <row r="121" spans="2:4" x14ac:dyDescent="0.25">
      <c r="B121" s="932"/>
      <c r="C121" s="868"/>
      <c r="D121" s="36"/>
    </row>
    <row r="122" spans="2:4" x14ac:dyDescent="0.25">
      <c r="B122" s="932"/>
      <c r="C122" s="868"/>
      <c r="D122" s="36"/>
    </row>
    <row r="123" spans="2:4" x14ac:dyDescent="0.25">
      <c r="B123" s="932"/>
      <c r="C123" s="868"/>
      <c r="D123" s="36"/>
    </row>
    <row r="124" spans="2:4" x14ac:dyDescent="0.25">
      <c r="B124" s="932"/>
      <c r="C124" s="868"/>
      <c r="D124" s="36"/>
    </row>
    <row r="125" spans="2:4" x14ac:dyDescent="0.25">
      <c r="B125" s="932"/>
      <c r="C125" s="868"/>
      <c r="D125" s="36"/>
    </row>
    <row r="126" spans="2:4" x14ac:dyDescent="0.25">
      <c r="B126" s="932"/>
      <c r="C126" s="868"/>
      <c r="D126" s="36"/>
    </row>
    <row r="127" spans="2:4" x14ac:dyDescent="0.25">
      <c r="B127" s="932"/>
      <c r="C127" s="868"/>
      <c r="D127" s="36"/>
    </row>
    <row r="128" spans="2:4" x14ac:dyDescent="0.25">
      <c r="B128" s="932"/>
      <c r="C128" s="868"/>
      <c r="D128" s="36"/>
    </row>
    <row r="129" spans="2:4" x14ac:dyDescent="0.25">
      <c r="B129" s="932"/>
      <c r="C129" s="868"/>
      <c r="D129" s="36"/>
    </row>
    <row r="130" spans="2:4" x14ac:dyDescent="0.25">
      <c r="B130" s="932"/>
      <c r="C130" s="868"/>
      <c r="D130" s="36"/>
    </row>
    <row r="131" spans="2:4" x14ac:dyDescent="0.25">
      <c r="B131" s="932"/>
      <c r="C131" s="868"/>
      <c r="D131" s="36"/>
    </row>
    <row r="132" spans="2:4" x14ac:dyDescent="0.25">
      <c r="B132" s="932"/>
      <c r="C132" s="868"/>
      <c r="D132" s="36"/>
    </row>
    <row r="133" spans="2:4" x14ac:dyDescent="0.25">
      <c r="B133" s="932"/>
      <c r="C133" s="868"/>
      <c r="D133" s="36"/>
    </row>
  </sheetData>
  <sheetProtection password="B79F" sheet="1" objects="1" scenarios="1"/>
  <mergeCells count="1">
    <mergeCell ref="B113:C114"/>
  </mergeCells>
  <pageMargins left="0.25" right="0.25" top="0.5" bottom="0.5" header="0.25" footer="0.25"/>
  <pageSetup paperSize="5" scale="71" orientation="portrait" r:id="rId1"/>
  <headerFooter>
    <oddHeader>&amp;L&amp;F</oddHeader>
    <oddFooter>&amp;R&amp;A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32"/>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1.7109375" style="146" customWidth="1"/>
    <col min="2" max="2" width="8.5703125" style="930" customWidth="1"/>
    <col min="3" max="3" width="18.28515625" style="857" customWidth="1"/>
    <col min="4" max="4" width="16" style="2" customWidth="1"/>
    <col min="5" max="5" width="19.7109375" style="857" hidden="1" customWidth="1"/>
    <col min="6" max="6" width="6" style="39" customWidth="1"/>
    <col min="7" max="7" width="9.7109375" style="52" bestFit="1" customWidth="1"/>
    <col min="8" max="8" width="13.85546875" style="122" bestFit="1" customWidth="1"/>
    <col min="9" max="9" width="26" style="868" hidden="1" customWidth="1"/>
    <col min="10" max="10" width="5.7109375" style="59" customWidth="1"/>
    <col min="11" max="11" width="9.42578125" style="377" customWidth="1"/>
    <col min="12" max="12" width="14" style="123" bestFit="1" customWidth="1"/>
    <col min="13" max="13" width="26" style="857" hidden="1" customWidth="1"/>
    <col min="14" max="14" width="5.7109375" style="39" customWidth="1"/>
    <col min="15" max="15" width="9.42578125" style="377" bestFit="1" customWidth="1"/>
    <col min="16" max="16" width="14" style="2" bestFit="1" customWidth="1"/>
    <col min="17" max="17" width="24.85546875" style="857"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930" t="s">
        <v>61</v>
      </c>
      <c r="C1" s="931" t="s">
        <v>237</v>
      </c>
      <c r="D1" s="1044"/>
      <c r="E1" s="855"/>
      <c r="F1" s="98"/>
      <c r="G1" s="369"/>
      <c r="H1" s="1045"/>
      <c r="I1" s="855"/>
      <c r="K1" s="382"/>
      <c r="L1" s="122"/>
      <c r="M1" s="855"/>
      <c r="N1" s="51"/>
      <c r="O1" s="382"/>
      <c r="P1" s="122"/>
      <c r="Q1" s="855"/>
      <c r="T1" s="86">
        <v>0</v>
      </c>
      <c r="U1" s="98"/>
      <c r="X1" s="86">
        <v>0</v>
      </c>
      <c r="Y1" s="98"/>
      <c r="AB1" s="86">
        <v>0</v>
      </c>
      <c r="AC1" s="98"/>
    </row>
    <row r="2" spans="1:29" ht="17.25" x14ac:dyDescent="0.4">
      <c r="B2" s="932" t="s">
        <v>59</v>
      </c>
      <c r="C2" s="933" t="s">
        <v>697</v>
      </c>
      <c r="D2" s="1045"/>
      <c r="E2" s="855"/>
      <c r="F2" s="98"/>
      <c r="G2" s="1863"/>
      <c r="H2" s="1045"/>
      <c r="I2" s="855"/>
      <c r="K2" s="382"/>
      <c r="L2" s="87"/>
      <c r="M2" s="855"/>
      <c r="N2" s="51"/>
      <c r="O2" s="382"/>
      <c r="P2" s="87"/>
      <c r="Q2" s="855"/>
      <c r="T2" s="87">
        <v>0</v>
      </c>
      <c r="U2" s="98"/>
      <c r="X2" s="87">
        <v>0</v>
      </c>
      <c r="Y2" s="98"/>
      <c r="AB2" s="87">
        <v>0</v>
      </c>
      <c r="AC2" s="98"/>
    </row>
    <row r="3" spans="1:29" x14ac:dyDescent="0.25">
      <c r="D3" s="1046"/>
      <c r="E3" s="867"/>
      <c r="F3" s="1047"/>
      <c r="G3" s="1864"/>
      <c r="H3" s="1046"/>
      <c r="I3" s="867"/>
      <c r="K3" s="382"/>
      <c r="L3" s="122"/>
      <c r="M3" s="868"/>
      <c r="N3" s="51"/>
      <c r="O3" s="382"/>
      <c r="P3" s="122"/>
      <c r="Q3" s="868"/>
      <c r="T3" s="86">
        <f>SUM(T1:T2)</f>
        <v>0</v>
      </c>
      <c r="U3" s="51"/>
      <c r="X3" s="86">
        <f>SUM(X1:X2)</f>
        <v>0</v>
      </c>
      <c r="Y3" s="51"/>
      <c r="AB3" s="86">
        <f>SUM(AB1:AB2)</f>
        <v>0</v>
      </c>
      <c r="AC3" s="51"/>
    </row>
    <row r="4" spans="1:29" x14ac:dyDescent="0.25">
      <c r="D4" s="36"/>
      <c r="E4" s="868"/>
      <c r="F4" s="51"/>
      <c r="G4" s="374"/>
      <c r="K4" s="382"/>
      <c r="L4" s="122"/>
      <c r="M4" s="868"/>
      <c r="N4" s="51"/>
      <c r="O4" s="382"/>
      <c r="P4" s="122"/>
      <c r="Q4" s="868"/>
      <c r="T4" s="86"/>
      <c r="U4" s="51"/>
      <c r="X4" s="86"/>
      <c r="Y4" s="51"/>
      <c r="AB4" s="86"/>
      <c r="AC4" s="51"/>
    </row>
    <row r="5" spans="1:29" ht="15.75" x14ac:dyDescent="0.25">
      <c r="B5" s="934" t="s">
        <v>56</v>
      </c>
      <c r="P5" s="123"/>
      <c r="T5" s="73"/>
      <c r="X5" s="73"/>
      <c r="AB5" s="73"/>
    </row>
    <row r="6" spans="1:29" s="89" customFormat="1" ht="15.75" x14ac:dyDescent="0.25">
      <c r="A6" s="147"/>
      <c r="B6" s="935"/>
      <c r="C6" s="935"/>
      <c r="D6" s="284" t="s">
        <v>55</v>
      </c>
      <c r="E6" s="858"/>
      <c r="G6" s="371"/>
      <c r="H6" s="324" t="str">
        <f>LEFT(D6,4)+1&amp;"-"&amp;RIGHT(D6,4)+1</f>
        <v>2017-2018</v>
      </c>
      <c r="I6" s="869"/>
      <c r="J6" s="93"/>
      <c r="K6" s="378"/>
      <c r="L6" s="124" t="str">
        <f>LEFT(H6,4)+1&amp;"-"&amp;RIGHT(H6,4)+1</f>
        <v>2018-2019</v>
      </c>
      <c r="M6" s="946"/>
      <c r="N6" s="96"/>
      <c r="O6" s="381"/>
      <c r="P6" s="124" t="str">
        <f>LEFT(L6,4)+1&amp;"-"&amp;RIGHT(L6,4)+1</f>
        <v>2019-2020</v>
      </c>
      <c r="Q6" s="94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936" t="s">
        <v>54</v>
      </c>
      <c r="D7" s="2">
        <v>0</v>
      </c>
      <c r="E7" s="928"/>
      <c r="H7" s="2">
        <f>D95</f>
        <v>0</v>
      </c>
      <c r="I7" s="928"/>
      <c r="J7" s="60"/>
      <c r="L7" s="2">
        <f>H95</f>
        <v>0</v>
      </c>
      <c r="M7" s="928"/>
      <c r="P7" s="2">
        <f>L95</f>
        <v>54</v>
      </c>
      <c r="Q7" s="928"/>
      <c r="T7" s="2">
        <f>P95</f>
        <v>108</v>
      </c>
      <c r="U7" s="105"/>
      <c r="X7" s="2">
        <f>T95</f>
        <v>258</v>
      </c>
      <c r="Y7" s="105"/>
      <c r="AB7" s="2">
        <f>X95</f>
        <v>-32</v>
      </c>
      <c r="AC7" s="105"/>
    </row>
    <row r="8" spans="1:29" x14ac:dyDescent="0.25">
      <c r="E8" s="928"/>
      <c r="H8" s="2"/>
      <c r="I8" s="928"/>
      <c r="L8" s="2"/>
      <c r="M8" s="928"/>
      <c r="Q8" s="928"/>
      <c r="U8" s="105"/>
      <c r="Y8" s="105"/>
      <c r="AC8" s="105"/>
    </row>
    <row r="9" spans="1:29" x14ac:dyDescent="0.25">
      <c r="B9" s="930" t="s">
        <v>52</v>
      </c>
      <c r="C9" s="857" t="s">
        <v>53</v>
      </c>
      <c r="D9" s="2">
        <v>1510</v>
      </c>
      <c r="E9" s="928" t="s">
        <v>270</v>
      </c>
      <c r="G9" s="83">
        <f>IF(D9=0,"0.00%",(H9-D9)/D9)</f>
        <v>13.653642384105961</v>
      </c>
      <c r="H9" s="3">
        <v>22127</v>
      </c>
      <c r="I9" s="928"/>
      <c r="J9" s="61"/>
      <c r="K9" s="83">
        <f>IF(H9=0,"0.00%",(L9-H9)/H9)</f>
        <v>0</v>
      </c>
      <c r="L9" s="3">
        <f>+H9</f>
        <v>22127</v>
      </c>
      <c r="M9" s="928" t="s">
        <v>174</v>
      </c>
      <c r="O9" s="83">
        <f>IF(L9=0,"0.00%",(P9-L9)/L9)</f>
        <v>0</v>
      </c>
      <c r="P9" s="3">
        <f>+L9</f>
        <v>22127</v>
      </c>
      <c r="Q9" s="928" t="s">
        <v>174</v>
      </c>
      <c r="S9" s="83">
        <f>IF(P9=0,"0.00%",(T9-P9)/P9)</f>
        <v>0</v>
      </c>
      <c r="T9" s="3">
        <f>+P9</f>
        <v>22127</v>
      </c>
      <c r="U9" s="105"/>
      <c r="W9" s="83">
        <f>IF(T9=0,"0.00%",(X9-T9)/T9)</f>
        <v>0</v>
      </c>
      <c r="X9" s="3">
        <f>+T9</f>
        <v>22127</v>
      </c>
      <c r="Y9" s="105"/>
      <c r="AA9" s="83">
        <f>IF(X9=0,"0.00%",(AB9-X9)/X9)</f>
        <v>0</v>
      </c>
      <c r="AB9" s="3">
        <f>+X9</f>
        <v>22127</v>
      </c>
      <c r="AC9" s="105"/>
    </row>
    <row r="10" spans="1:29" x14ac:dyDescent="0.25">
      <c r="C10" s="857" t="s">
        <v>51</v>
      </c>
      <c r="D10" s="2">
        <v>0</v>
      </c>
      <c r="E10" s="928"/>
      <c r="G10" s="83" t="str">
        <f t="shared" ref="G10:G15" si="0">IF(D10=0,"0.00%",(H10-D10)/D10)</f>
        <v>0.00%</v>
      </c>
      <c r="H10" s="3">
        <v>0</v>
      </c>
      <c r="I10" s="928"/>
      <c r="J10" s="61"/>
      <c r="K10" s="83" t="str">
        <f>IF(H10=0,"0.00%",(L10-H10)/H10)</f>
        <v>0.00%</v>
      </c>
      <c r="L10" s="3">
        <f>-H2</f>
        <v>0</v>
      </c>
      <c r="M10" s="928"/>
      <c r="O10" s="83" t="str">
        <f>IF(L10=0,"0.00%",(P10-L10)/L10)</f>
        <v>0.00%</v>
      </c>
      <c r="P10" s="3">
        <f>-L2</f>
        <v>0</v>
      </c>
      <c r="Q10" s="928"/>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936" t="s">
        <v>137</v>
      </c>
      <c r="D11" s="8">
        <f>SUM(D9:D10)</f>
        <v>1510</v>
      </c>
      <c r="E11" s="928"/>
      <c r="G11" s="83">
        <f t="shared" si="0"/>
        <v>13.653642384105961</v>
      </c>
      <c r="H11" s="8">
        <f>SUM(H9:H10)</f>
        <v>22127</v>
      </c>
      <c r="I11" s="1292">
        <f>+H11-D11</f>
        <v>20617</v>
      </c>
      <c r="J11" s="62"/>
      <c r="K11" s="83">
        <f>IF(H11=0,"0.00%",(L11-H11)/H11)</f>
        <v>0</v>
      </c>
      <c r="L11" s="8">
        <f>SUM(L9:L10)</f>
        <v>22127</v>
      </c>
      <c r="M11" s="1292">
        <f>+L11-H11</f>
        <v>0</v>
      </c>
      <c r="O11" s="83">
        <f>IF(L11=0,"0.00%",(P11-L11)/L11)</f>
        <v>0</v>
      </c>
      <c r="P11" s="8">
        <f>SUM(P9:P10)</f>
        <v>22127</v>
      </c>
      <c r="Q11" s="1292">
        <f>+P11-L11</f>
        <v>0</v>
      </c>
      <c r="S11" s="83">
        <f>IF(P11=0,"0.00%",(T11-P11)/P11)</f>
        <v>0</v>
      </c>
      <c r="T11" s="78">
        <f>SUM(T9:T10)</f>
        <v>22127</v>
      </c>
      <c r="U11" s="105"/>
      <c r="W11" s="83">
        <f>IF(T11=0,"0.00%",(X11-T11)/T11)</f>
        <v>0</v>
      </c>
      <c r="X11" s="78">
        <f>SUM(X9:X10)</f>
        <v>22127</v>
      </c>
      <c r="Y11" s="105"/>
      <c r="AA11" s="83">
        <f>IF(X11=0,"0.00%",(AB11-X11)/X11)</f>
        <v>0</v>
      </c>
      <c r="AB11" s="78">
        <f>SUM(AB9:AB10)</f>
        <v>22127</v>
      </c>
      <c r="AC11" s="105"/>
    </row>
    <row r="12" spans="1:29" x14ac:dyDescent="0.25">
      <c r="E12" s="928"/>
      <c r="H12" s="3"/>
      <c r="I12" s="928"/>
      <c r="J12" s="63"/>
      <c r="K12" s="52"/>
      <c r="L12" s="3"/>
      <c r="M12" s="928"/>
      <c r="O12" s="52"/>
      <c r="P12" s="3"/>
      <c r="Q12" s="928"/>
      <c r="S12" s="46"/>
      <c r="T12" s="44"/>
      <c r="U12" s="105"/>
      <c r="W12" s="46"/>
      <c r="X12" s="44"/>
      <c r="Y12" s="105"/>
      <c r="AA12" s="46"/>
      <c r="AB12" s="44"/>
      <c r="AC12" s="105"/>
    </row>
    <row r="13" spans="1:29" x14ac:dyDescent="0.25">
      <c r="C13" s="938" t="s">
        <v>64</v>
      </c>
      <c r="D13" s="9">
        <v>51.93</v>
      </c>
      <c r="E13" s="1034">
        <v>3.6999999999999998E-2</v>
      </c>
      <c r="G13" s="83">
        <f t="shared" si="0"/>
        <v>17.120546890044292</v>
      </c>
      <c r="H13" s="9">
        <f>ROUND(H11-(H11/(1+I13)),0)</f>
        <v>941</v>
      </c>
      <c r="I13" s="1051">
        <v>4.4400000000000002E-2</v>
      </c>
      <c r="J13" s="64"/>
      <c r="K13" s="83">
        <f>IF(H13=0,"0.00%",(L13-H13)/H13)</f>
        <v>-0.35494155154091395</v>
      </c>
      <c r="L13" s="9">
        <f>ROUND(L11-(L11/(1+E13)),0)-182</f>
        <v>607</v>
      </c>
      <c r="M13" s="928" t="s">
        <v>234</v>
      </c>
      <c r="O13" s="83">
        <f>IF(L13=0,"0.00%",(P13-L13)/L13)</f>
        <v>-9.0609555189456348E-2</v>
      </c>
      <c r="P13" s="9">
        <f>ROUND(P11-(P11/(1+E13)),0)-237</f>
        <v>552</v>
      </c>
      <c r="Q13" s="928" t="s">
        <v>234</v>
      </c>
      <c r="S13" s="83">
        <f>IF(P13=0,"0.00%",(T13-P13)/P13)</f>
        <v>-1</v>
      </c>
      <c r="T13" s="77">
        <f>ROUND((T11-T89)-((T11-T89)/(1+R13)),0)</f>
        <v>0</v>
      </c>
      <c r="U13" s="105"/>
      <c r="W13" s="83" t="str">
        <f>IF(T13=0,"0.00%",(X13-T13)/T13)</f>
        <v>0.00%</v>
      </c>
      <c r="X13" s="77">
        <f>ROUND((X11-X89)-((X11-X89)/(1+V13)),0)</f>
        <v>0</v>
      </c>
      <c r="Y13" s="105"/>
      <c r="AA13" s="83" t="str">
        <f>IF(X13=0,"0.00%",(AB13-X13)/X13)</f>
        <v>0.00%</v>
      </c>
      <c r="AB13" s="77">
        <f>ROUND((AB11-AB89)-((AB11-AB89)/(1+Z13)),0)</f>
        <v>0</v>
      </c>
      <c r="AC13" s="105"/>
    </row>
    <row r="14" spans="1:29" x14ac:dyDescent="0.25">
      <c r="E14" s="1587" t="s">
        <v>961</v>
      </c>
      <c r="H14" s="3"/>
      <c r="I14" s="928"/>
      <c r="J14" s="63"/>
      <c r="K14" s="52"/>
      <c r="L14" s="3"/>
      <c r="M14" s="928"/>
      <c r="O14" s="52"/>
      <c r="P14" s="3"/>
      <c r="Q14" s="928"/>
      <c r="S14" s="46"/>
      <c r="T14" s="44"/>
      <c r="U14" s="105"/>
      <c r="W14" s="46"/>
      <c r="X14" s="44"/>
      <c r="Y14" s="105"/>
      <c r="AA14" s="46"/>
      <c r="AB14" s="44"/>
      <c r="AC14" s="105"/>
    </row>
    <row r="15" spans="1:29" x14ac:dyDescent="0.25">
      <c r="B15" s="936" t="s">
        <v>50</v>
      </c>
      <c r="D15" s="10">
        <f>D11-D13</f>
        <v>1458.07</v>
      </c>
      <c r="E15" s="928"/>
      <c r="G15" s="83">
        <f t="shared" si="0"/>
        <v>13.530166590081409</v>
      </c>
      <c r="H15" s="9">
        <f>H11-H13</f>
        <v>21186</v>
      </c>
      <c r="I15" s="1292">
        <f>+H15-D15</f>
        <v>19727.93</v>
      </c>
      <c r="J15" s="62"/>
      <c r="K15" s="83">
        <f>IF(H15=0,"0.00%",(L15-H15)/H15)</f>
        <v>1.5765127914660625E-2</v>
      </c>
      <c r="L15" s="9">
        <f>L11-L13</f>
        <v>21520</v>
      </c>
      <c r="M15" s="1292">
        <f>+L15-H15</f>
        <v>334</v>
      </c>
      <c r="O15" s="83">
        <f>IF(L15=0,"0.00%",(P15-L15)/L15)</f>
        <v>2.5557620817843866E-3</v>
      </c>
      <c r="P15" s="9">
        <f>P11-P13</f>
        <v>21575</v>
      </c>
      <c r="Q15" s="1292">
        <f>+P15-L15</f>
        <v>55</v>
      </c>
      <c r="S15" s="83">
        <f>IF(P15=0,"0.00%",(T15-P15)/P15)</f>
        <v>2.5585168018539977E-2</v>
      </c>
      <c r="T15" s="19">
        <f>T11-T13</f>
        <v>22127</v>
      </c>
      <c r="U15" s="105"/>
      <c r="W15" s="83">
        <f>IF(T15=0,"0.00%",(X15-T15)/T15)</f>
        <v>0</v>
      </c>
      <c r="X15" s="19">
        <f>X11-X13</f>
        <v>22127</v>
      </c>
      <c r="Y15" s="105"/>
      <c r="AA15" s="83">
        <f>IF(X15=0,"0.00%",(AB15-X15)/X15)</f>
        <v>0</v>
      </c>
      <c r="AB15" s="19">
        <f>AB11-AB13</f>
        <v>22127</v>
      </c>
      <c r="AC15" s="105"/>
    </row>
    <row r="16" spans="1:29" x14ac:dyDescent="0.25">
      <c r="E16" s="928"/>
      <c r="H16" s="3"/>
      <c r="I16" s="928"/>
      <c r="J16" s="62"/>
      <c r="L16" s="3"/>
      <c r="M16" s="928"/>
      <c r="P16" s="3"/>
      <c r="Q16" s="928"/>
      <c r="T16" s="49"/>
      <c r="U16" s="105"/>
      <c r="X16" s="49"/>
      <c r="Y16" s="105"/>
      <c r="AB16" s="49"/>
      <c r="AC16" s="105"/>
    </row>
    <row r="17" spans="1:29" x14ac:dyDescent="0.25">
      <c r="C17" s="930"/>
      <c r="E17" s="928"/>
      <c r="H17" s="3"/>
      <c r="I17" s="928"/>
      <c r="J17" s="63"/>
      <c r="L17" s="3"/>
      <c r="M17" s="928"/>
      <c r="P17" s="3"/>
      <c r="Q17" s="928"/>
      <c r="T17" s="44"/>
      <c r="U17" s="105"/>
      <c r="X17" s="44"/>
      <c r="Y17" s="105"/>
      <c r="AB17" s="44"/>
      <c r="AC17" s="105"/>
    </row>
    <row r="18" spans="1:29" x14ac:dyDescent="0.25">
      <c r="A18" s="148"/>
      <c r="D18" s="29" t="s">
        <v>826</v>
      </c>
      <c r="E18" s="929"/>
      <c r="F18" s="32"/>
      <c r="H18" s="29" t="s">
        <v>177</v>
      </c>
      <c r="I18" s="929"/>
      <c r="J18" s="65"/>
      <c r="K18" s="377" t="s">
        <v>141</v>
      </c>
      <c r="M18" s="929"/>
      <c r="Q18" s="929"/>
      <c r="U18" s="106"/>
      <c r="Y18" s="106"/>
      <c r="AC18" s="106"/>
    </row>
    <row r="19" spans="1:29" ht="17.25" x14ac:dyDescent="0.4">
      <c r="A19" s="149"/>
      <c r="D19" s="35" t="s">
        <v>827</v>
      </c>
      <c r="E19" s="860"/>
      <c r="F19" s="34"/>
      <c r="H19" s="35" t="s">
        <v>48</v>
      </c>
      <c r="I19" s="870"/>
      <c r="J19" s="29"/>
      <c r="L19" s="14" t="s">
        <v>48</v>
      </c>
      <c r="M19" s="1003">
        <v>0.02</v>
      </c>
      <c r="P19" s="14" t="s">
        <v>48</v>
      </c>
      <c r="Q19" s="1003">
        <v>0.02</v>
      </c>
      <c r="T19" s="14" t="s">
        <v>48</v>
      </c>
      <c r="U19" s="104">
        <v>0.02</v>
      </c>
      <c r="X19" s="14" t="s">
        <v>48</v>
      </c>
      <c r="Y19" s="104">
        <v>0.02</v>
      </c>
      <c r="AB19" s="14" t="s">
        <v>48</v>
      </c>
      <c r="AC19" s="104">
        <v>0.02</v>
      </c>
    </row>
    <row r="20" spans="1:29" s="13" customFormat="1" x14ac:dyDescent="0.25">
      <c r="A20" s="150"/>
      <c r="B20" s="936" t="s">
        <v>46</v>
      </c>
      <c r="C20" s="938"/>
      <c r="D20" s="10"/>
      <c r="E20" s="861"/>
      <c r="F20" s="10"/>
      <c r="G20" s="372"/>
      <c r="H20" s="10"/>
      <c r="I20" s="864"/>
      <c r="J20" s="57"/>
      <c r="K20" s="379"/>
      <c r="L20" s="10"/>
      <c r="M20" s="947"/>
      <c r="O20" s="379"/>
      <c r="P20" s="10"/>
      <c r="Q20" s="947"/>
      <c r="R20" s="111"/>
      <c r="T20" s="10"/>
      <c r="U20" s="74"/>
      <c r="X20" s="10"/>
      <c r="Y20" s="74"/>
      <c r="AB20" s="10"/>
      <c r="AC20" s="74"/>
    </row>
    <row r="21" spans="1:29" x14ac:dyDescent="0.25">
      <c r="A21" s="151"/>
      <c r="B21" s="939">
        <v>1106</v>
      </c>
      <c r="C21" s="857" t="s">
        <v>238</v>
      </c>
      <c r="D21" s="2">
        <v>1251.3599999999999</v>
      </c>
      <c r="E21" s="863"/>
      <c r="F21" s="2"/>
      <c r="G21" s="83">
        <f t="shared" ref="G21:G30" si="1">IF(D21=0,"0.00%",(H21-D21)/D21)</f>
        <v>13.466660273622299</v>
      </c>
      <c r="H21" s="2">
        <v>18103</v>
      </c>
      <c r="I21" s="854" t="s">
        <v>174</v>
      </c>
      <c r="J21" s="66"/>
      <c r="K21" s="83">
        <f t="shared" ref="K21:K27" si="2">IF(H21=0,"0.00%",(L21-H21)/H21)</f>
        <v>0</v>
      </c>
      <c r="L21" s="2">
        <f>+H21</f>
        <v>18103</v>
      </c>
      <c r="M21" s="871" t="s">
        <v>174</v>
      </c>
      <c r="O21" s="83">
        <f t="shared" ref="O21:O27" si="3">IF(L21=0,"0.00%",(P21-L21)/L21)</f>
        <v>0</v>
      </c>
      <c r="P21" s="2">
        <f>+L21</f>
        <v>18103</v>
      </c>
      <c r="Q21" s="871" t="s">
        <v>174</v>
      </c>
      <c r="S21" s="83">
        <f t="shared" ref="S21:S27" si="4">IF(P21=0,"0.00%",(T21-P21)/P21)</f>
        <v>0</v>
      </c>
      <c r="T21" s="2">
        <f>+P21</f>
        <v>18103</v>
      </c>
      <c r="U21" s="36" t="s">
        <v>174</v>
      </c>
      <c r="W21" s="83">
        <f t="shared" ref="W21:W27" si="5">IF(T21=0,"0.00%",(X21-T21)/T21)</f>
        <v>1.9996685632215655E-2</v>
      </c>
      <c r="X21" s="2">
        <f>ROUND(T21*(1+Y19),0)</f>
        <v>18465</v>
      </c>
      <c r="Y21" s="36" t="str">
        <f>TEXT(Y19,"0.0%")&amp;" = Est. S &amp; C"</f>
        <v>2.0% = Est. S &amp; C</v>
      </c>
      <c r="AA21" s="83">
        <f t="shared" ref="AA21:AA27" si="6">IF(X21=0,"0.00%",(AB21-X21)/X21)</f>
        <v>1.9983753046303818E-2</v>
      </c>
      <c r="AB21" s="2">
        <f>ROUND(X21*(1+AC19),0)</f>
        <v>18834</v>
      </c>
      <c r="AC21" s="36" t="str">
        <f>TEXT(AC19,"0.0%")&amp;" = Est. S &amp; C"</f>
        <v>2.0% = Est. S &amp; C</v>
      </c>
    </row>
    <row r="22" spans="1:29" hidden="1" x14ac:dyDescent="0.25">
      <c r="A22" s="152"/>
      <c r="B22" s="939"/>
      <c r="D22" s="2">
        <v>0</v>
      </c>
      <c r="E22" s="863"/>
      <c r="F22" s="2"/>
      <c r="G22" s="83" t="str">
        <f t="shared" si="1"/>
        <v>0.00%</v>
      </c>
      <c r="H22" s="2">
        <f t="shared" ref="H22:H27" si="7">ROUND(D22*(1+$I$19),0)</f>
        <v>0</v>
      </c>
      <c r="I22" s="871" t="str">
        <f t="shared" ref="I22:I28" si="8">TEXT($I$19,"0.0%")&amp;" = Est. S &amp; C"</f>
        <v>0.0% = Est. S &amp; C</v>
      </c>
      <c r="J22" s="66"/>
      <c r="K22" s="83" t="str">
        <f t="shared" si="2"/>
        <v>0.00%</v>
      </c>
      <c r="L22" s="2">
        <f>ROUND(H22*(1+M19),0)</f>
        <v>0</v>
      </c>
      <c r="M22" s="871" t="str">
        <f>TEXT(M19,"0.0%")&amp;" = Est. S &amp; C"</f>
        <v>2.0% = Est. S &amp; C</v>
      </c>
      <c r="O22" s="83" t="str">
        <f t="shared" si="3"/>
        <v>0.00%</v>
      </c>
      <c r="P22" s="2">
        <f>ROUND(L22*(1+Q19),0)</f>
        <v>0</v>
      </c>
      <c r="Q22" s="871" t="str">
        <f>TEXT(Q19,"0.0%")&amp;" = Est. S &amp; C"</f>
        <v>2.0% = Est. S &amp; C</v>
      </c>
      <c r="S22" s="83" t="str">
        <f t="shared" si="4"/>
        <v>0.00%</v>
      </c>
      <c r="T22" s="2">
        <f>ROUND(P22*(1+U19),0)</f>
        <v>0</v>
      </c>
      <c r="U22" s="36" t="str">
        <f>TEXT(U19,"0.0%")&amp;" = Est. S &amp; C"</f>
        <v>2.0% = Est. S &amp; C</v>
      </c>
      <c r="W22" s="83" t="str">
        <f t="shared" si="5"/>
        <v>0.00%</v>
      </c>
      <c r="X22" s="2">
        <f>ROUND(T22*(1+Y19),0)</f>
        <v>0</v>
      </c>
      <c r="Y22" s="36" t="str">
        <f>TEXT(Y19,"0.0%")&amp;" = Est. S &amp; C"</f>
        <v>2.0% = Est. S &amp; C</v>
      </c>
      <c r="AA22" s="83" t="str">
        <f t="shared" si="6"/>
        <v>0.00%</v>
      </c>
      <c r="AB22" s="2">
        <f>ROUND(X22*(1+AC19),0)</f>
        <v>0</v>
      </c>
      <c r="AC22" s="36" t="str">
        <f>TEXT(AC19,"0.0%")&amp;" = Est. S &amp; C"</f>
        <v>2.0% = Est. S &amp; C</v>
      </c>
    </row>
    <row r="23" spans="1:29" hidden="1" x14ac:dyDescent="0.25">
      <c r="A23" s="152"/>
      <c r="B23" s="939"/>
      <c r="D23" s="2">
        <v>0</v>
      </c>
      <c r="E23" s="863"/>
      <c r="F23" s="2"/>
      <c r="G23" s="83" t="str">
        <f t="shared" si="1"/>
        <v>0.00%</v>
      </c>
      <c r="H23" s="2">
        <f t="shared" si="7"/>
        <v>0</v>
      </c>
      <c r="I23" s="871" t="str">
        <f t="shared" si="8"/>
        <v>0.0% = Est. S &amp; C</v>
      </c>
      <c r="J23" s="66"/>
      <c r="K23" s="83" t="str">
        <f t="shared" si="2"/>
        <v>0.00%</v>
      </c>
      <c r="L23" s="2">
        <f>ROUND(H23*(1+M19),0)</f>
        <v>0</v>
      </c>
      <c r="M23" s="871" t="str">
        <f>TEXT(M19,"0.0%")&amp;" = Est. S &amp; C"</f>
        <v>2.0% = Est. S &amp; C</v>
      </c>
      <c r="O23" s="83" t="str">
        <f t="shared" si="3"/>
        <v>0.00%</v>
      </c>
      <c r="P23" s="2">
        <f>ROUND(L23*(1+Q19),0)</f>
        <v>0</v>
      </c>
      <c r="Q23" s="871" t="str">
        <f>TEXT(Q19,"0.0%")&amp;" = Est. S &amp; C"</f>
        <v>2.0% = Est. S &amp; C</v>
      </c>
      <c r="S23" s="83" t="str">
        <f t="shared" si="4"/>
        <v>0.00%</v>
      </c>
      <c r="T23" s="2">
        <f>ROUND(P23*(1+U19),0)</f>
        <v>0</v>
      </c>
      <c r="U23" s="36" t="str">
        <f>TEXT(U19,"0.0%")&amp;" = Est. S &amp; C"</f>
        <v>2.0% = Est. S &amp; C</v>
      </c>
      <c r="W23" s="83" t="str">
        <f t="shared" si="5"/>
        <v>0.00%</v>
      </c>
      <c r="X23" s="2">
        <f>ROUND(T23*(1+Y19),0)</f>
        <v>0</v>
      </c>
      <c r="Y23" s="36" t="str">
        <f>TEXT(Y19,"0.0%")&amp;" = Est. S &amp; C"</f>
        <v>2.0% = Est. S &amp; C</v>
      </c>
      <c r="AA23" s="83" t="str">
        <f t="shared" si="6"/>
        <v>0.00%</v>
      </c>
      <c r="AB23" s="2">
        <f>ROUND(X23*(1+AC19),0)</f>
        <v>0</v>
      </c>
      <c r="AC23" s="36" t="str">
        <f>TEXT(AC19,"0.0%")&amp;" = Est. S &amp; C"</f>
        <v>2.0% = Est. S &amp; C</v>
      </c>
    </row>
    <row r="24" spans="1:29" hidden="1" x14ac:dyDescent="0.25">
      <c r="A24" s="152"/>
      <c r="B24" s="939"/>
      <c r="D24" s="2">
        <v>0</v>
      </c>
      <c r="E24" s="863"/>
      <c r="F24" s="2"/>
      <c r="G24" s="83" t="str">
        <f t="shared" si="1"/>
        <v>0.00%</v>
      </c>
      <c r="H24" s="2">
        <f t="shared" si="7"/>
        <v>0</v>
      </c>
      <c r="I24" s="871" t="str">
        <f t="shared" si="8"/>
        <v>0.0% = Est. S &amp; C</v>
      </c>
      <c r="J24" s="66"/>
      <c r="K24" s="83" t="str">
        <f t="shared" si="2"/>
        <v>0.00%</v>
      </c>
      <c r="L24" s="2">
        <f>ROUND(H24*(1+M19),0)</f>
        <v>0</v>
      </c>
      <c r="M24" s="871" t="str">
        <f>TEXT(M19,"0.0%")&amp;" = Est. S &amp; C"</f>
        <v>2.0% = Est. S &amp; C</v>
      </c>
      <c r="O24" s="83" t="str">
        <f t="shared" si="3"/>
        <v>0.00%</v>
      </c>
      <c r="P24" s="2">
        <f>ROUND(L24*(1+Q19),0)</f>
        <v>0</v>
      </c>
      <c r="Q24" s="871" t="str">
        <f>TEXT(Q19,"0.0%")&amp;" = Est. S &amp; C"</f>
        <v>2.0% = Est. S &amp; C</v>
      </c>
      <c r="S24" s="83" t="str">
        <f t="shared" si="4"/>
        <v>0.00%</v>
      </c>
      <c r="T24" s="2">
        <f>ROUND(P24*(1+U19),0)</f>
        <v>0</v>
      </c>
      <c r="U24" s="36" t="str">
        <f>TEXT(U19,"0.0%")&amp;" = Est. S &amp; C"</f>
        <v>2.0% = Est. S &amp; C</v>
      </c>
      <c r="W24" s="83" t="str">
        <f t="shared" si="5"/>
        <v>0.00%</v>
      </c>
      <c r="X24" s="2">
        <f>ROUND(T24*(1+Y19),0)</f>
        <v>0</v>
      </c>
      <c r="Y24" s="36" t="str">
        <f>TEXT(Y19,"0.0%")&amp;" = Est. S &amp; C"</f>
        <v>2.0% = Est. S &amp; C</v>
      </c>
      <c r="AA24" s="83" t="str">
        <f t="shared" si="6"/>
        <v>0.00%</v>
      </c>
      <c r="AB24" s="2">
        <f>ROUND(X24*(1+AC19),0)</f>
        <v>0</v>
      </c>
      <c r="AC24" s="36" t="str">
        <f>TEXT(AC19,"0.0%")&amp;" = Est. S &amp; C"</f>
        <v>2.0% = Est. S &amp; C</v>
      </c>
    </row>
    <row r="25" spans="1:29" hidden="1" x14ac:dyDescent="0.25">
      <c r="A25" s="152"/>
      <c r="B25" s="939"/>
      <c r="D25" s="2">
        <v>0</v>
      </c>
      <c r="E25" s="863"/>
      <c r="F25" s="2"/>
      <c r="G25" s="83" t="str">
        <f t="shared" si="1"/>
        <v>0.00%</v>
      </c>
      <c r="H25" s="2">
        <f t="shared" si="7"/>
        <v>0</v>
      </c>
      <c r="I25" s="871" t="str">
        <f t="shared" si="8"/>
        <v>0.0% = Est. S &amp; C</v>
      </c>
      <c r="J25" s="66"/>
      <c r="K25" s="83" t="str">
        <f t="shared" si="2"/>
        <v>0.00%</v>
      </c>
      <c r="L25" s="2">
        <f>ROUND(H25*(1+M19),0)</f>
        <v>0</v>
      </c>
      <c r="M25" s="871" t="str">
        <f>TEXT(M19,"0.0%")&amp;" = Est. S &amp; C"</f>
        <v>2.0% = Est. S &amp; C</v>
      </c>
      <c r="O25" s="83" t="str">
        <f t="shared" si="3"/>
        <v>0.00%</v>
      </c>
      <c r="P25" s="2">
        <f>ROUND(L25*(1+Q19),0)</f>
        <v>0</v>
      </c>
      <c r="Q25" s="871" t="str">
        <f>TEXT(Q19,"0.0%")&amp;" = Est. S &amp; C"</f>
        <v>2.0% = Est. S &amp; C</v>
      </c>
      <c r="S25" s="83" t="str">
        <f t="shared" si="4"/>
        <v>0.00%</v>
      </c>
      <c r="T25" s="2">
        <f>ROUND(P25*(1+U19),0)</f>
        <v>0</v>
      </c>
      <c r="U25" s="36" t="str">
        <f>TEXT(U19,"0.0%")&amp;" = Est. S &amp; C"</f>
        <v>2.0% = Est. S &amp; C</v>
      </c>
      <c r="W25" s="83" t="str">
        <f t="shared" si="5"/>
        <v>0.00%</v>
      </c>
      <c r="X25" s="2">
        <f>ROUND(T25*(1+Y19),0)</f>
        <v>0</v>
      </c>
      <c r="Y25" s="36" t="str">
        <f>TEXT(Y19,"0.0%")&amp;" = Est. S &amp; C"</f>
        <v>2.0% = Est. S &amp; C</v>
      </c>
      <c r="AA25" s="83" t="str">
        <f t="shared" si="6"/>
        <v>0.00%</v>
      </c>
      <c r="AB25" s="2">
        <f>ROUND(X25*(1+AC19),0)</f>
        <v>0</v>
      </c>
      <c r="AC25" s="36" t="str">
        <f>TEXT(AC19,"0.0%")&amp;" = Est. S &amp; C"</f>
        <v>2.0% = Est. S &amp; C</v>
      </c>
    </row>
    <row r="26" spans="1:29" hidden="1" x14ac:dyDescent="0.25">
      <c r="A26" s="152"/>
      <c r="B26" s="939"/>
      <c r="D26" s="2">
        <v>0</v>
      </c>
      <c r="E26" s="863"/>
      <c r="F26" s="2"/>
      <c r="G26" s="83" t="str">
        <f t="shared" si="1"/>
        <v>0.00%</v>
      </c>
      <c r="H26" s="2">
        <f t="shared" si="7"/>
        <v>0</v>
      </c>
      <c r="I26" s="871" t="str">
        <f t="shared" si="8"/>
        <v>0.0% = Est. S &amp; C</v>
      </c>
      <c r="J26" s="66"/>
      <c r="K26" s="83" t="str">
        <f t="shared" si="2"/>
        <v>0.00%</v>
      </c>
      <c r="L26" s="2">
        <f>ROUND(H26*(1+M19),0)</f>
        <v>0</v>
      </c>
      <c r="M26" s="382" t="str">
        <f>TEXT(M19,"0.0%")&amp;" = Est. S &amp; C"</f>
        <v>2.0% = Est. S &amp; C</v>
      </c>
      <c r="O26" s="83" t="str">
        <f t="shared" si="3"/>
        <v>0.00%</v>
      </c>
      <c r="P26" s="2">
        <f>ROUND(L26*(1+Q19),0)</f>
        <v>0</v>
      </c>
      <c r="Q26" s="871" t="str">
        <f>TEXT(Q19,"0.0%")&amp;" = Est. S &amp; C"</f>
        <v>2.0% = Est. S &amp; C</v>
      </c>
      <c r="S26" s="83" t="str">
        <f t="shared" si="4"/>
        <v>0.00%</v>
      </c>
      <c r="T26" s="2">
        <f>ROUND(P26*(1+U19),0)</f>
        <v>0</v>
      </c>
      <c r="U26" s="36" t="str">
        <f>TEXT(U19,"0.0%")&amp;" = Est. S &amp; C"</f>
        <v>2.0% = Est. S &amp; C</v>
      </c>
      <c r="W26" s="83" t="str">
        <f t="shared" si="5"/>
        <v>0.00%</v>
      </c>
      <c r="X26" s="2">
        <f>ROUND(T26*(1+Y19),0)</f>
        <v>0</v>
      </c>
      <c r="Y26" s="36" t="str">
        <f>TEXT(Y19,"0.0%")&amp;" = Est. S &amp; C"</f>
        <v>2.0% = Est. S &amp; C</v>
      </c>
      <c r="AA26" s="83" t="str">
        <f t="shared" si="6"/>
        <v>0.00%</v>
      </c>
      <c r="AB26" s="2">
        <f>ROUND(X26*(1+AC19),0)</f>
        <v>0</v>
      </c>
      <c r="AC26" s="36" t="str">
        <f>TEXT(AC19,"0.0%")&amp;" = Est. S &amp; C"</f>
        <v>2.0% = Est. S &amp; C</v>
      </c>
    </row>
    <row r="27" spans="1:29" hidden="1" x14ac:dyDescent="0.25">
      <c r="A27" s="152"/>
      <c r="B27" s="939"/>
      <c r="D27" s="2">
        <v>0</v>
      </c>
      <c r="E27" s="863"/>
      <c r="F27" s="2"/>
      <c r="G27" s="83" t="str">
        <f t="shared" si="1"/>
        <v>0.00%</v>
      </c>
      <c r="H27" s="2">
        <f t="shared" si="7"/>
        <v>0</v>
      </c>
      <c r="I27" s="871" t="str">
        <f t="shared" si="8"/>
        <v>0.0% = Est. S &amp; C</v>
      </c>
      <c r="J27" s="66"/>
      <c r="K27" s="83" t="str">
        <f t="shared" si="2"/>
        <v>0.00%</v>
      </c>
      <c r="L27" s="2">
        <f>ROUND(H27*(1+M19),0)</f>
        <v>0</v>
      </c>
      <c r="M27" s="871" t="str">
        <f>TEXT(M19,"0.0%")&amp;" = Est. S &amp; C"</f>
        <v>2.0% = Est. S &amp; C</v>
      </c>
      <c r="O27" s="83" t="str">
        <f t="shared" si="3"/>
        <v>0.00%</v>
      </c>
      <c r="P27" s="2">
        <f>ROUND(L27*(1+Q19),0)</f>
        <v>0</v>
      </c>
      <c r="Q27" s="871" t="str">
        <f>TEXT(Q19,"0.0%")&amp;" = Est. S &amp; C"</f>
        <v>2.0% = Est. S &amp; C</v>
      </c>
      <c r="S27" s="83" t="str">
        <f t="shared" si="4"/>
        <v>0.00%</v>
      </c>
      <c r="T27" s="2">
        <f>ROUND(P27*(1+U19),0)</f>
        <v>0</v>
      </c>
      <c r="U27" s="36" t="str">
        <f>TEXT(U19,"0.0%")&amp;" = Est. S &amp; C"</f>
        <v>2.0% = Est. S &amp; C</v>
      </c>
      <c r="W27" s="83" t="str">
        <f t="shared" si="5"/>
        <v>0.00%</v>
      </c>
      <c r="X27" s="2">
        <f>ROUND(T27*(1+Y19),0)</f>
        <v>0</v>
      </c>
      <c r="Y27" s="36" t="str">
        <f>TEXT(Y19,"0.0%")&amp;" = Est. S &amp; C"</f>
        <v>2.0% = Est. S &amp; C</v>
      </c>
      <c r="AA27" s="83" t="str">
        <f t="shared" si="6"/>
        <v>0.00%</v>
      </c>
      <c r="AB27" s="2">
        <f>ROUND(X27*(1+AC19),0)</f>
        <v>0</v>
      </c>
      <c r="AC27" s="36" t="str">
        <f>TEXT(AC19,"0.0%")&amp;" = Est. S &amp; C"</f>
        <v>2.0% = Est. S &amp; C</v>
      </c>
    </row>
    <row r="28" spans="1:29" hidden="1" x14ac:dyDescent="0.25">
      <c r="A28" s="152"/>
      <c r="B28" s="939"/>
      <c r="D28" s="2">
        <v>0</v>
      </c>
      <c r="E28" s="863"/>
      <c r="F28" s="2"/>
      <c r="G28" s="83" t="str">
        <f>IF(D28=0,"0.00%",(H28-D28)/D28)</f>
        <v>0.00%</v>
      </c>
      <c r="H28" s="2">
        <f>ROUND(D28*(1+$I$19),0)</f>
        <v>0</v>
      </c>
      <c r="I28" s="871" t="str">
        <f t="shared" si="8"/>
        <v>0.0% = Est. S &amp; C</v>
      </c>
      <c r="J28" s="66"/>
      <c r="K28" s="83" t="str">
        <f>IF(H28=0,"0.00%",(L28-H28)/H28)</f>
        <v>0.00%</v>
      </c>
      <c r="L28" s="2">
        <f>ROUND(H28*(1+M20),0)</f>
        <v>0</v>
      </c>
      <c r="M28" s="871" t="str">
        <f>TEXT(M20,"0.0%")&amp;" = Est. S &amp; C"</f>
        <v>0.0% = Est. S &amp; C</v>
      </c>
      <c r="O28" s="83" t="str">
        <f>IF(L28=0,"0.00%",(P28-L28)/L28)</f>
        <v>0.00%</v>
      </c>
      <c r="P28" s="2">
        <f>ROUND(L28*(1+Q20),0)</f>
        <v>0</v>
      </c>
      <c r="Q28" s="871"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939"/>
      <c r="E29" s="863"/>
      <c r="F29" s="2"/>
      <c r="G29" s="83"/>
      <c r="H29" s="2"/>
      <c r="I29" s="871"/>
      <c r="J29" s="66"/>
      <c r="L29" s="2"/>
      <c r="M29" s="948"/>
      <c r="Q29" s="948"/>
      <c r="T29" s="2"/>
      <c r="U29" s="73"/>
      <c r="X29" s="2"/>
      <c r="Y29" s="73"/>
      <c r="AB29" s="2"/>
      <c r="AC29" s="73"/>
    </row>
    <row r="30" spans="1:29" x14ac:dyDescent="0.25">
      <c r="A30" s="153"/>
      <c r="B30" s="939"/>
      <c r="D30" s="8">
        <f>SUM(D21:D29)</f>
        <v>1251.3599999999999</v>
      </c>
      <c r="E30" s="863"/>
      <c r="F30" s="2"/>
      <c r="G30" s="83">
        <f t="shared" si="1"/>
        <v>13.466660273622299</v>
      </c>
      <c r="H30" s="8">
        <f>SUM(H21:H29)</f>
        <v>18103</v>
      </c>
      <c r="I30" s="1292">
        <f>+H30-D30</f>
        <v>16851.64</v>
      </c>
      <c r="J30" s="29"/>
      <c r="K30" s="83">
        <f>IF(H30=0,"0.00%",(L30-H30)/H30)</f>
        <v>0</v>
      </c>
      <c r="L30" s="8">
        <f>SUM(L21:L29)</f>
        <v>18103</v>
      </c>
      <c r="M30" s="1292">
        <f>+L30-H30</f>
        <v>0</v>
      </c>
      <c r="O30" s="83">
        <f>IF(L30=0,"0.00%",(P30-L30)/L30)</f>
        <v>0</v>
      </c>
      <c r="P30" s="8">
        <f>SUM(P21:P29)</f>
        <v>18103</v>
      </c>
      <c r="Q30" s="1292">
        <f>+P30-L30</f>
        <v>0</v>
      </c>
      <c r="S30" s="83">
        <f>IF(P30=0,"0.00%",(T30-P30)/P30)</f>
        <v>0</v>
      </c>
      <c r="T30" s="8">
        <f>SUM(T21:T29)</f>
        <v>18103</v>
      </c>
      <c r="U30" s="73"/>
      <c r="W30" s="83">
        <f>IF(T30=0,"0.00%",(X30-T30)/T30)</f>
        <v>1.9996685632215655E-2</v>
      </c>
      <c r="X30" s="8">
        <f>SUM(X21:X29)</f>
        <v>18465</v>
      </c>
      <c r="Y30" s="73"/>
      <c r="AA30" s="83">
        <f>IF(X30=0,"0.00%",(AB30-X30)/X30)</f>
        <v>1.9983753046303818E-2</v>
      </c>
      <c r="AB30" s="8">
        <f>SUM(AB21:AB29)</f>
        <v>18834</v>
      </c>
      <c r="AC30" s="73"/>
    </row>
    <row r="31" spans="1:29" hidden="1" x14ac:dyDescent="0.25">
      <c r="A31" s="152"/>
      <c r="E31" s="863"/>
      <c r="F31" s="2"/>
      <c r="H31" s="2"/>
      <c r="I31" s="854"/>
      <c r="J31" s="66"/>
      <c r="L31" s="2"/>
      <c r="M31" s="949"/>
      <c r="Q31" s="949"/>
      <c r="T31" s="2"/>
      <c r="U31" s="73"/>
      <c r="X31" s="2"/>
      <c r="Y31" s="73"/>
      <c r="AB31" s="2"/>
      <c r="AC31" s="73"/>
    </row>
    <row r="32" spans="1:29" s="4" customFormat="1" hidden="1" x14ac:dyDescent="0.25">
      <c r="A32" s="150"/>
      <c r="B32" s="940" t="s">
        <v>35</v>
      </c>
      <c r="C32" s="873"/>
      <c r="D32" s="6"/>
      <c r="E32" s="864"/>
      <c r="F32" s="6"/>
      <c r="G32" s="373"/>
      <c r="H32" s="6"/>
      <c r="I32" s="864"/>
      <c r="J32" s="57"/>
      <c r="K32" s="380"/>
      <c r="L32" s="6"/>
      <c r="M32" s="950"/>
      <c r="O32" s="380"/>
      <c r="P32" s="6"/>
      <c r="Q32" s="950"/>
      <c r="R32" s="111"/>
      <c r="T32" s="6"/>
      <c r="U32" s="71"/>
      <c r="X32" s="6"/>
      <c r="Y32" s="71"/>
      <c r="AB32" s="6"/>
      <c r="AC32" s="71"/>
    </row>
    <row r="33" spans="1:29" hidden="1" x14ac:dyDescent="0.25">
      <c r="A33" s="152"/>
      <c r="B33" s="939"/>
      <c r="E33" s="863"/>
      <c r="F33" s="2"/>
      <c r="G33" s="83" t="str">
        <f t="shared" ref="G33:G39" si="9">IF(D33=0,"0.00%",(H33-D33)/D33)</f>
        <v>0.00%</v>
      </c>
      <c r="H33" s="2">
        <f t="shared" ref="H33:H39" si="10">ROUND(D33*(1+$I$19),0)</f>
        <v>0</v>
      </c>
      <c r="I33" s="871" t="str">
        <f t="shared" ref="I33:I38" si="11">TEXT($I$19,"0.0%")&amp;" = Est. S &amp; C"</f>
        <v>0.0% = Est. S &amp; C</v>
      </c>
      <c r="J33" s="66"/>
      <c r="K33" s="83" t="str">
        <f t="shared" ref="K33:K39" si="12">IF(H33=0,"0.00%",(L33-H33)/H33)</f>
        <v>0.00%</v>
      </c>
      <c r="L33" s="2">
        <f>ROUND(H33*(1+M19),0)</f>
        <v>0</v>
      </c>
      <c r="M33" s="871" t="str">
        <f>TEXT($M$19,"0.0%")&amp;" = Est. S &amp; C"</f>
        <v>2.0% = Est. S &amp; C</v>
      </c>
      <c r="O33" s="83" t="str">
        <f t="shared" ref="O33:O39" si="13">IF(L33=0,"0.00%",(P33-L33)/L33)</f>
        <v>0.00%</v>
      </c>
      <c r="P33" s="2">
        <f>ROUND(L33*(1+Q19),0)</f>
        <v>0</v>
      </c>
      <c r="Q33" s="871"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2"/>
      <c r="B34" s="939"/>
      <c r="E34" s="863"/>
      <c r="F34" s="2"/>
      <c r="G34" s="83" t="str">
        <f t="shared" si="9"/>
        <v>0.00%</v>
      </c>
      <c r="H34" s="2">
        <f t="shared" si="10"/>
        <v>0</v>
      </c>
      <c r="I34" s="871" t="str">
        <f t="shared" si="11"/>
        <v>0.0% = Est. S &amp; C</v>
      </c>
      <c r="J34" s="66"/>
      <c r="K34" s="83" t="str">
        <f t="shared" si="12"/>
        <v>0.00%</v>
      </c>
      <c r="L34" s="2">
        <f>ROUND(H34*(1+M19),0)</f>
        <v>0</v>
      </c>
      <c r="M34" s="871" t="str">
        <f t="shared" ref="M34:M38" si="17">TEXT($M$19,"0.0%")&amp;" = Est. S &amp; C"</f>
        <v>2.0% = Est. S &amp; C</v>
      </c>
      <c r="O34" s="83" t="str">
        <f t="shared" si="13"/>
        <v>0.00%</v>
      </c>
      <c r="P34" s="2">
        <f>ROUND(L34*(1+Q19),0)</f>
        <v>0</v>
      </c>
      <c r="Q34" s="871" t="str">
        <f t="shared" ref="Q34:Q38" si="18">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2"/>
      <c r="B35" s="939"/>
      <c r="E35" s="863"/>
      <c r="F35" s="2"/>
      <c r="G35" s="83" t="str">
        <f t="shared" si="9"/>
        <v>0.00%</v>
      </c>
      <c r="H35" s="2">
        <f t="shared" si="10"/>
        <v>0</v>
      </c>
      <c r="I35" s="871" t="str">
        <f t="shared" si="11"/>
        <v>0.0% = Est. S &amp; C</v>
      </c>
      <c r="J35" s="66"/>
      <c r="K35" s="83" t="str">
        <f t="shared" si="12"/>
        <v>0.00%</v>
      </c>
      <c r="L35" s="2">
        <f>ROUND(H35*(1+M19),0)</f>
        <v>0</v>
      </c>
      <c r="M35" s="871" t="str">
        <f t="shared" si="17"/>
        <v>2.0% = Est. S &amp; C</v>
      </c>
      <c r="O35" s="83" t="str">
        <f t="shared" si="13"/>
        <v>0.00%</v>
      </c>
      <c r="P35" s="2">
        <f>ROUND(L35*(1+Q19),0)</f>
        <v>0</v>
      </c>
      <c r="Q35" s="871" t="str">
        <f t="shared" si="18"/>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2"/>
      <c r="B36" s="939"/>
      <c r="E36" s="863"/>
      <c r="F36" s="2"/>
      <c r="G36" s="83" t="str">
        <f t="shared" si="9"/>
        <v>0.00%</v>
      </c>
      <c r="H36" s="2">
        <f t="shared" si="10"/>
        <v>0</v>
      </c>
      <c r="I36" s="871" t="str">
        <f t="shared" si="11"/>
        <v>0.0% = Est. S &amp; C</v>
      </c>
      <c r="J36" s="66"/>
      <c r="K36" s="83" t="str">
        <f t="shared" si="12"/>
        <v>0.00%</v>
      </c>
      <c r="L36" s="2">
        <v>0</v>
      </c>
      <c r="M36" s="871" t="str">
        <f t="shared" si="17"/>
        <v>2.0% = Est. S &amp; C</v>
      </c>
      <c r="O36" s="83" t="str">
        <f t="shared" si="13"/>
        <v>0.00%</v>
      </c>
      <c r="P36" s="2">
        <v>0</v>
      </c>
      <c r="Q36" s="871" t="str">
        <f t="shared" si="18"/>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2"/>
      <c r="B37" s="939"/>
      <c r="E37" s="863"/>
      <c r="F37" s="2"/>
      <c r="G37" s="83" t="str">
        <f t="shared" si="9"/>
        <v>0.00%</v>
      </c>
      <c r="H37" s="2">
        <f t="shared" si="10"/>
        <v>0</v>
      </c>
      <c r="I37" s="871" t="str">
        <f t="shared" si="11"/>
        <v>0.0% = Est. S &amp; C</v>
      </c>
      <c r="J37" s="66"/>
      <c r="K37" s="83" t="str">
        <f t="shared" si="12"/>
        <v>0.00%</v>
      </c>
      <c r="L37" s="2">
        <f>ROUND(H37*(1+M19),0)</f>
        <v>0</v>
      </c>
      <c r="M37" s="871" t="str">
        <f t="shared" si="17"/>
        <v>2.0% = Est. S &amp; C</v>
      </c>
      <c r="O37" s="83" t="str">
        <f t="shared" si="13"/>
        <v>0.00%</v>
      </c>
      <c r="P37" s="2">
        <f>ROUND(L37*(1+Q19),0)</f>
        <v>0</v>
      </c>
      <c r="Q37" s="871" t="str">
        <f t="shared" si="18"/>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2"/>
      <c r="B38" s="939"/>
      <c r="E38" s="863"/>
      <c r="F38" s="2"/>
      <c r="G38" s="83" t="str">
        <f t="shared" si="9"/>
        <v>0.00%</v>
      </c>
      <c r="H38" s="2">
        <f t="shared" si="10"/>
        <v>0</v>
      </c>
      <c r="I38" s="871" t="str">
        <f t="shared" si="11"/>
        <v>0.0% = Est. S &amp; C</v>
      </c>
      <c r="J38" s="66"/>
      <c r="K38" s="83" t="str">
        <f t="shared" si="12"/>
        <v>0.00%</v>
      </c>
      <c r="L38" s="2">
        <f>ROUND(H38*(1+M19),0)</f>
        <v>0</v>
      </c>
      <c r="M38" s="871" t="str">
        <f t="shared" si="17"/>
        <v>2.0% = Est. S &amp; C</v>
      </c>
      <c r="O38" s="83" t="str">
        <f t="shared" si="13"/>
        <v>0.00%</v>
      </c>
      <c r="P38" s="2">
        <f>ROUND(L38*(1+Q19),0)</f>
        <v>0</v>
      </c>
      <c r="Q38" s="871" t="str">
        <f t="shared" si="18"/>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2"/>
      <c r="B39" s="939"/>
      <c r="D39" s="2">
        <v>0</v>
      </c>
      <c r="E39" s="863"/>
      <c r="F39" s="2"/>
      <c r="G39" s="83" t="str">
        <f t="shared" si="9"/>
        <v>0.00%</v>
      </c>
      <c r="H39" s="2">
        <f t="shared" si="10"/>
        <v>0</v>
      </c>
      <c r="I39" s="871"/>
      <c r="J39" s="66"/>
      <c r="K39" s="83" t="str">
        <f t="shared" si="12"/>
        <v>0.00%</v>
      </c>
      <c r="L39" s="2"/>
      <c r="M39" s="871"/>
      <c r="O39" s="83" t="str">
        <f t="shared" si="13"/>
        <v>0.00%</v>
      </c>
      <c r="Q39" s="871"/>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2"/>
      <c r="B40" s="939"/>
      <c r="E40" s="863"/>
      <c r="F40" s="2"/>
      <c r="H40" s="2"/>
      <c r="I40" s="871"/>
      <c r="J40" s="66"/>
      <c r="L40" s="2"/>
      <c r="M40" s="948"/>
      <c r="Q40" s="948"/>
      <c r="T40" s="2"/>
      <c r="U40" s="73"/>
      <c r="X40" s="2"/>
      <c r="Y40" s="73"/>
      <c r="AB40" s="2"/>
      <c r="AC40" s="73"/>
    </row>
    <row r="41" spans="1:29" hidden="1" x14ac:dyDescent="0.25">
      <c r="A41" s="153"/>
      <c r="B41" s="939"/>
      <c r="D41" s="8">
        <f>SUM(D33:D40)</f>
        <v>0</v>
      </c>
      <c r="E41" s="863"/>
      <c r="F41" s="2"/>
      <c r="G41" s="83" t="str">
        <f>IF(D41=0,"0.00%",(H41-D41)/D41)</f>
        <v>0.00%</v>
      </c>
      <c r="H41" s="8">
        <f>SUM(H33:H40)</f>
        <v>0</v>
      </c>
      <c r="I41" s="872"/>
      <c r="J41" s="29"/>
      <c r="K41" s="83" t="str">
        <f>IF(H41=0,"0.00%",(L41-H41)/H41)</f>
        <v>0.00%</v>
      </c>
      <c r="L41" s="8">
        <f>SUM(L33:L40)</f>
        <v>0</v>
      </c>
      <c r="M41" s="948"/>
      <c r="O41" s="83" t="str">
        <f>IF(L41=0,"0.00%",(P41-L41)/L41)</f>
        <v>0.00%</v>
      </c>
      <c r="P41" s="8">
        <f>SUM(P33:P40)</f>
        <v>0</v>
      </c>
      <c r="Q41" s="948"/>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x14ac:dyDescent="0.25">
      <c r="A42" s="152"/>
      <c r="B42" s="930" t="s">
        <v>28</v>
      </c>
      <c r="E42" s="863"/>
      <c r="F42" s="2"/>
      <c r="H42" s="2"/>
      <c r="I42" s="871"/>
      <c r="J42" s="66"/>
      <c r="L42" s="2"/>
      <c r="M42" s="948"/>
      <c r="Q42" s="948"/>
      <c r="T42" s="2"/>
      <c r="U42" s="73"/>
      <c r="X42" s="2"/>
      <c r="Y42" s="73"/>
      <c r="AB42" s="2"/>
      <c r="AC42" s="73"/>
    </row>
    <row r="43" spans="1:29" x14ac:dyDescent="0.25">
      <c r="A43" s="154"/>
      <c r="B43" s="936" t="s">
        <v>27</v>
      </c>
      <c r="E43" s="863"/>
      <c r="F43" s="2"/>
      <c r="H43" s="2"/>
      <c r="I43" s="871"/>
      <c r="J43" s="66"/>
      <c r="L43" s="2"/>
      <c r="M43" s="948"/>
      <c r="Q43" s="948"/>
      <c r="T43" s="2"/>
      <c r="U43" s="73"/>
      <c r="X43" s="2"/>
      <c r="Y43" s="73"/>
      <c r="AB43" s="2"/>
      <c r="AC43" s="73"/>
    </row>
    <row r="44" spans="1:29" x14ac:dyDescent="0.25">
      <c r="A44" s="152"/>
      <c r="B44" s="939" t="s">
        <v>83</v>
      </c>
      <c r="C44" s="857" t="s">
        <v>76</v>
      </c>
      <c r="D44" s="2">
        <v>158.05000000000001</v>
      </c>
      <c r="E44" s="854" t="str">
        <f>TEXT('MYP Assumptions'!$D$55,"0.00%")&amp;", STRS rate"</f>
        <v>12.58%, STRS rate</v>
      </c>
      <c r="F44" s="2"/>
      <c r="G44" s="83">
        <f t="shared" ref="G44:G53" si="19">IF(D44=0,"0.00%",(H44-D44)/D44)</f>
        <v>15.532742802910469</v>
      </c>
      <c r="H44" s="2">
        <f>ROUND(H30*LEFT(I44,6),0)+1</f>
        <v>2613</v>
      </c>
      <c r="I44" s="854" t="str">
        <f>TEXT('MYP Assumptions'!E55,"0.00%")&amp;", projected STRS rate"</f>
        <v>14.43%, projected STRS rate</v>
      </c>
      <c r="J44" s="66"/>
      <c r="K44" s="83">
        <f t="shared" ref="K44:K53" si="20">IF(H44=0,"0.00%",(L44-H44)/H44)</f>
        <v>0.12782242632988902</v>
      </c>
      <c r="L44" s="2">
        <f>ROUND(L30*LEFT(M44,6),0)</f>
        <v>2947</v>
      </c>
      <c r="M44" s="854" t="str">
        <f>TEXT('MYP Assumptions'!F55,"0.00%")&amp;", projected STRS rate"</f>
        <v>16.28%, projected STRS rate</v>
      </c>
      <c r="O44" s="83">
        <f t="shared" ref="O44:O53" si="21">IF(L44=0,"0.00%",(P44-L44)/L44)</f>
        <v>1.8663047166610113E-2</v>
      </c>
      <c r="P44" s="2">
        <f>ROUND(+L44*1.0185,0)</f>
        <v>3002</v>
      </c>
      <c r="Q44" s="854" t="str">
        <f>TEXT('MYP Assumptions'!G55,"0.00%")&amp;", projected STRS rate"</f>
        <v>18.13%, projected STRS rate</v>
      </c>
      <c r="S44" s="83">
        <f t="shared" ref="S44:S53" si="22">IF(P44=0,"0.00%",(T44-P44)/P44)</f>
        <v>0.15189873417721519</v>
      </c>
      <c r="T44" s="2">
        <f>ROUND(T30*LEFT(U44,6),0)</f>
        <v>3458</v>
      </c>
      <c r="U44" s="81" t="str">
        <f>TEXT('MYP Assumptions'!H55,"0.00%")&amp;", projected STRS rate"</f>
        <v>19.10%, projected STRS rate</v>
      </c>
      <c r="W44" s="83">
        <f t="shared" ref="W44:W53" si="23">IF(T44=0,"0.00%",(X44-T44)/T44)</f>
        <v>1.9953730480046269E-2</v>
      </c>
      <c r="X44" s="2">
        <f>ROUND(X30*LEFT(Y44,6),0)</f>
        <v>3527</v>
      </c>
      <c r="Y44" s="81" t="str">
        <f>TEXT('MYP Assumptions'!I55,"0.00%")&amp;", projected STRS rate"</f>
        <v>19.10%, projected STRS rate</v>
      </c>
      <c r="AA44" s="83">
        <f t="shared" ref="AA44:AA53" si="24">IF(X44=0,"0.00%",(AB44-X44)/X44)</f>
        <v>1.9846895378508648E-2</v>
      </c>
      <c r="AB44" s="2">
        <f>ROUND(AB30*LEFT(AC44,6),0)</f>
        <v>3597</v>
      </c>
      <c r="AC44" s="81" t="str">
        <f>TEXT('MYP Assumptions'!J55,"0.00%")&amp;", projected STRS rate"</f>
        <v>19.10%, projected STRS rate</v>
      </c>
    </row>
    <row r="45" spans="1:29" x14ac:dyDescent="0.25">
      <c r="A45" s="152"/>
      <c r="B45" s="939" t="s">
        <v>84</v>
      </c>
      <c r="C45" s="857" t="s">
        <v>77</v>
      </c>
      <c r="D45" s="2">
        <v>0</v>
      </c>
      <c r="E45" s="854" t="str">
        <f>TEXT('MYP Assumptions'!$D$56,"0.00%")&amp;", PERS rate"</f>
        <v>13.89%, PERS rate</v>
      </c>
      <c r="F45" s="2"/>
      <c r="G45" s="83" t="str">
        <f t="shared" si="19"/>
        <v>0.00%</v>
      </c>
      <c r="H45" s="2">
        <f>ROUND(H41*LEFT(I45,6),0)</f>
        <v>0</v>
      </c>
      <c r="I45" s="854" t="str">
        <f>TEXT('MYP Assumptions'!E56,"0.00%")&amp;", projected PERS rate"</f>
        <v>15.53%, projected PERS rate</v>
      </c>
      <c r="J45" s="66"/>
      <c r="K45" s="83" t="str">
        <f t="shared" si="20"/>
        <v>0.00%</v>
      </c>
      <c r="L45" s="2">
        <f>ROUND(L41*LEFT(M45,6),0)</f>
        <v>0</v>
      </c>
      <c r="M45" s="854" t="str">
        <f>TEXT('MYP Assumptions'!F56,"0.00%")&amp;", projected PERS rate"</f>
        <v>18.10%, projected PERS rate</v>
      </c>
      <c r="O45" s="83" t="str">
        <f t="shared" si="21"/>
        <v>0.00%</v>
      </c>
      <c r="P45" s="2">
        <f>ROUND((P41-P37-P38)*LEFT(Q45,6),0)</f>
        <v>0</v>
      </c>
      <c r="Q45" s="854" t="str">
        <f>TEXT('MYP Assumptions'!G56,"0.00%")&amp;", projected PERS rate"</f>
        <v>20.80%, projected PERS rate</v>
      </c>
      <c r="S45" s="83" t="str">
        <f t="shared" si="22"/>
        <v>0.00%</v>
      </c>
      <c r="T45" s="2">
        <f>ROUND(T41*LEFT(U45,6),0)</f>
        <v>0</v>
      </c>
      <c r="U45" s="81" t="str">
        <f>TEXT('MYP Assumptions'!H56,"0.00%")&amp;", projected PERS rate"</f>
        <v>23.80%, projected PERS rate</v>
      </c>
      <c r="W45" s="83" t="str">
        <f t="shared" si="23"/>
        <v>0.00%</v>
      </c>
      <c r="X45" s="2">
        <f>ROUND(X41*LEFT(Y45,6),0)</f>
        <v>0</v>
      </c>
      <c r="Y45" s="81" t="str">
        <f>TEXT('MYP Assumptions'!I56,"0.00%")&amp;", projected PERS rate"</f>
        <v>25.20%, projected PERS rate</v>
      </c>
      <c r="AA45" s="83" t="str">
        <f t="shared" si="24"/>
        <v>0.00%</v>
      </c>
      <c r="AB45" s="2">
        <f>ROUND(AB41*LEFT(AC45,6),0)</f>
        <v>0</v>
      </c>
      <c r="AC45" s="81" t="str">
        <f>TEXT('MYP Assumptions'!J56,"0.00%")&amp;", projected PERS rate"</f>
        <v>26.10%, projected PERS rate</v>
      </c>
    </row>
    <row r="46" spans="1:29" x14ac:dyDescent="0.25">
      <c r="A46" s="152"/>
      <c r="B46" s="939" t="s">
        <v>85</v>
      </c>
      <c r="C46" s="857" t="s">
        <v>78</v>
      </c>
      <c r="D46" s="2">
        <v>0</v>
      </c>
      <c r="E46" s="854" t="str">
        <f>TEXT('MYP Assumptions'!$D$57,"0.00%")&amp;", SS rate"</f>
        <v>6.20%, SS rate</v>
      </c>
      <c r="F46" s="2"/>
      <c r="G46" s="83" t="str">
        <f t="shared" si="19"/>
        <v>0.00%</v>
      </c>
      <c r="H46" s="2">
        <f>ROUND(H41*LEFT(I46,5),0)</f>
        <v>0</v>
      </c>
      <c r="I46" s="854" t="str">
        <f>TEXT('MYP Assumptions'!E57,"0.00%")&amp;", no rate change"</f>
        <v>6.20%, no rate change</v>
      </c>
      <c r="J46" s="66"/>
      <c r="K46" s="83" t="str">
        <f t="shared" si="20"/>
        <v>0.00%</v>
      </c>
      <c r="L46" s="2">
        <f>ROUND(L41*LEFT(M46,5),0)</f>
        <v>0</v>
      </c>
      <c r="M46" s="854" t="str">
        <f>TEXT('MYP Assumptions'!F57,"0.00%")&amp;", no rate change"</f>
        <v>6.20%, no rate change</v>
      </c>
      <c r="O46" s="83" t="str">
        <f t="shared" si="21"/>
        <v>0.00%</v>
      </c>
      <c r="P46" s="2">
        <f>ROUND(P41*LEFT(Q46,5),0)</f>
        <v>0</v>
      </c>
      <c r="Q46" s="854" t="str">
        <f>TEXT('MYP Assumptions'!G57,"0.00%")&amp;", no rate change"</f>
        <v>6.20%, no rate change</v>
      </c>
      <c r="S46" s="83" t="str">
        <f t="shared" si="22"/>
        <v>0.00%</v>
      </c>
      <c r="T46" s="2">
        <f>ROUND(T41*LEFT(U46,5),0)</f>
        <v>0</v>
      </c>
      <c r="U46" s="81" t="str">
        <f>TEXT('MYP Assumptions'!H57,"0.00%")&amp;", no rate change"</f>
        <v>6.20%, no rate change</v>
      </c>
      <c r="W46" s="83" t="str">
        <f t="shared" si="23"/>
        <v>0.00%</v>
      </c>
      <c r="X46" s="2">
        <f>ROUND(X41*LEFT(Y46,5),0)</f>
        <v>0</v>
      </c>
      <c r="Y46" s="81" t="str">
        <f>TEXT('MYP Assumptions'!I57,"0.00%")&amp;", no rate change"</f>
        <v>6.20%, no rate change</v>
      </c>
      <c r="AA46" s="83" t="str">
        <f t="shared" si="24"/>
        <v>0.00%</v>
      </c>
      <c r="AB46" s="2">
        <f>ROUND(AB41*LEFT(AC46,5),0)</f>
        <v>0</v>
      </c>
      <c r="AC46" s="81" t="str">
        <f>TEXT('MYP Assumptions'!J57,"0.00%")&amp;", no rate change"</f>
        <v>6.20%, no rate change</v>
      </c>
    </row>
    <row r="47" spans="1:29" x14ac:dyDescent="0.25">
      <c r="A47" s="152"/>
      <c r="B47" s="939" t="s">
        <v>86</v>
      </c>
      <c r="C47" s="857" t="s">
        <v>79</v>
      </c>
      <c r="D47" s="2">
        <v>17.63</v>
      </c>
      <c r="E47" s="854" t="str">
        <f>TEXT('MYP Assumptions'!$D$58,"0.00%")&amp;", Medicare rate"</f>
        <v>1.45%, Medicare rate</v>
      </c>
      <c r="F47" s="2"/>
      <c r="G47" s="83">
        <f t="shared" si="19"/>
        <v>13.861032331253545</v>
      </c>
      <c r="H47" s="2">
        <f>ROUND((H41+H30)*LEFT(I47,5),0)</f>
        <v>262</v>
      </c>
      <c r="I47" s="854" t="str">
        <f>TEXT('MYP Assumptions'!E58,"0.00%")&amp;", no rate change"</f>
        <v>1.45%, no rate change</v>
      </c>
      <c r="J47" s="66"/>
      <c r="K47" s="83">
        <f t="shared" si="20"/>
        <v>0</v>
      </c>
      <c r="L47" s="2">
        <f>ROUND((L41+L30)*LEFT(M47,5),0)</f>
        <v>262</v>
      </c>
      <c r="M47" s="854" t="str">
        <f>TEXT('MYP Assumptions'!F58,"0.00%")&amp;", no rate change"</f>
        <v>1.45%, no rate change</v>
      </c>
      <c r="O47" s="83">
        <f t="shared" si="21"/>
        <v>0</v>
      </c>
      <c r="P47" s="2">
        <f>ROUND((P41+P30)*LEFT(Q47,5),0)</f>
        <v>262</v>
      </c>
      <c r="Q47" s="854" t="str">
        <f>TEXT('MYP Assumptions'!G58,"0.00%")&amp;", no rate change"</f>
        <v>1.45%, no rate change</v>
      </c>
      <c r="S47" s="83">
        <f t="shared" si="22"/>
        <v>0</v>
      </c>
      <c r="T47" s="2">
        <f>ROUND((T41+T30)*LEFT(U47,5),0)</f>
        <v>262</v>
      </c>
      <c r="U47" s="81" t="str">
        <f>TEXT('MYP Assumptions'!H58,"0.00%")&amp;", no rate change"</f>
        <v>1.45%, no rate change</v>
      </c>
      <c r="W47" s="83">
        <f t="shared" si="23"/>
        <v>2.2900763358778626E-2</v>
      </c>
      <c r="X47" s="2">
        <f>ROUND((X41+X30)*LEFT(Y47,5),0)</f>
        <v>268</v>
      </c>
      <c r="Y47" s="81" t="str">
        <f>TEXT('MYP Assumptions'!I58,"0.00%")&amp;", no rate change"</f>
        <v>1.45%, no rate change</v>
      </c>
      <c r="AA47" s="83">
        <f t="shared" si="24"/>
        <v>1.8656716417910446E-2</v>
      </c>
      <c r="AB47" s="2">
        <f>ROUND((AB41+AB30)*LEFT(AC47,5),0)</f>
        <v>273</v>
      </c>
      <c r="AC47" s="81" t="str">
        <f>TEXT('MYP Assumptions'!J58,"0.00%")&amp;", no rate change"</f>
        <v>1.45%, no rate change</v>
      </c>
    </row>
    <row r="48" spans="1:29" x14ac:dyDescent="0.25">
      <c r="A48" s="152"/>
      <c r="B48" s="939" t="s">
        <v>87</v>
      </c>
      <c r="C48" s="857" t="s">
        <v>80</v>
      </c>
      <c r="D48" s="2">
        <v>17.05</v>
      </c>
      <c r="E48" s="854"/>
      <c r="F48" s="2"/>
      <c r="G48" s="83">
        <f t="shared" si="19"/>
        <v>-1</v>
      </c>
      <c r="H48" s="2">
        <v>0</v>
      </c>
      <c r="I48" s="854" t="str">
        <f>TEXT('MYP Assumptions'!$M$65,"0.00%")&amp;", projected increase"</f>
        <v>7.00%, projected increase</v>
      </c>
      <c r="J48" s="66"/>
      <c r="K48" s="83" t="str">
        <f t="shared" si="20"/>
        <v>0.00%</v>
      </c>
      <c r="L48" s="2">
        <f>ROUND((H48)*(LEFT(M48,5)+1),0)</f>
        <v>0</v>
      </c>
      <c r="M48" s="854" t="str">
        <f>TEXT('MYP Assumptions'!$M$65,"0.00%")&amp;", projected increase"</f>
        <v>7.00%, projected increase</v>
      </c>
      <c r="O48" s="83" t="str">
        <f t="shared" si="21"/>
        <v>0.00%</v>
      </c>
      <c r="P48" s="2">
        <f>ROUND((L48)*(LEFT(Q48,5)+1),0)</f>
        <v>0</v>
      </c>
      <c r="Q48" s="854" t="str">
        <f>TEXT('MYP Assumptions'!$M$65,"0.00%")&amp;", projected increase"</f>
        <v>7.00%, projected increase</v>
      </c>
      <c r="S48" s="83" t="str">
        <f t="shared" si="22"/>
        <v>0.00%</v>
      </c>
      <c r="T48" s="2">
        <f>ROUND((P48)*(LEFT(U48,5)+1),0)</f>
        <v>0</v>
      </c>
      <c r="U48" s="81" t="str">
        <f>TEXT('MYP Assumptions'!$M$65,"0.00%")&amp;", projected increase"</f>
        <v>7.00%, projected increase</v>
      </c>
      <c r="W48" s="83" t="str">
        <f t="shared" si="23"/>
        <v>0.00%</v>
      </c>
      <c r="X48" s="2">
        <f>ROUND((T48)*(LEFT(Y48,5)+1),0)</f>
        <v>0</v>
      </c>
      <c r="Y48" s="81" t="str">
        <f>TEXT('MYP Assumptions'!$M$65,"0.00%")&amp;", projected increase"</f>
        <v>7.00%, projected increase</v>
      </c>
      <c r="AA48" s="83" t="str">
        <f t="shared" si="24"/>
        <v>0.00%</v>
      </c>
      <c r="AB48" s="2">
        <f>ROUND((X48)*(LEFT(AC48,5)+1),0)</f>
        <v>0</v>
      </c>
      <c r="AC48" s="81" t="str">
        <f>TEXT('MYP Assumptions'!$M$65,"0.00%")&amp;", projected increase"</f>
        <v>7.00%, projected increase</v>
      </c>
    </row>
    <row r="49" spans="1:29" x14ac:dyDescent="0.25">
      <c r="A49" s="152"/>
      <c r="B49" s="939" t="s">
        <v>88</v>
      </c>
      <c r="C49" s="857" t="s">
        <v>81</v>
      </c>
      <c r="D49" s="2">
        <v>0.62</v>
      </c>
      <c r="E49" s="854" t="str">
        <f>TEXT('MYP Assumptions'!$D$59,"0.00%")&amp;", SUI rate"</f>
        <v>0.05%, SUI rate</v>
      </c>
      <c r="F49" s="2"/>
      <c r="G49" s="83">
        <f t="shared" si="19"/>
        <v>13.516129032258066</v>
      </c>
      <c r="H49" s="2">
        <f>ROUND((H41+H30)*LEFT(I49,5),0)</f>
        <v>9</v>
      </c>
      <c r="I49" s="854" t="str">
        <f>TEXT('MYP Assumptions'!E59,"0.00%")&amp;", no rate change"</f>
        <v>0.05%, no rate change</v>
      </c>
      <c r="J49" s="66"/>
      <c r="K49" s="83">
        <f t="shared" si="20"/>
        <v>0</v>
      </c>
      <c r="L49" s="2">
        <f>ROUND((L41+L30)*LEFT(M49,5),0)</f>
        <v>9</v>
      </c>
      <c r="M49" s="854" t="str">
        <f>TEXT('MYP Assumptions'!F59,"0.00%")&amp;", no rate change"</f>
        <v>0.05%, no rate change</v>
      </c>
      <c r="O49" s="83">
        <f t="shared" si="21"/>
        <v>0</v>
      </c>
      <c r="P49" s="2">
        <f>ROUND((P41+P30)*LEFT(Q49,5),0)</f>
        <v>9</v>
      </c>
      <c r="Q49" s="854" t="str">
        <f>TEXT('MYP Assumptions'!G59,"0.00%")&amp;", no rate change"</f>
        <v>0.05%, no rate change</v>
      </c>
      <c r="S49" s="83">
        <f t="shared" si="22"/>
        <v>0</v>
      </c>
      <c r="T49" s="2">
        <f>ROUND((T41+T30)*LEFT(U49,5),0)</f>
        <v>9</v>
      </c>
      <c r="U49" s="81" t="str">
        <f>TEXT('MYP Assumptions'!H59,"0.00%")&amp;", no rate change"</f>
        <v>0.05%, no rate change</v>
      </c>
      <c r="W49" s="83">
        <f t="shared" si="23"/>
        <v>0</v>
      </c>
      <c r="X49" s="2">
        <f>ROUND((X41+X30)*LEFT(Y49,5),0)</f>
        <v>9</v>
      </c>
      <c r="Y49" s="81" t="str">
        <f>TEXT('MYP Assumptions'!I59,"0.00%")&amp;", no rate change"</f>
        <v>0.05%, no rate change</v>
      </c>
      <c r="AA49" s="83">
        <f t="shared" si="24"/>
        <v>0</v>
      </c>
      <c r="AB49" s="2">
        <f>ROUND((AB41+AB30)*LEFT(AC49,5),0)</f>
        <v>9</v>
      </c>
      <c r="AC49" s="81" t="str">
        <f>TEXT('MYP Assumptions'!J59,"0.00%")&amp;", no rate change"</f>
        <v>0.05%, no rate change</v>
      </c>
    </row>
    <row r="50" spans="1:29" x14ac:dyDescent="0.25">
      <c r="A50" s="152"/>
      <c r="B50" s="939" t="s">
        <v>89</v>
      </c>
      <c r="C50" s="857" t="s">
        <v>82</v>
      </c>
      <c r="D50" s="2">
        <v>13.36</v>
      </c>
      <c r="E50" s="854" t="str">
        <f>TEXT('MYP Assumptions'!$D$60,"0.00%")&amp;", W/C rate"</f>
        <v>1.10%, W/C rate</v>
      </c>
      <c r="F50" s="2"/>
      <c r="G50" s="83">
        <f t="shared" si="19"/>
        <v>13.895209580838323</v>
      </c>
      <c r="H50" s="2">
        <v>199</v>
      </c>
      <c r="I50" s="854" t="str">
        <f>TEXT('MYP Assumptions'!E60,"0.00%")&amp;", no rate change"</f>
        <v>0.80%, no rate change</v>
      </c>
      <c r="J50" s="66"/>
      <c r="K50" s="83">
        <f t="shared" si="20"/>
        <v>-0.271356783919598</v>
      </c>
      <c r="L50" s="2">
        <f>ROUND((L41+L30)*LEFT(M50,5),0)</f>
        <v>145</v>
      </c>
      <c r="M50" s="854" t="str">
        <f>TEXT('MYP Assumptions'!F60,"0.00%")&amp;", no rate change"</f>
        <v>0.80%, no rate change</v>
      </c>
      <c r="O50" s="83">
        <f t="shared" si="21"/>
        <v>0</v>
      </c>
      <c r="P50" s="2">
        <f>ROUND((P41+P30)*LEFT(Q50,5),0)</f>
        <v>145</v>
      </c>
      <c r="Q50" s="854" t="str">
        <f>TEXT('MYP Assumptions'!G60,"0.00%")&amp;", no rate change"</f>
        <v>0.80%, no rate change</v>
      </c>
      <c r="S50" s="83">
        <f t="shared" si="22"/>
        <v>0</v>
      </c>
      <c r="T50" s="2">
        <f>ROUND((T41+T30)*LEFT(U50,5),0)</f>
        <v>145</v>
      </c>
      <c r="U50" s="81" t="str">
        <f>TEXT('MYP Assumptions'!H60,"0.00%")&amp;", no rate change"</f>
        <v>0.80%, no rate change</v>
      </c>
      <c r="W50" s="83">
        <f t="shared" si="23"/>
        <v>2.0689655172413793E-2</v>
      </c>
      <c r="X50" s="2">
        <f>ROUND((X41+X30)*LEFT(Y50,5),0)</f>
        <v>148</v>
      </c>
      <c r="Y50" s="81" t="str">
        <f>TEXT('MYP Assumptions'!I60,"0.00%")&amp;", no rate change"</f>
        <v>0.80%, no rate change</v>
      </c>
      <c r="AA50" s="83">
        <f t="shared" si="24"/>
        <v>2.0270270270270271E-2</v>
      </c>
      <c r="AB50" s="2">
        <f>ROUND((AB41+AB30)*LEFT(AC50,5),0)</f>
        <v>151</v>
      </c>
      <c r="AC50" s="81" t="str">
        <f>TEXT('MYP Assumptions'!J60,"0.00%")&amp;", no rate change"</f>
        <v>0.80%, no rate change</v>
      </c>
    </row>
    <row r="51" spans="1:29" x14ac:dyDescent="0.25">
      <c r="A51" s="152"/>
      <c r="B51" s="939" t="s">
        <v>91</v>
      </c>
      <c r="C51" s="857" t="s">
        <v>93</v>
      </c>
      <c r="D51" s="2">
        <v>0</v>
      </c>
      <c r="E51" s="863"/>
      <c r="F51" s="2"/>
      <c r="G51" s="83" t="str">
        <f t="shared" ref="G51" si="25">IF(D51=0,"0.00%",(H51-D51)/D51)</f>
        <v>0.00%</v>
      </c>
      <c r="H51" s="2">
        <f>D51</f>
        <v>0</v>
      </c>
      <c r="I51" s="854" t="s">
        <v>166</v>
      </c>
      <c r="J51" s="66"/>
      <c r="K51" s="83" t="str">
        <f t="shared" ref="K51" si="26">IF(H51=0,"0.00%",(L51-H51)/H51)</f>
        <v>0.00%</v>
      </c>
      <c r="L51" s="2">
        <f>H51</f>
        <v>0</v>
      </c>
      <c r="M51" s="854" t="s">
        <v>166</v>
      </c>
      <c r="O51" s="83" t="str">
        <f t="shared" ref="O51" si="27">IF(L51=0,"0.00%",(P51-L51)/L51)</f>
        <v>0.00%</v>
      </c>
      <c r="P51" s="2">
        <f>L51</f>
        <v>0</v>
      </c>
      <c r="Q51" s="854" t="s">
        <v>166</v>
      </c>
      <c r="S51" s="83" t="str">
        <f t="shared" ref="S51" si="28">IF(P51=0,"0.00%",(T51-P51)/P51)</f>
        <v>0.00%</v>
      </c>
      <c r="T51" s="2">
        <f>P51</f>
        <v>0</v>
      </c>
      <c r="U51" s="81" t="s">
        <v>166</v>
      </c>
      <c r="W51" s="83" t="str">
        <f t="shared" ref="W51" si="29">IF(T51=0,"0.00%",(X51-T51)/T51)</f>
        <v>0.00%</v>
      </c>
      <c r="X51" s="2">
        <f>T51</f>
        <v>0</v>
      </c>
      <c r="Y51" s="81" t="s">
        <v>166</v>
      </c>
      <c r="AA51" s="83" t="str">
        <f t="shared" ref="AA51" si="30">IF(X51=0,"0.00%",(AB51-X51)/X51)</f>
        <v>0.00%</v>
      </c>
      <c r="AB51" s="2">
        <f>X51</f>
        <v>0</v>
      </c>
      <c r="AC51" s="81" t="s">
        <v>166</v>
      </c>
    </row>
    <row r="52" spans="1:29" x14ac:dyDescent="0.25">
      <c r="A52" s="152"/>
      <c r="B52" s="939"/>
      <c r="E52" s="863"/>
      <c r="F52" s="2"/>
      <c r="G52" s="83"/>
      <c r="H52" s="2"/>
      <c r="I52" s="854"/>
      <c r="J52" s="66"/>
      <c r="K52" s="83"/>
      <c r="L52" s="2"/>
      <c r="M52" s="854"/>
      <c r="O52" s="83"/>
      <c r="Q52" s="854"/>
      <c r="S52" s="83"/>
      <c r="T52" s="2"/>
      <c r="U52" s="81"/>
      <c r="W52" s="83"/>
      <c r="X52" s="2"/>
      <c r="Y52" s="81"/>
      <c r="AA52" s="83"/>
      <c r="AB52" s="2"/>
      <c r="AC52" s="81"/>
    </row>
    <row r="53" spans="1:29" x14ac:dyDescent="0.25">
      <c r="A53" s="153"/>
      <c r="B53" s="939"/>
      <c r="D53" s="8">
        <f>SUM(D44:D52)</f>
        <v>206.71000000000004</v>
      </c>
      <c r="E53" s="863"/>
      <c r="F53" s="2"/>
      <c r="G53" s="83">
        <f t="shared" si="19"/>
        <v>13.914614677567604</v>
      </c>
      <c r="H53" s="8">
        <f>SUM(H44:H52)</f>
        <v>3083</v>
      </c>
      <c r="I53" s="1292">
        <f>+H53-D53</f>
        <v>2876.29</v>
      </c>
      <c r="J53" s="29"/>
      <c r="K53" s="83">
        <f t="shared" si="20"/>
        <v>9.0820629257216998E-2</v>
      </c>
      <c r="L53" s="8">
        <f>SUM(L44:L52)</f>
        <v>3363</v>
      </c>
      <c r="M53" s="1292">
        <f>+L53-H53</f>
        <v>280</v>
      </c>
      <c r="O53" s="83">
        <f t="shared" si="21"/>
        <v>1.6354445435622957E-2</v>
      </c>
      <c r="P53" s="8">
        <f>SUM(P44:P52)</f>
        <v>3418</v>
      </c>
      <c r="Q53" s="1292">
        <f>+P53-L53</f>
        <v>55</v>
      </c>
      <c r="S53" s="83">
        <f t="shared" si="22"/>
        <v>0.1334113516676419</v>
      </c>
      <c r="T53" s="8">
        <f>SUM(T44:T52)</f>
        <v>3874</v>
      </c>
      <c r="U53" s="73"/>
      <c r="W53" s="83">
        <f t="shared" si="23"/>
        <v>2.0134228187919462E-2</v>
      </c>
      <c r="X53" s="8">
        <f>SUM(X44:X52)</f>
        <v>3952</v>
      </c>
      <c r="Y53" s="73"/>
      <c r="AA53" s="83">
        <f t="shared" si="24"/>
        <v>1.9736842105263157E-2</v>
      </c>
      <c r="AB53" s="8">
        <f>SUM(AB44:AB52)</f>
        <v>4030</v>
      </c>
      <c r="AC53" s="73"/>
    </row>
    <row r="54" spans="1:29" x14ac:dyDescent="0.25">
      <c r="A54" s="154"/>
      <c r="B54" s="939"/>
      <c r="E54" s="863"/>
      <c r="F54" s="2"/>
      <c r="H54" s="2"/>
      <c r="I54" s="871"/>
      <c r="J54" s="66"/>
      <c r="L54" s="2"/>
      <c r="M54" s="948"/>
      <c r="Q54" s="948"/>
      <c r="T54" s="2"/>
      <c r="U54" s="73"/>
      <c r="X54" s="2"/>
      <c r="Y54" s="73"/>
      <c r="AB54" s="2"/>
      <c r="AC54" s="73"/>
    </row>
    <row r="55" spans="1:29" x14ac:dyDescent="0.25">
      <c r="A55" s="153"/>
      <c r="B55" s="936" t="s">
        <v>26</v>
      </c>
      <c r="D55" s="8">
        <f>SUM(D53,D41,D30)</f>
        <v>1458.07</v>
      </c>
      <c r="E55" s="863"/>
      <c r="F55" s="2"/>
      <c r="G55" s="83">
        <f>IF(D55=0,"0.00%",(H55-D55)/D55)</f>
        <v>13.530166590081409</v>
      </c>
      <c r="H55" s="8">
        <f>SUM(H53,H41,H30)</f>
        <v>21186</v>
      </c>
      <c r="I55" s="1292">
        <f>+H55-D55</f>
        <v>19727.93</v>
      </c>
      <c r="J55" s="29"/>
      <c r="K55" s="83">
        <f>IF(H55=0,"0.00%",(L55-H55)/H55)</f>
        <v>1.3216274898517889E-2</v>
      </c>
      <c r="L55" s="8">
        <f>SUM(L53,L41,L30)</f>
        <v>21466</v>
      </c>
      <c r="M55" s="1292">
        <f>+L55-H55</f>
        <v>280</v>
      </c>
      <c r="O55" s="83">
        <f>IF(L55=0,"0.00%",(P55-L55)/L55)</f>
        <v>2.5621913724028695E-3</v>
      </c>
      <c r="P55" s="8">
        <f>SUM(P53,P41,P30)</f>
        <v>21521</v>
      </c>
      <c r="Q55" s="1292">
        <f>+P55-L55</f>
        <v>55</v>
      </c>
      <c r="S55" s="83">
        <f>IF(P55=0,"0.00%",(T55-P55)/P55)</f>
        <v>2.1188606477394172E-2</v>
      </c>
      <c r="T55" s="8">
        <f>SUM(T53,T41,T30)</f>
        <v>21977</v>
      </c>
      <c r="U55" s="73"/>
      <c r="W55" s="83">
        <f>IF(T55=0,"0.00%",(X55-T55)/T55)</f>
        <v>2.0020930973290257E-2</v>
      </c>
      <c r="X55" s="8">
        <f>SUM(X53,X41,X30)</f>
        <v>22417</v>
      </c>
      <c r="Y55" s="73"/>
      <c r="AA55" s="83">
        <f>IF(X55=0,"0.00%",(AB55-X55)/X55)</f>
        <v>1.9940223937190527E-2</v>
      </c>
      <c r="AB55" s="8">
        <f>SUM(AB53,AB41,AB30)</f>
        <v>22864</v>
      </c>
      <c r="AC55" s="73"/>
    </row>
    <row r="56" spans="1:29" x14ac:dyDescent="0.25">
      <c r="A56" s="155"/>
      <c r="E56" s="863"/>
      <c r="F56" s="2"/>
      <c r="H56" s="2"/>
      <c r="I56" s="871"/>
      <c r="J56" s="66"/>
      <c r="L56" s="2"/>
      <c r="M56" s="948"/>
      <c r="Q56" s="948"/>
      <c r="T56" s="2"/>
      <c r="U56" s="73"/>
      <c r="X56" s="2"/>
      <c r="Y56" s="73"/>
      <c r="AB56" s="2"/>
      <c r="AC56" s="73"/>
    </row>
    <row r="57" spans="1:29" hidden="1" x14ac:dyDescent="0.25">
      <c r="A57" s="152"/>
      <c r="E57" s="863"/>
      <c r="F57" s="2"/>
      <c r="H57" s="2"/>
      <c r="I57" s="871"/>
      <c r="J57" s="66"/>
      <c r="L57" s="2"/>
      <c r="M57" s="948"/>
      <c r="Q57" s="948"/>
      <c r="T57" s="2"/>
      <c r="U57" s="73"/>
      <c r="X57" s="2"/>
      <c r="Y57" s="73"/>
      <c r="AB57" s="2"/>
      <c r="AC57" s="73"/>
    </row>
    <row r="58" spans="1:29" hidden="1" x14ac:dyDescent="0.25">
      <c r="A58" s="155"/>
      <c r="B58" s="940" t="s">
        <v>25</v>
      </c>
      <c r="C58" s="873"/>
      <c r="E58" s="863"/>
      <c r="F58" s="2"/>
      <c r="H58" s="2"/>
      <c r="I58" s="871"/>
      <c r="J58" s="66"/>
      <c r="L58" s="2"/>
      <c r="M58" s="948"/>
      <c r="Q58" s="948"/>
      <c r="T58" s="2"/>
      <c r="U58" s="73"/>
      <c r="X58" s="2"/>
      <c r="Y58" s="73"/>
      <c r="AB58" s="2"/>
      <c r="AC58" s="73"/>
    </row>
    <row r="59" spans="1:29" hidden="1" x14ac:dyDescent="0.25">
      <c r="A59" s="152"/>
      <c r="B59" s="939"/>
      <c r="D59" s="2">
        <v>0</v>
      </c>
      <c r="E59" s="863"/>
      <c r="F59" s="2"/>
      <c r="G59" s="83" t="str">
        <f t="shared" ref="G59:G66" si="31">IF(D59=0,"0.00%",(H59-D59)/D59)</f>
        <v>0.00%</v>
      </c>
      <c r="H59" s="2">
        <f t="shared" ref="H59:H65" si="32">ROUND(D59*(LEFT(I59,5)+1),0)</f>
        <v>0</v>
      </c>
      <c r="I59" s="854" t="str">
        <f>TEXT('MYP Assumptions'!E75,"0.00%")&amp;", CPI"</f>
        <v>3.42%, CPI</v>
      </c>
      <c r="J59" s="66"/>
      <c r="K59" s="83" t="str">
        <f t="shared" ref="K59:K66" si="33">IF(H59=0,"0.00%",(L59-H59)/H59)</f>
        <v>0.00%</v>
      </c>
      <c r="L59" s="2">
        <f>ROUND(H59*(LEFT(M59,5)+1),0)</f>
        <v>0</v>
      </c>
      <c r="M59" s="854" t="str">
        <f>TEXT('MYP Assumptions'!F75,"0.00%")&amp;", CPI"</f>
        <v>3.35%, CPI</v>
      </c>
      <c r="O59" s="83" t="str">
        <f t="shared" ref="O59:O66" si="34">IF(L59=0,"0.00%",(P59-L59)/L59)</f>
        <v>0.00%</v>
      </c>
      <c r="P59" s="2">
        <f>ROUND(L59*(LEFT(Q59,5)+1),0)</f>
        <v>0</v>
      </c>
      <c r="Q59" s="854" t="str">
        <f>TEXT('MYP Assumptions'!G75,"0.00%")&amp;", CPI"</f>
        <v>3.02%, CPI</v>
      </c>
      <c r="S59" s="83" t="str">
        <f t="shared" ref="S59:S66" si="35">IF(P59=0,"0.00%",(T59-P59)/P59)</f>
        <v>0.00%</v>
      </c>
      <c r="T59" s="2">
        <f>ROUND(P59*(LEFT(U59,5)+1),0)</f>
        <v>0</v>
      </c>
      <c r="U59" s="81" t="str">
        <f>TEXT('MYP Assumptions'!H75,"0.00%")&amp;", CPI"</f>
        <v>2.73%, CPI</v>
      </c>
      <c r="W59" s="83" t="str">
        <f t="shared" ref="W59:W66" si="36">IF(T59=0,"0.00%",(X59-T59)/T59)</f>
        <v>0.00%</v>
      </c>
      <c r="X59" s="2">
        <f>ROUND(T59*(LEFT(Y59,5)+1),0)</f>
        <v>0</v>
      </c>
      <c r="Y59" s="81" t="str">
        <f>TEXT('MYP Assumptions'!I75,"0.00%")&amp;", CPI"</f>
        <v>2.73%, CPI</v>
      </c>
      <c r="AA59" s="83" t="str">
        <f t="shared" ref="AA59:AA66" si="37">IF(X59=0,"0.00%",(AB59-X59)/X59)</f>
        <v>0.00%</v>
      </c>
      <c r="AB59" s="2">
        <f>ROUND(X59*(LEFT(AC59,5)+1),0)</f>
        <v>0</v>
      </c>
      <c r="AC59" s="81" t="str">
        <f>TEXT('MYP Assumptions'!J75,"0.00%")&amp;", CPI"</f>
        <v>2.73%, CPI</v>
      </c>
    </row>
    <row r="60" spans="1:29" hidden="1" x14ac:dyDescent="0.25">
      <c r="A60" s="152"/>
      <c r="B60" s="939"/>
      <c r="D60" s="2">
        <v>0</v>
      </c>
      <c r="E60" s="863"/>
      <c r="F60" s="2"/>
      <c r="G60" s="83" t="str">
        <f t="shared" si="31"/>
        <v>0.00%</v>
      </c>
      <c r="H60" s="2">
        <f t="shared" si="32"/>
        <v>0</v>
      </c>
      <c r="I60" s="854" t="str">
        <f>TEXT('MYP Assumptions'!E75,"0.00%")&amp;", CPI"</f>
        <v>3.42%, CPI</v>
      </c>
      <c r="J60" s="66"/>
      <c r="K60" s="83" t="str">
        <f t="shared" si="33"/>
        <v>0.00%</v>
      </c>
      <c r="L60" s="2">
        <f t="shared" ref="L60:L65" si="38">ROUND(H60*(LEFT(M60,5)+1),0)</f>
        <v>0</v>
      </c>
      <c r="M60" s="854" t="str">
        <f>TEXT('MYP Assumptions'!F75,"0.00%")&amp;", CPI"</f>
        <v>3.35%, CPI</v>
      </c>
      <c r="O60" s="83" t="str">
        <f t="shared" si="34"/>
        <v>0.00%</v>
      </c>
      <c r="P60" s="2">
        <f t="shared" ref="P60:P65" si="39">ROUND(L60*(LEFT(Q60,5)+1),0)</f>
        <v>0</v>
      </c>
      <c r="Q60" s="854" t="str">
        <f>TEXT('MYP Assumptions'!G75,"0.00%")&amp;", CPI"</f>
        <v>3.02%, CPI</v>
      </c>
      <c r="S60" s="83" t="str">
        <f t="shared" si="35"/>
        <v>0.00%</v>
      </c>
      <c r="T60" s="2">
        <f t="shared" ref="T60:T65" si="40">ROUND(P60*(LEFT(U60,5)+1),0)</f>
        <v>0</v>
      </c>
      <c r="U60" s="81" t="str">
        <f>TEXT('MYP Assumptions'!H75,"0.00%")&amp;", CPI"</f>
        <v>2.73%, CPI</v>
      </c>
      <c r="W60" s="83" t="str">
        <f t="shared" si="36"/>
        <v>0.00%</v>
      </c>
      <c r="X60" s="2">
        <f t="shared" ref="X60:X65" si="41">ROUND(T60*(LEFT(Y60,5)+1),0)</f>
        <v>0</v>
      </c>
      <c r="Y60" s="81" t="str">
        <f>TEXT('MYP Assumptions'!I75,"0.00%")&amp;", CPI"</f>
        <v>2.73%, CPI</v>
      </c>
      <c r="AA60" s="83" t="str">
        <f t="shared" si="37"/>
        <v>0.00%</v>
      </c>
      <c r="AB60" s="2">
        <f t="shared" ref="AB60:AB65" si="42">ROUND(X60*(LEFT(AC60,5)+1),0)</f>
        <v>0</v>
      </c>
      <c r="AC60" s="81" t="str">
        <f>TEXT('MYP Assumptions'!J75,"0.00%")&amp;", CPI"</f>
        <v>2.73%, CPI</v>
      </c>
    </row>
    <row r="61" spans="1:29" hidden="1" x14ac:dyDescent="0.25">
      <c r="A61" s="152"/>
      <c r="B61" s="939"/>
      <c r="D61" s="2">
        <v>0</v>
      </c>
      <c r="E61" s="863"/>
      <c r="F61" s="2"/>
      <c r="G61" s="83" t="str">
        <f t="shared" si="31"/>
        <v>0.00%</v>
      </c>
      <c r="H61" s="2">
        <f t="shared" si="32"/>
        <v>0</v>
      </c>
      <c r="I61" s="854" t="str">
        <f>TEXT('MYP Assumptions'!E75,"0.00%")&amp;", CPI"</f>
        <v>3.42%, CPI</v>
      </c>
      <c r="J61" s="66"/>
      <c r="K61" s="83" t="str">
        <f t="shared" si="33"/>
        <v>0.00%</v>
      </c>
      <c r="L61" s="2">
        <f t="shared" si="38"/>
        <v>0</v>
      </c>
      <c r="M61" s="854" t="str">
        <f>TEXT('MYP Assumptions'!F75,"0.00%")&amp;", CPI"</f>
        <v>3.35%, CPI</v>
      </c>
      <c r="O61" s="83" t="str">
        <f t="shared" si="34"/>
        <v>0.00%</v>
      </c>
      <c r="P61" s="2">
        <f t="shared" si="39"/>
        <v>0</v>
      </c>
      <c r="Q61" s="854" t="str">
        <f>TEXT('MYP Assumptions'!G75,"0.00%")&amp;", CPI"</f>
        <v>3.02%, CPI</v>
      </c>
      <c r="S61" s="83" t="str">
        <f t="shared" si="35"/>
        <v>0.00%</v>
      </c>
      <c r="T61" s="2">
        <f t="shared" si="40"/>
        <v>0</v>
      </c>
      <c r="U61" s="81" t="str">
        <f>TEXT('MYP Assumptions'!H75,"0.00%")&amp;", CPI"</f>
        <v>2.73%, CPI</v>
      </c>
      <c r="W61" s="83" t="str">
        <f t="shared" si="36"/>
        <v>0.00%</v>
      </c>
      <c r="X61" s="2">
        <f t="shared" si="41"/>
        <v>0</v>
      </c>
      <c r="Y61" s="81" t="str">
        <f>TEXT('MYP Assumptions'!I75,"0.00%")&amp;", CPI"</f>
        <v>2.73%, CPI</v>
      </c>
      <c r="AA61" s="83" t="str">
        <f t="shared" si="37"/>
        <v>0.00%</v>
      </c>
      <c r="AB61" s="2">
        <f t="shared" si="42"/>
        <v>0</v>
      </c>
      <c r="AC61" s="81" t="str">
        <f>TEXT('MYP Assumptions'!J75,"0.00%")&amp;", CPI"</f>
        <v>2.73%, CPI</v>
      </c>
    </row>
    <row r="62" spans="1:29" hidden="1" x14ac:dyDescent="0.25">
      <c r="A62" s="152"/>
      <c r="B62" s="939"/>
      <c r="D62" s="2">
        <v>0</v>
      </c>
      <c r="E62" s="863"/>
      <c r="F62" s="2"/>
      <c r="G62" s="83" t="str">
        <f t="shared" si="31"/>
        <v>0.00%</v>
      </c>
      <c r="H62" s="2">
        <f t="shared" si="32"/>
        <v>0</v>
      </c>
      <c r="I62" s="854" t="str">
        <f>TEXT('MYP Assumptions'!E75,"0.00%")&amp;", CPI"</f>
        <v>3.42%, CPI</v>
      </c>
      <c r="J62" s="66"/>
      <c r="K62" s="83" t="str">
        <f t="shared" si="33"/>
        <v>0.00%</v>
      </c>
      <c r="L62" s="2">
        <f t="shared" si="38"/>
        <v>0</v>
      </c>
      <c r="M62" s="854" t="str">
        <f>TEXT('MYP Assumptions'!F75,"0.00%")&amp;", CPI"</f>
        <v>3.35%, CPI</v>
      </c>
      <c r="O62" s="83" t="str">
        <f t="shared" si="34"/>
        <v>0.00%</v>
      </c>
      <c r="P62" s="2">
        <f t="shared" si="39"/>
        <v>0</v>
      </c>
      <c r="Q62" s="854" t="str">
        <f>TEXT('MYP Assumptions'!G75,"0.00%")&amp;", CPI"</f>
        <v>3.02%, CPI</v>
      </c>
      <c r="S62" s="83" t="str">
        <f t="shared" si="35"/>
        <v>0.00%</v>
      </c>
      <c r="T62" s="2">
        <f t="shared" si="40"/>
        <v>0</v>
      </c>
      <c r="U62" s="81" t="str">
        <f>TEXT('MYP Assumptions'!H75,"0.00%")&amp;", CPI"</f>
        <v>2.73%, CPI</v>
      </c>
      <c r="W62" s="83" t="str">
        <f t="shared" si="36"/>
        <v>0.00%</v>
      </c>
      <c r="X62" s="2">
        <f t="shared" si="41"/>
        <v>0</v>
      </c>
      <c r="Y62" s="81" t="str">
        <f>TEXT('MYP Assumptions'!I75,"0.00%")&amp;", CPI"</f>
        <v>2.73%, CPI</v>
      </c>
      <c r="AA62" s="83" t="str">
        <f t="shared" si="37"/>
        <v>0.00%</v>
      </c>
      <c r="AB62" s="2">
        <f t="shared" si="42"/>
        <v>0</v>
      </c>
      <c r="AC62" s="81" t="str">
        <f>TEXT('MYP Assumptions'!J75,"0.00%")&amp;", CPI"</f>
        <v>2.73%, CPI</v>
      </c>
    </row>
    <row r="63" spans="1:29" hidden="1" x14ac:dyDescent="0.25">
      <c r="A63" s="152"/>
      <c r="B63" s="939"/>
      <c r="D63" s="2">
        <v>0</v>
      </c>
      <c r="E63" s="863"/>
      <c r="F63" s="2"/>
      <c r="G63" s="83" t="str">
        <f t="shared" si="31"/>
        <v>0.00%</v>
      </c>
      <c r="H63" s="2">
        <f t="shared" si="32"/>
        <v>0</v>
      </c>
      <c r="I63" s="854" t="str">
        <f>TEXT('MYP Assumptions'!E75,"0.00%")&amp;", CPI"</f>
        <v>3.42%, CPI</v>
      </c>
      <c r="J63" s="66"/>
      <c r="K63" s="83" t="str">
        <f t="shared" si="33"/>
        <v>0.00%</v>
      </c>
      <c r="L63" s="2">
        <f t="shared" si="38"/>
        <v>0</v>
      </c>
      <c r="M63" s="854" t="str">
        <f>TEXT('MYP Assumptions'!F75,"0.00%")&amp;", CPI"</f>
        <v>3.35%, CPI</v>
      </c>
      <c r="O63" s="83" t="str">
        <f t="shared" si="34"/>
        <v>0.00%</v>
      </c>
      <c r="P63" s="2">
        <f t="shared" si="39"/>
        <v>0</v>
      </c>
      <c r="Q63" s="854" t="str">
        <f>TEXT('MYP Assumptions'!G75,"0.00%")&amp;", CPI"</f>
        <v>3.02%, CPI</v>
      </c>
      <c r="S63" s="83" t="str">
        <f t="shared" si="35"/>
        <v>0.00%</v>
      </c>
      <c r="T63" s="2">
        <f t="shared" si="40"/>
        <v>0</v>
      </c>
      <c r="U63" s="81" t="str">
        <f>TEXT('MYP Assumptions'!H75,"0.00%")&amp;", CPI"</f>
        <v>2.73%, CPI</v>
      </c>
      <c r="W63" s="83" t="str">
        <f t="shared" si="36"/>
        <v>0.00%</v>
      </c>
      <c r="X63" s="2">
        <f t="shared" si="41"/>
        <v>0</v>
      </c>
      <c r="Y63" s="81" t="str">
        <f>TEXT('MYP Assumptions'!I75,"0.00%")&amp;", CPI"</f>
        <v>2.73%, CPI</v>
      </c>
      <c r="AA63" s="83" t="str">
        <f t="shared" si="37"/>
        <v>0.00%</v>
      </c>
      <c r="AB63" s="2">
        <f t="shared" si="42"/>
        <v>0</v>
      </c>
      <c r="AC63" s="81" t="str">
        <f>TEXT('MYP Assumptions'!J75,"0.00%")&amp;", CPI"</f>
        <v>2.73%, CPI</v>
      </c>
    </row>
    <row r="64" spans="1:29" hidden="1" x14ac:dyDescent="0.25">
      <c r="A64" s="152"/>
      <c r="B64" s="939"/>
      <c r="D64" s="2">
        <v>0</v>
      </c>
      <c r="E64" s="863"/>
      <c r="F64" s="2"/>
      <c r="G64" s="83" t="str">
        <f t="shared" si="31"/>
        <v>0.00%</v>
      </c>
      <c r="H64" s="2">
        <f t="shared" si="32"/>
        <v>0</v>
      </c>
      <c r="I64" s="854" t="str">
        <f>TEXT('MYP Assumptions'!E75,"0.00%")&amp;", CPI"</f>
        <v>3.42%, CPI</v>
      </c>
      <c r="J64" s="66"/>
      <c r="K64" s="83" t="str">
        <f t="shared" si="33"/>
        <v>0.00%</v>
      </c>
      <c r="L64" s="2">
        <f t="shared" si="38"/>
        <v>0</v>
      </c>
      <c r="M64" s="854" t="str">
        <f>TEXT('MYP Assumptions'!F75,"0.00%")&amp;", CPI"</f>
        <v>3.35%, CPI</v>
      </c>
      <c r="O64" s="83" t="str">
        <f t="shared" si="34"/>
        <v>0.00%</v>
      </c>
      <c r="P64" s="2">
        <f t="shared" si="39"/>
        <v>0</v>
      </c>
      <c r="Q64" s="854" t="str">
        <f>TEXT('MYP Assumptions'!G75,"0.00%")&amp;", CPI"</f>
        <v>3.02%, CPI</v>
      </c>
      <c r="S64" s="83" t="str">
        <f t="shared" si="35"/>
        <v>0.00%</v>
      </c>
      <c r="T64" s="2">
        <f t="shared" si="40"/>
        <v>0</v>
      </c>
      <c r="U64" s="81" t="str">
        <f>TEXT('MYP Assumptions'!H75,"0.00%")&amp;", CPI"</f>
        <v>2.73%, CPI</v>
      </c>
      <c r="W64" s="83" t="str">
        <f t="shared" si="36"/>
        <v>0.00%</v>
      </c>
      <c r="X64" s="2">
        <f t="shared" si="41"/>
        <v>0</v>
      </c>
      <c r="Y64" s="81" t="str">
        <f>TEXT('MYP Assumptions'!I75,"0.00%")&amp;", CPI"</f>
        <v>2.73%, CPI</v>
      </c>
      <c r="AA64" s="83" t="str">
        <f t="shared" si="37"/>
        <v>0.00%</v>
      </c>
      <c r="AB64" s="2">
        <f t="shared" si="42"/>
        <v>0</v>
      </c>
      <c r="AC64" s="81" t="str">
        <f>TEXT('MYP Assumptions'!J75,"0.00%")&amp;", CPI"</f>
        <v>2.73%, CPI</v>
      </c>
    </row>
    <row r="65" spans="1:29" hidden="1" x14ac:dyDescent="0.25">
      <c r="A65" s="152"/>
      <c r="B65" s="939"/>
      <c r="C65" s="941"/>
      <c r="D65" s="2">
        <v>0</v>
      </c>
      <c r="E65" s="863"/>
      <c r="F65" s="2"/>
      <c r="G65" s="83" t="str">
        <f t="shared" si="31"/>
        <v>0.00%</v>
      </c>
      <c r="H65" s="2">
        <f t="shared" si="32"/>
        <v>0</v>
      </c>
      <c r="I65" s="854" t="str">
        <f>TEXT('MYP Assumptions'!E75,"0.00%")&amp;", CPI"</f>
        <v>3.42%, CPI</v>
      </c>
      <c r="J65" s="66"/>
      <c r="K65" s="83" t="str">
        <f t="shared" si="33"/>
        <v>0.00%</v>
      </c>
      <c r="L65" s="2">
        <f t="shared" si="38"/>
        <v>0</v>
      </c>
      <c r="M65" s="854" t="str">
        <f>TEXT('MYP Assumptions'!F75,"0.00%")&amp;", CPI"</f>
        <v>3.35%, CPI</v>
      </c>
      <c r="O65" s="83" t="str">
        <f t="shared" si="34"/>
        <v>0.00%</v>
      </c>
      <c r="P65" s="2">
        <f t="shared" si="39"/>
        <v>0</v>
      </c>
      <c r="Q65" s="854" t="str">
        <f>TEXT('MYP Assumptions'!G75,"0.00%")&amp;", CPI"</f>
        <v>3.02%, CPI</v>
      </c>
      <c r="S65" s="83" t="str">
        <f t="shared" si="35"/>
        <v>0.00%</v>
      </c>
      <c r="T65" s="2">
        <f t="shared" si="40"/>
        <v>0</v>
      </c>
      <c r="U65" s="81" t="str">
        <f>TEXT('MYP Assumptions'!H75,"0.00%")&amp;", CPI"</f>
        <v>2.73%, CPI</v>
      </c>
      <c r="W65" s="83" t="str">
        <f t="shared" si="36"/>
        <v>0.00%</v>
      </c>
      <c r="X65" s="2">
        <f t="shared" si="41"/>
        <v>0</v>
      </c>
      <c r="Y65" s="81" t="str">
        <f>TEXT('MYP Assumptions'!I75,"0.00%")&amp;", CPI"</f>
        <v>2.73%, CPI</v>
      </c>
      <c r="AA65" s="83" t="str">
        <f t="shared" si="37"/>
        <v>0.00%</v>
      </c>
      <c r="AB65" s="2">
        <f t="shared" si="42"/>
        <v>0</v>
      </c>
      <c r="AC65" s="81" t="str">
        <f>TEXT('MYP Assumptions'!J75,"0.00%")&amp;", CPI"</f>
        <v>2.73%, CPI</v>
      </c>
    </row>
    <row r="66" spans="1:29" hidden="1" x14ac:dyDescent="0.25">
      <c r="A66" s="153"/>
      <c r="B66" s="857"/>
      <c r="D66" s="8">
        <f>SUM(D59:D65)</f>
        <v>0</v>
      </c>
      <c r="E66" s="863"/>
      <c r="F66" s="2"/>
      <c r="G66" s="83" t="str">
        <f t="shared" si="31"/>
        <v>0.00%</v>
      </c>
      <c r="H66" s="8">
        <f>SUM(H59:H65)</f>
        <v>0</v>
      </c>
      <c r="I66" s="872"/>
      <c r="J66" s="29"/>
      <c r="K66" s="83" t="str">
        <f t="shared" si="33"/>
        <v>0.00%</v>
      </c>
      <c r="L66" s="8">
        <f>SUM(L59:L65)</f>
        <v>0</v>
      </c>
      <c r="M66" s="948"/>
      <c r="O66" s="83" t="str">
        <f t="shared" si="34"/>
        <v>0.00%</v>
      </c>
      <c r="P66" s="8">
        <f>SUM(P59:P65)</f>
        <v>0</v>
      </c>
      <c r="Q66" s="948"/>
      <c r="S66" s="83" t="str">
        <f t="shared" si="35"/>
        <v>0.00%</v>
      </c>
      <c r="T66" s="8">
        <f>SUM(T59:T65)</f>
        <v>0</v>
      </c>
      <c r="U66" s="73"/>
      <c r="W66" s="83" t="str">
        <f t="shared" si="36"/>
        <v>0.00%</v>
      </c>
      <c r="X66" s="8">
        <f>SUM(X59:X65)</f>
        <v>0</v>
      </c>
      <c r="Y66" s="73"/>
      <c r="AA66" s="83" t="str">
        <f t="shared" si="37"/>
        <v>0.00%</v>
      </c>
      <c r="AB66" s="8">
        <f>SUM(AB59:AB65)</f>
        <v>0</v>
      </c>
      <c r="AC66" s="73"/>
    </row>
    <row r="67" spans="1:29" hidden="1" x14ac:dyDescent="0.25">
      <c r="A67" s="152"/>
      <c r="E67" s="863"/>
      <c r="F67" s="2"/>
      <c r="H67" s="2"/>
      <c r="I67" s="871"/>
      <c r="J67" s="66"/>
      <c r="L67" s="2"/>
      <c r="M67" s="948"/>
      <c r="Q67" s="948"/>
      <c r="T67" s="2"/>
      <c r="U67" s="73"/>
      <c r="X67" s="2"/>
      <c r="Y67" s="73"/>
      <c r="AB67" s="2"/>
      <c r="AC67" s="73"/>
    </row>
    <row r="68" spans="1:29" s="4" customFormat="1" hidden="1" x14ac:dyDescent="0.25">
      <c r="A68" s="150"/>
      <c r="B68" s="936" t="s">
        <v>16</v>
      </c>
      <c r="C68" s="873"/>
      <c r="D68" s="6"/>
      <c r="E68" s="864"/>
      <c r="F68" s="6"/>
      <c r="G68" s="373"/>
      <c r="H68" s="6"/>
      <c r="I68" s="873"/>
      <c r="J68" s="58"/>
      <c r="K68" s="380"/>
      <c r="L68" s="6"/>
      <c r="M68" s="950"/>
      <c r="O68" s="380"/>
      <c r="P68" s="6"/>
      <c r="Q68" s="950"/>
      <c r="R68" s="111"/>
      <c r="U68" s="71"/>
      <c r="Y68" s="71"/>
      <c r="AC68" s="71"/>
    </row>
    <row r="69" spans="1:29" hidden="1" x14ac:dyDescent="0.25">
      <c r="A69" s="152"/>
      <c r="B69" s="939"/>
      <c r="D69" s="2">
        <v>0</v>
      </c>
      <c r="E69" s="863"/>
      <c r="F69" s="2"/>
      <c r="G69" s="83" t="str">
        <f t="shared" ref="G69:G74" si="43">IF(D69=0,"0.00%",(H69-D69)/D69)</f>
        <v>0.00%</v>
      </c>
      <c r="H69" s="2">
        <f>ROUND(D69*(LEFT(I69,5)+1),0)</f>
        <v>0</v>
      </c>
      <c r="I69" s="854" t="str">
        <f>TEXT('MYP Assumptions'!E75,"0.00%")&amp;", CPI"</f>
        <v>3.42%, CPI</v>
      </c>
      <c r="J69" s="66"/>
      <c r="K69" s="83" t="str">
        <f t="shared" ref="K69:K82" si="44">IF(H69=0,"0.00%",(L69-H69)/H69)</f>
        <v>0.00%</v>
      </c>
      <c r="L69" s="2">
        <f>ROUND(H69*(LEFT(M69,5)+1),0)</f>
        <v>0</v>
      </c>
      <c r="M69" s="854" t="str">
        <f>TEXT('MYP Assumptions'!F75,"0.00%")&amp;", CPI"</f>
        <v>3.35%, CPI</v>
      </c>
      <c r="O69" s="83" t="str">
        <f t="shared" ref="O69:O82" si="45">IF(L69=0,"0.00%",(P69-L69)/L69)</f>
        <v>0.00%</v>
      </c>
      <c r="P69" s="2">
        <f>ROUND(L69*(LEFT(Q69,5)+1),0)</f>
        <v>0</v>
      </c>
      <c r="Q69" s="854" t="str">
        <f>TEXT('MYP Assumptions'!G75,"0.00%")&amp;", CPI"</f>
        <v>3.02%, CPI</v>
      </c>
      <c r="S69" s="83" t="str">
        <f t="shared" ref="S69:S82" si="46">IF(P69=0,"0.00%",(T69-P69)/P69)</f>
        <v>0.00%</v>
      </c>
      <c r="T69" s="2">
        <f>ROUND(P69*(LEFT(U69,5)+1),0)</f>
        <v>0</v>
      </c>
      <c r="U69" s="81" t="str">
        <f>TEXT('MYP Assumptions'!H75,"0.00%")&amp;", CPI"</f>
        <v>2.73%, CPI</v>
      </c>
      <c r="W69" s="83" t="str">
        <f t="shared" ref="W69:W82" si="47">IF(T69=0,"0.00%",(X69-T69)/T69)</f>
        <v>0.00%</v>
      </c>
      <c r="X69" s="2">
        <f>ROUND(T69*(LEFT(Y69,5)+1),0)</f>
        <v>0</v>
      </c>
      <c r="Y69" s="81" t="str">
        <f>TEXT('MYP Assumptions'!I75,"0.00%")&amp;", CPI"</f>
        <v>2.73%, CPI</v>
      </c>
      <c r="AA69" s="83" t="str">
        <f t="shared" ref="AA69:AA82" si="48">IF(X69=0,"0.00%",(AB69-X69)/X69)</f>
        <v>0.00%</v>
      </c>
      <c r="AB69" s="2">
        <f>ROUND(X69*(LEFT(AC69,5)+1),0)</f>
        <v>0</v>
      </c>
      <c r="AC69" s="81" t="str">
        <f>TEXT('MYP Assumptions'!J75,"0.00%")&amp;", CPI"</f>
        <v>2.73%, CPI</v>
      </c>
    </row>
    <row r="70" spans="1:29" hidden="1" x14ac:dyDescent="0.25">
      <c r="A70" s="152"/>
      <c r="B70" s="939"/>
      <c r="D70" s="2">
        <v>0</v>
      </c>
      <c r="E70" s="863"/>
      <c r="F70" s="2"/>
      <c r="G70" s="83" t="str">
        <f t="shared" si="43"/>
        <v>0.00%</v>
      </c>
      <c r="H70" s="2">
        <f>ROUND(D70*(LEFT(I70,5)+1),0)</f>
        <v>0</v>
      </c>
      <c r="I70" s="854" t="str">
        <f>TEXT('MYP Assumptions'!E75,"0.00%")&amp;", CPI"</f>
        <v>3.42%, CPI</v>
      </c>
      <c r="J70" s="66"/>
      <c r="K70" s="83" t="str">
        <f t="shared" si="44"/>
        <v>0.00%</v>
      </c>
      <c r="L70" s="2">
        <f t="shared" ref="L70:L81" si="49">ROUND(H70*(LEFT(M70,5)+1),0)</f>
        <v>0</v>
      </c>
      <c r="M70" s="854" t="str">
        <f>TEXT('MYP Assumptions'!F75,"0.00%")&amp;", CPI"</f>
        <v>3.35%, CPI</v>
      </c>
      <c r="O70" s="83" t="str">
        <f t="shared" si="45"/>
        <v>0.00%</v>
      </c>
      <c r="P70" s="2">
        <f t="shared" ref="P70:P81" si="50">ROUND(L70*(LEFT(Q70,5)+1),0)</f>
        <v>0</v>
      </c>
      <c r="Q70" s="854" t="str">
        <f>TEXT('MYP Assumptions'!G75,"0.00%")&amp;", CPI"</f>
        <v>3.02%, CPI</v>
      </c>
      <c r="S70" s="83" t="str">
        <f t="shared" si="46"/>
        <v>0.00%</v>
      </c>
      <c r="T70" s="2">
        <f t="shared" ref="T70:T81" si="51">ROUND(P70*(LEFT(U70,5)+1),0)</f>
        <v>0</v>
      </c>
      <c r="U70" s="81" t="str">
        <f>TEXT('MYP Assumptions'!H75,"0.00%")&amp;", CPI"</f>
        <v>2.73%, CPI</v>
      </c>
      <c r="W70" s="83" t="str">
        <f t="shared" si="47"/>
        <v>0.00%</v>
      </c>
      <c r="X70" s="2">
        <f t="shared" ref="X70:X81" si="52">ROUND(T70*(LEFT(Y70,5)+1),0)</f>
        <v>0</v>
      </c>
      <c r="Y70" s="81" t="str">
        <f>TEXT('MYP Assumptions'!I75,"0.00%")&amp;", CPI"</f>
        <v>2.73%, CPI</v>
      </c>
      <c r="AA70" s="83" t="str">
        <f t="shared" si="48"/>
        <v>0.00%</v>
      </c>
      <c r="AB70" s="2">
        <f t="shared" ref="AB70:AB81" si="53">ROUND(X70*(LEFT(AC70,5)+1),0)</f>
        <v>0</v>
      </c>
      <c r="AC70" s="81" t="str">
        <f>TEXT('MYP Assumptions'!J75,"0.00%")&amp;", CPI"</f>
        <v>2.73%, CPI</v>
      </c>
    </row>
    <row r="71" spans="1:29" hidden="1" x14ac:dyDescent="0.25">
      <c r="A71" s="152"/>
      <c r="B71" s="939"/>
      <c r="D71" s="2">
        <v>0</v>
      </c>
      <c r="E71" s="863"/>
      <c r="F71" s="2"/>
      <c r="G71" s="83" t="str">
        <f t="shared" si="43"/>
        <v>0.00%</v>
      </c>
      <c r="H71" s="2">
        <f t="shared" ref="H71:H76" si="54">ROUND(D71*(LEFT(I71,5)+1),0)</f>
        <v>0</v>
      </c>
      <c r="I71" s="854" t="str">
        <f>TEXT('MYP Assumptions'!E75,"0.00%")&amp;", CPI"</f>
        <v>3.42%, CPI</v>
      </c>
      <c r="J71" s="66"/>
      <c r="K71" s="83" t="str">
        <f t="shared" si="44"/>
        <v>0.00%</v>
      </c>
      <c r="L71" s="2">
        <f t="shared" si="49"/>
        <v>0</v>
      </c>
      <c r="M71" s="854" t="str">
        <f>TEXT('MYP Assumptions'!F75,"0.00%")&amp;", CPI"</f>
        <v>3.35%, CPI</v>
      </c>
      <c r="O71" s="83" t="str">
        <f t="shared" si="45"/>
        <v>0.00%</v>
      </c>
      <c r="P71" s="2">
        <f t="shared" si="50"/>
        <v>0</v>
      </c>
      <c r="Q71" s="854" t="str">
        <f>TEXT('MYP Assumptions'!G75,"0.00%")&amp;", CPI"</f>
        <v>3.02%, CPI</v>
      </c>
      <c r="S71" s="83" t="str">
        <f t="shared" si="46"/>
        <v>0.00%</v>
      </c>
      <c r="T71" s="2">
        <f t="shared" si="51"/>
        <v>0</v>
      </c>
      <c r="U71" s="81" t="str">
        <f>TEXT('MYP Assumptions'!H75,"0.00%")&amp;", CPI"</f>
        <v>2.73%, CPI</v>
      </c>
      <c r="W71" s="83" t="str">
        <f t="shared" si="47"/>
        <v>0.00%</v>
      </c>
      <c r="X71" s="2">
        <f t="shared" si="52"/>
        <v>0</v>
      </c>
      <c r="Y71" s="81" t="str">
        <f>TEXT('MYP Assumptions'!I75,"0.00%")&amp;", CPI"</f>
        <v>2.73%, CPI</v>
      </c>
      <c r="AA71" s="83" t="str">
        <f t="shared" si="48"/>
        <v>0.00%</v>
      </c>
      <c r="AB71" s="2">
        <f t="shared" si="53"/>
        <v>0</v>
      </c>
      <c r="AC71" s="81" t="str">
        <f>TEXT('MYP Assumptions'!J75,"0.00%")&amp;", CPI"</f>
        <v>2.73%, CPI</v>
      </c>
    </row>
    <row r="72" spans="1:29" hidden="1" x14ac:dyDescent="0.25">
      <c r="A72" s="152"/>
      <c r="B72" s="939"/>
      <c r="D72" s="2">
        <v>0</v>
      </c>
      <c r="E72" s="863"/>
      <c r="F72" s="2"/>
      <c r="G72" s="83" t="str">
        <f t="shared" si="43"/>
        <v>0.00%</v>
      </c>
      <c r="H72" s="2">
        <f t="shared" si="54"/>
        <v>0</v>
      </c>
      <c r="I72" s="854" t="str">
        <f>TEXT('MYP Assumptions'!E75,"0.00%")&amp;", CPI"</f>
        <v>3.42%, CPI</v>
      </c>
      <c r="J72" s="66"/>
      <c r="K72" s="83" t="str">
        <f t="shared" si="44"/>
        <v>0.00%</v>
      </c>
      <c r="L72" s="2">
        <f t="shared" si="49"/>
        <v>0</v>
      </c>
      <c r="M72" s="854" t="str">
        <f>TEXT('MYP Assumptions'!F75,"0.00%")&amp;", CPI"</f>
        <v>3.35%, CPI</v>
      </c>
      <c r="O72" s="83" t="str">
        <f t="shared" si="45"/>
        <v>0.00%</v>
      </c>
      <c r="P72" s="2">
        <f t="shared" si="50"/>
        <v>0</v>
      </c>
      <c r="Q72" s="854" t="str">
        <f>TEXT('MYP Assumptions'!G75,"0.00%")&amp;", CPI"</f>
        <v>3.02%, CPI</v>
      </c>
      <c r="S72" s="83" t="str">
        <f t="shared" si="46"/>
        <v>0.00%</v>
      </c>
      <c r="T72" s="2">
        <f t="shared" si="51"/>
        <v>0</v>
      </c>
      <c r="U72" s="81" t="str">
        <f>TEXT('MYP Assumptions'!H75,"0.00%")&amp;", CPI"</f>
        <v>2.73%, CPI</v>
      </c>
      <c r="W72" s="83" t="str">
        <f t="shared" si="47"/>
        <v>0.00%</v>
      </c>
      <c r="X72" s="2">
        <f t="shared" si="52"/>
        <v>0</v>
      </c>
      <c r="Y72" s="81" t="str">
        <f>TEXT('MYP Assumptions'!I75,"0.00%")&amp;", CPI"</f>
        <v>2.73%, CPI</v>
      </c>
      <c r="AA72" s="83" t="str">
        <f t="shared" si="48"/>
        <v>0.00%</v>
      </c>
      <c r="AB72" s="2">
        <f t="shared" si="53"/>
        <v>0</v>
      </c>
      <c r="AC72" s="81" t="str">
        <f>TEXT('MYP Assumptions'!J75,"0.00%")&amp;", CPI"</f>
        <v>2.73%, CPI</v>
      </c>
    </row>
    <row r="73" spans="1:29" hidden="1" x14ac:dyDescent="0.25">
      <c r="A73" s="152"/>
      <c r="B73" s="939"/>
      <c r="D73" s="2">
        <v>0</v>
      </c>
      <c r="E73" s="863"/>
      <c r="F73" s="2"/>
      <c r="G73" s="83" t="str">
        <f t="shared" si="43"/>
        <v>0.00%</v>
      </c>
      <c r="H73" s="2">
        <f t="shared" si="54"/>
        <v>0</v>
      </c>
      <c r="I73" s="854" t="str">
        <f>TEXT('MYP Assumptions'!E75,"0.00%")&amp;", CPI"</f>
        <v>3.42%, CPI</v>
      </c>
      <c r="J73" s="66"/>
      <c r="K73" s="83" t="str">
        <f t="shared" si="44"/>
        <v>0.00%</v>
      </c>
      <c r="L73" s="2">
        <f t="shared" si="49"/>
        <v>0</v>
      </c>
      <c r="M73" s="854" t="str">
        <f>TEXT('MYP Assumptions'!F75,"0.00%")&amp;", CPI"</f>
        <v>3.35%, CPI</v>
      </c>
      <c r="O73" s="83" t="str">
        <f t="shared" si="45"/>
        <v>0.00%</v>
      </c>
      <c r="P73" s="2">
        <f t="shared" si="50"/>
        <v>0</v>
      </c>
      <c r="Q73" s="854" t="str">
        <f>TEXT('MYP Assumptions'!G75,"0.00%")&amp;", CPI"</f>
        <v>3.02%, CPI</v>
      </c>
      <c r="S73" s="83" t="str">
        <f t="shared" si="46"/>
        <v>0.00%</v>
      </c>
      <c r="T73" s="2">
        <f t="shared" si="51"/>
        <v>0</v>
      </c>
      <c r="U73" s="81" t="str">
        <f>TEXT('MYP Assumptions'!H75,"0.00%")&amp;", CPI"</f>
        <v>2.73%, CPI</v>
      </c>
      <c r="W73" s="83" t="str">
        <f t="shared" si="47"/>
        <v>0.00%</v>
      </c>
      <c r="X73" s="2">
        <f t="shared" si="52"/>
        <v>0</v>
      </c>
      <c r="Y73" s="81" t="str">
        <f>TEXT('MYP Assumptions'!I75,"0.00%")&amp;", CPI"</f>
        <v>2.73%, CPI</v>
      </c>
      <c r="AA73" s="83" t="str">
        <f t="shared" si="48"/>
        <v>0.00%</v>
      </c>
      <c r="AB73" s="2">
        <f t="shared" si="53"/>
        <v>0</v>
      </c>
      <c r="AC73" s="81" t="str">
        <f>TEXT('MYP Assumptions'!J75,"0.00%")&amp;", CPI"</f>
        <v>2.73%, CPI</v>
      </c>
    </row>
    <row r="74" spans="1:29" hidden="1" x14ac:dyDescent="0.25">
      <c r="A74" s="152"/>
      <c r="B74" s="939"/>
      <c r="D74" s="2">
        <v>0</v>
      </c>
      <c r="E74" s="863"/>
      <c r="F74" s="2"/>
      <c r="G74" s="83" t="str">
        <f t="shared" si="43"/>
        <v>0.00%</v>
      </c>
      <c r="H74" s="2">
        <f t="shared" si="54"/>
        <v>0</v>
      </c>
      <c r="I74" s="854" t="str">
        <f>TEXT('MYP Assumptions'!E75,"0.00%")&amp;", CPI"</f>
        <v>3.42%, CPI</v>
      </c>
      <c r="J74" s="66"/>
      <c r="K74" s="83" t="str">
        <f t="shared" si="44"/>
        <v>0.00%</v>
      </c>
      <c r="L74" s="2">
        <f t="shared" si="49"/>
        <v>0</v>
      </c>
      <c r="M74" s="854" t="str">
        <f>TEXT('MYP Assumptions'!F75,"0.00%")&amp;", CPI"</f>
        <v>3.35%, CPI</v>
      </c>
      <c r="O74" s="83" t="str">
        <f t="shared" si="45"/>
        <v>0.00%</v>
      </c>
      <c r="P74" s="2">
        <f t="shared" si="50"/>
        <v>0</v>
      </c>
      <c r="Q74" s="854" t="str">
        <f>TEXT('MYP Assumptions'!G75,"0.00%")&amp;", CPI"</f>
        <v>3.02%, CPI</v>
      </c>
      <c r="S74" s="83" t="str">
        <f t="shared" si="46"/>
        <v>0.00%</v>
      </c>
      <c r="T74" s="2">
        <f t="shared" si="51"/>
        <v>0</v>
      </c>
      <c r="U74" s="81" t="str">
        <f>TEXT('MYP Assumptions'!H75,"0.00%")&amp;", CPI"</f>
        <v>2.73%, CPI</v>
      </c>
      <c r="W74" s="83" t="str">
        <f t="shared" si="47"/>
        <v>0.00%</v>
      </c>
      <c r="X74" s="2">
        <f t="shared" si="52"/>
        <v>0</v>
      </c>
      <c r="Y74" s="81" t="str">
        <f>TEXT('MYP Assumptions'!I75,"0.00%")&amp;", CPI"</f>
        <v>2.73%, CPI</v>
      </c>
      <c r="AA74" s="83" t="str">
        <f t="shared" si="48"/>
        <v>0.00%</v>
      </c>
      <c r="AB74" s="2">
        <f t="shared" si="53"/>
        <v>0</v>
      </c>
      <c r="AC74" s="81" t="str">
        <f>TEXT('MYP Assumptions'!J75,"0.00%")&amp;", CPI"</f>
        <v>2.73%, CPI</v>
      </c>
    </row>
    <row r="75" spans="1:29" hidden="1" x14ac:dyDescent="0.25">
      <c r="A75" s="152"/>
      <c r="B75" s="939"/>
      <c r="D75" s="2">
        <v>0</v>
      </c>
      <c r="E75" s="863"/>
      <c r="F75" s="2"/>
      <c r="G75" s="83" t="str">
        <f>IF(D75=0,"0.00%",(H75-D75)/D75)</f>
        <v>0.00%</v>
      </c>
      <c r="H75" s="2">
        <f t="shared" si="54"/>
        <v>0</v>
      </c>
      <c r="I75" s="854" t="str">
        <f>TEXT('MYP Assumptions'!E75,"0.00%")&amp;", CPI"</f>
        <v>3.42%, CPI</v>
      </c>
      <c r="J75" s="66"/>
      <c r="K75" s="83" t="str">
        <f t="shared" si="44"/>
        <v>0.00%</v>
      </c>
      <c r="L75" s="2">
        <f t="shared" si="49"/>
        <v>0</v>
      </c>
      <c r="M75" s="854" t="str">
        <f>TEXT('MYP Assumptions'!F75,"0.00%")&amp;", CPI"</f>
        <v>3.35%, CPI</v>
      </c>
      <c r="O75" s="83" t="str">
        <f t="shared" si="45"/>
        <v>0.00%</v>
      </c>
      <c r="P75" s="2">
        <f t="shared" si="50"/>
        <v>0</v>
      </c>
      <c r="Q75" s="854" t="str">
        <f>TEXT('MYP Assumptions'!G75,"0.00%")&amp;", CPI"</f>
        <v>3.02%, CPI</v>
      </c>
      <c r="S75" s="83" t="str">
        <f t="shared" si="46"/>
        <v>0.00%</v>
      </c>
      <c r="T75" s="2">
        <f t="shared" si="51"/>
        <v>0</v>
      </c>
      <c r="U75" s="81" t="str">
        <f>TEXT('MYP Assumptions'!H75,"0.00%")&amp;", CPI"</f>
        <v>2.73%, CPI</v>
      </c>
      <c r="W75" s="83" t="str">
        <f t="shared" si="47"/>
        <v>0.00%</v>
      </c>
      <c r="X75" s="2">
        <f t="shared" si="52"/>
        <v>0</v>
      </c>
      <c r="Y75" s="81" t="str">
        <f>TEXT('MYP Assumptions'!I75,"0.00%")&amp;", CPI"</f>
        <v>2.73%, CPI</v>
      </c>
      <c r="AA75" s="83" t="str">
        <f t="shared" si="48"/>
        <v>0.00%</v>
      </c>
      <c r="AB75" s="2">
        <f t="shared" si="53"/>
        <v>0</v>
      </c>
      <c r="AC75" s="81" t="str">
        <f>TEXT('MYP Assumptions'!J75,"0.00%")&amp;", CPI"</f>
        <v>2.73%, CPI</v>
      </c>
    </row>
    <row r="76" spans="1:29" hidden="1" x14ac:dyDescent="0.25">
      <c r="A76" s="152"/>
      <c r="B76" s="939"/>
      <c r="D76" s="2">
        <v>0</v>
      </c>
      <c r="E76" s="863"/>
      <c r="F76" s="2"/>
      <c r="G76" s="83" t="str">
        <f t="shared" ref="G76:G82" si="55">IF(D76=0,"0.00%",(H76-D76)/D76)</f>
        <v>0.00%</v>
      </c>
      <c r="H76" s="2">
        <f t="shared" si="54"/>
        <v>0</v>
      </c>
      <c r="I76" s="854" t="str">
        <f>TEXT('MYP Assumptions'!E75,"0.00%")&amp;", CPI"</f>
        <v>3.42%, CPI</v>
      </c>
      <c r="J76" s="66"/>
      <c r="K76" s="83" t="str">
        <f t="shared" si="44"/>
        <v>0.00%</v>
      </c>
      <c r="L76" s="2">
        <f t="shared" si="49"/>
        <v>0</v>
      </c>
      <c r="M76" s="854" t="str">
        <f>TEXT('MYP Assumptions'!F75,"0.00%")&amp;", CPI"</f>
        <v>3.35%, CPI</v>
      </c>
      <c r="O76" s="83" t="str">
        <f t="shared" si="45"/>
        <v>0.00%</v>
      </c>
      <c r="P76" s="2">
        <f t="shared" si="50"/>
        <v>0</v>
      </c>
      <c r="Q76" s="854" t="str">
        <f>TEXT('MYP Assumptions'!G75,"0.00%")&amp;", CPI"</f>
        <v>3.02%, CPI</v>
      </c>
      <c r="S76" s="83" t="str">
        <f t="shared" si="46"/>
        <v>0.00%</v>
      </c>
      <c r="T76" s="2">
        <f t="shared" si="51"/>
        <v>0</v>
      </c>
      <c r="U76" s="81" t="str">
        <f>TEXT('MYP Assumptions'!H75,"0.00%")&amp;", CPI"</f>
        <v>2.73%, CPI</v>
      </c>
      <c r="W76" s="83" t="str">
        <f t="shared" si="47"/>
        <v>0.00%</v>
      </c>
      <c r="X76" s="2">
        <f t="shared" si="52"/>
        <v>0</v>
      </c>
      <c r="Y76" s="81" t="str">
        <f>TEXT('MYP Assumptions'!I75,"0.00%")&amp;", CPI"</f>
        <v>2.73%, CPI</v>
      </c>
      <c r="AA76" s="83" t="str">
        <f t="shared" si="48"/>
        <v>0.00%</v>
      </c>
      <c r="AB76" s="2">
        <f t="shared" si="53"/>
        <v>0</v>
      </c>
      <c r="AC76" s="81" t="str">
        <f>TEXT('MYP Assumptions'!J75,"0.00%")&amp;", CPI"</f>
        <v>2.73%, CPI</v>
      </c>
    </row>
    <row r="77" spans="1:29" hidden="1" x14ac:dyDescent="0.25">
      <c r="A77" s="152"/>
      <c r="B77" s="939"/>
      <c r="D77" s="2">
        <v>0</v>
      </c>
      <c r="E77" s="863"/>
      <c r="F77" s="2"/>
      <c r="G77" s="83" t="str">
        <f t="shared" si="55"/>
        <v>0.00%</v>
      </c>
      <c r="H77" s="2">
        <f>ROUND(D77*(LEFT(I77,5)+1),0)</f>
        <v>0</v>
      </c>
      <c r="I77" s="854" t="str">
        <f>TEXT('MYP Assumptions'!E75,"0.00%")&amp;", CPI"</f>
        <v>3.42%, CPI</v>
      </c>
      <c r="J77" s="66"/>
      <c r="K77" s="83" t="str">
        <f t="shared" si="44"/>
        <v>0.00%</v>
      </c>
      <c r="L77" s="2">
        <f t="shared" si="49"/>
        <v>0</v>
      </c>
      <c r="M77" s="854" t="str">
        <f>TEXT('MYP Assumptions'!F75,"0.00%")&amp;", CPI"</f>
        <v>3.35%, CPI</v>
      </c>
      <c r="O77" s="83" t="str">
        <f t="shared" si="45"/>
        <v>0.00%</v>
      </c>
      <c r="P77" s="2">
        <f t="shared" si="50"/>
        <v>0</v>
      </c>
      <c r="Q77" s="854" t="str">
        <f>TEXT('MYP Assumptions'!G75,"0.00%")&amp;", CPI"</f>
        <v>3.02%, CPI</v>
      </c>
      <c r="S77" s="83" t="str">
        <f t="shared" si="46"/>
        <v>0.00%</v>
      </c>
      <c r="T77" s="2">
        <f t="shared" si="51"/>
        <v>0</v>
      </c>
      <c r="U77" s="81" t="str">
        <f>TEXT('MYP Assumptions'!H75,"0.00%")&amp;", CPI"</f>
        <v>2.73%, CPI</v>
      </c>
      <c r="W77" s="83" t="str">
        <f t="shared" si="47"/>
        <v>0.00%</v>
      </c>
      <c r="X77" s="2">
        <f t="shared" si="52"/>
        <v>0</v>
      </c>
      <c r="Y77" s="81" t="str">
        <f>TEXT('MYP Assumptions'!I75,"0.00%")&amp;", CPI"</f>
        <v>2.73%, CPI</v>
      </c>
      <c r="AA77" s="83" t="str">
        <f t="shared" si="48"/>
        <v>0.00%</v>
      </c>
      <c r="AB77" s="2">
        <f t="shared" si="53"/>
        <v>0</v>
      </c>
      <c r="AC77" s="81" t="str">
        <f>TEXT('MYP Assumptions'!J75,"0.00%")&amp;", CPI"</f>
        <v>2.73%, CPI</v>
      </c>
    </row>
    <row r="78" spans="1:29" hidden="1" x14ac:dyDescent="0.25">
      <c r="A78" s="152"/>
      <c r="B78" s="939"/>
      <c r="D78" s="2">
        <v>0</v>
      </c>
      <c r="E78" s="863"/>
      <c r="F78" s="2"/>
      <c r="G78" s="83" t="str">
        <f t="shared" si="55"/>
        <v>0.00%</v>
      </c>
      <c r="H78" s="2">
        <f>ROUND(D78*(LEFT(I78,5)+1),0)</f>
        <v>0</v>
      </c>
      <c r="I78" s="854" t="str">
        <f>TEXT('MYP Assumptions'!E75,"0.00%")&amp;", CPI"</f>
        <v>3.42%, CPI</v>
      </c>
      <c r="J78" s="66"/>
      <c r="K78" s="83" t="str">
        <f t="shared" si="44"/>
        <v>0.00%</v>
      </c>
      <c r="L78" s="2">
        <f t="shared" si="49"/>
        <v>0</v>
      </c>
      <c r="M78" s="854" t="str">
        <f>TEXT('MYP Assumptions'!F75,"0.00%")&amp;", CPI"</f>
        <v>3.35%, CPI</v>
      </c>
      <c r="O78" s="83" t="str">
        <f t="shared" si="45"/>
        <v>0.00%</v>
      </c>
      <c r="P78" s="2">
        <f t="shared" si="50"/>
        <v>0</v>
      </c>
      <c r="Q78" s="854" t="str">
        <f>TEXT('MYP Assumptions'!G75,"0.00%")&amp;", CPI"</f>
        <v>3.02%, CPI</v>
      </c>
      <c r="S78" s="83" t="str">
        <f t="shared" si="46"/>
        <v>0.00%</v>
      </c>
      <c r="T78" s="2">
        <f t="shared" si="51"/>
        <v>0</v>
      </c>
      <c r="U78" s="81" t="str">
        <f>TEXT('MYP Assumptions'!H75,"0.00%")&amp;", CPI"</f>
        <v>2.73%, CPI</v>
      </c>
      <c r="W78" s="83" t="str">
        <f t="shared" si="47"/>
        <v>0.00%</v>
      </c>
      <c r="X78" s="2">
        <f t="shared" si="52"/>
        <v>0</v>
      </c>
      <c r="Y78" s="81" t="str">
        <f>TEXT('MYP Assumptions'!I75,"0.00%")&amp;", CPI"</f>
        <v>2.73%, CPI</v>
      </c>
      <c r="AA78" s="83" t="str">
        <f t="shared" si="48"/>
        <v>0.00%</v>
      </c>
      <c r="AB78" s="2">
        <f t="shared" si="53"/>
        <v>0</v>
      </c>
      <c r="AC78" s="81" t="str">
        <f>TEXT('MYP Assumptions'!J75,"0.00%")&amp;", CPI"</f>
        <v>2.73%, CPI</v>
      </c>
    </row>
    <row r="79" spans="1:29" hidden="1" x14ac:dyDescent="0.25">
      <c r="A79" s="152"/>
      <c r="B79" s="939"/>
      <c r="D79" s="2">
        <v>0</v>
      </c>
      <c r="E79" s="863"/>
      <c r="F79" s="2"/>
      <c r="G79" s="83" t="str">
        <f t="shared" si="55"/>
        <v>0.00%</v>
      </c>
      <c r="H79" s="2">
        <f>ROUND(D79*(LEFT(I79,5)+1),0)</f>
        <v>0</v>
      </c>
      <c r="I79" s="854" t="str">
        <f>TEXT('MYP Assumptions'!E75,"0.00%")&amp;", CPI"</f>
        <v>3.42%, CPI</v>
      </c>
      <c r="J79" s="66"/>
      <c r="K79" s="83" t="str">
        <f t="shared" si="44"/>
        <v>0.00%</v>
      </c>
      <c r="L79" s="2">
        <f t="shared" si="49"/>
        <v>0</v>
      </c>
      <c r="M79" s="854" t="str">
        <f>TEXT('MYP Assumptions'!F75,"0.00%")&amp;", CPI"</f>
        <v>3.35%, CPI</v>
      </c>
      <c r="O79" s="83" t="str">
        <f t="shared" si="45"/>
        <v>0.00%</v>
      </c>
      <c r="P79" s="2">
        <f t="shared" si="50"/>
        <v>0</v>
      </c>
      <c r="Q79" s="854" t="str">
        <f>TEXT('MYP Assumptions'!G75,"0.00%")&amp;", CPI"</f>
        <v>3.02%, CPI</v>
      </c>
      <c r="S79" s="83" t="str">
        <f t="shared" si="46"/>
        <v>0.00%</v>
      </c>
      <c r="T79" s="2">
        <f t="shared" si="51"/>
        <v>0</v>
      </c>
      <c r="U79" s="81" t="str">
        <f>TEXT('MYP Assumptions'!H75,"0.00%")&amp;", CPI"</f>
        <v>2.73%, CPI</v>
      </c>
      <c r="W79" s="83" t="str">
        <f t="shared" si="47"/>
        <v>0.00%</v>
      </c>
      <c r="X79" s="2">
        <f t="shared" si="52"/>
        <v>0</v>
      </c>
      <c r="Y79" s="81" t="str">
        <f>TEXT('MYP Assumptions'!I75,"0.00%")&amp;", CPI"</f>
        <v>2.73%, CPI</v>
      </c>
      <c r="AA79" s="83" t="str">
        <f t="shared" si="48"/>
        <v>0.00%</v>
      </c>
      <c r="AB79" s="2">
        <f t="shared" si="53"/>
        <v>0</v>
      </c>
      <c r="AC79" s="81" t="str">
        <f>TEXT('MYP Assumptions'!J75,"0.00%")&amp;", CPI"</f>
        <v>2.73%, CPI</v>
      </c>
    </row>
    <row r="80" spans="1:29" hidden="1" x14ac:dyDescent="0.25">
      <c r="A80" s="152"/>
      <c r="B80" s="939"/>
      <c r="D80" s="2">
        <v>0</v>
      </c>
      <c r="E80" s="863"/>
      <c r="F80" s="2"/>
      <c r="G80" s="83" t="str">
        <f t="shared" si="55"/>
        <v>0.00%</v>
      </c>
      <c r="H80" s="2">
        <f>ROUND(D80*(LEFT(I80,5)+1),0)</f>
        <v>0</v>
      </c>
      <c r="I80" s="854" t="str">
        <f>TEXT('MYP Assumptions'!E75,"0.00%")&amp;", CPI"</f>
        <v>3.42%, CPI</v>
      </c>
      <c r="J80" s="66"/>
      <c r="K80" s="83" t="str">
        <f t="shared" si="44"/>
        <v>0.00%</v>
      </c>
      <c r="L80" s="2">
        <f t="shared" si="49"/>
        <v>0</v>
      </c>
      <c r="M80" s="854" t="str">
        <f>TEXT('MYP Assumptions'!F75,"0.00%")&amp;", CPI"</f>
        <v>3.35%, CPI</v>
      </c>
      <c r="O80" s="83" t="str">
        <f t="shared" si="45"/>
        <v>0.00%</v>
      </c>
      <c r="P80" s="2">
        <f t="shared" si="50"/>
        <v>0</v>
      </c>
      <c r="Q80" s="854" t="str">
        <f>TEXT('MYP Assumptions'!G75,"0.00%")&amp;", CPI"</f>
        <v>3.02%, CPI</v>
      </c>
      <c r="S80" s="83" t="str">
        <f t="shared" si="46"/>
        <v>0.00%</v>
      </c>
      <c r="T80" s="2">
        <f t="shared" si="51"/>
        <v>0</v>
      </c>
      <c r="U80" s="81" t="str">
        <f>TEXT('MYP Assumptions'!H75,"0.00%")&amp;", CPI"</f>
        <v>2.73%, CPI</v>
      </c>
      <c r="W80" s="83" t="str">
        <f t="shared" si="47"/>
        <v>0.00%</v>
      </c>
      <c r="X80" s="2">
        <f t="shared" si="52"/>
        <v>0</v>
      </c>
      <c r="Y80" s="81" t="str">
        <f>TEXT('MYP Assumptions'!I75,"0.00%")&amp;", CPI"</f>
        <v>2.73%, CPI</v>
      </c>
      <c r="AA80" s="83" t="str">
        <f t="shared" si="48"/>
        <v>0.00%</v>
      </c>
      <c r="AB80" s="2">
        <f t="shared" si="53"/>
        <v>0</v>
      </c>
      <c r="AC80" s="81" t="str">
        <f>TEXT('MYP Assumptions'!J75,"0.00%")&amp;", CPI"</f>
        <v>2.73%, CPI</v>
      </c>
    </row>
    <row r="81" spans="1:29" hidden="1" x14ac:dyDescent="0.25">
      <c r="A81" s="152"/>
      <c r="B81" s="939"/>
      <c r="D81" s="2">
        <f>'RS 3010-ALL'!AF80</f>
        <v>0</v>
      </c>
      <c r="E81" s="863"/>
      <c r="F81" s="2"/>
      <c r="G81" s="83" t="str">
        <f t="shared" si="55"/>
        <v>0.00%</v>
      </c>
      <c r="H81" s="2">
        <f>ROUND(D81*(LEFT(I81,5)+1),0)</f>
        <v>0</v>
      </c>
      <c r="I81" s="854" t="str">
        <f>TEXT('MYP Assumptions'!E75,"0.00%")&amp;", CPI"</f>
        <v>3.42%, CPI</v>
      </c>
      <c r="J81" s="66"/>
      <c r="K81" s="83" t="str">
        <f t="shared" si="44"/>
        <v>0.00%</v>
      </c>
      <c r="L81" s="2">
        <f t="shared" si="49"/>
        <v>0</v>
      </c>
      <c r="M81" s="854" t="str">
        <f>TEXT('MYP Assumptions'!F75,"0.00%")&amp;", CPI"</f>
        <v>3.35%, CPI</v>
      </c>
      <c r="O81" s="83" t="str">
        <f t="shared" si="45"/>
        <v>0.00%</v>
      </c>
      <c r="P81" s="2">
        <f t="shared" si="50"/>
        <v>0</v>
      </c>
      <c r="Q81" s="854" t="str">
        <f>TEXT('MYP Assumptions'!G75,"0.00%")&amp;", CPI"</f>
        <v>3.02%, CPI</v>
      </c>
      <c r="S81" s="83" t="str">
        <f t="shared" si="46"/>
        <v>0.00%</v>
      </c>
      <c r="T81" s="2">
        <f t="shared" si="51"/>
        <v>0</v>
      </c>
      <c r="U81" s="81" t="str">
        <f>TEXT('MYP Assumptions'!H75,"0.00%")&amp;", CPI"</f>
        <v>2.73%, CPI</v>
      </c>
      <c r="W81" s="83" t="str">
        <f t="shared" si="47"/>
        <v>0.00%</v>
      </c>
      <c r="X81" s="2">
        <f t="shared" si="52"/>
        <v>0</v>
      </c>
      <c r="Y81" s="81" t="str">
        <f>TEXT('MYP Assumptions'!I75,"0.00%")&amp;", CPI"</f>
        <v>2.73%, CPI</v>
      </c>
      <c r="AA81" s="83" t="str">
        <f t="shared" si="48"/>
        <v>0.00%</v>
      </c>
      <c r="AB81" s="2">
        <f t="shared" si="53"/>
        <v>0</v>
      </c>
      <c r="AC81" s="81" t="str">
        <f>TEXT('MYP Assumptions'!J75,"0.00%")&amp;", CPI"</f>
        <v>2.73%, CPI</v>
      </c>
    </row>
    <row r="82" spans="1:29" hidden="1" x14ac:dyDescent="0.25">
      <c r="A82" s="153"/>
      <c r="D82" s="8">
        <f>SUM(D69:D81)</f>
        <v>0</v>
      </c>
      <c r="E82" s="863"/>
      <c r="F82" s="2"/>
      <c r="G82" s="83" t="str">
        <f t="shared" si="55"/>
        <v>0.00%</v>
      </c>
      <c r="H82" s="8">
        <f>SUM(H69:H81)</f>
        <v>0</v>
      </c>
      <c r="I82" s="872"/>
      <c r="J82" s="29"/>
      <c r="K82" s="83" t="str">
        <f t="shared" si="44"/>
        <v>0.00%</v>
      </c>
      <c r="L82" s="8">
        <f>SUM(L69:L81)</f>
        <v>0</v>
      </c>
      <c r="M82" s="948"/>
      <c r="O82" s="83" t="str">
        <f t="shared" si="45"/>
        <v>0.00%</v>
      </c>
      <c r="P82" s="8">
        <f>SUM(P69:P81)</f>
        <v>0</v>
      </c>
      <c r="Q82" s="948"/>
      <c r="S82" s="83" t="str">
        <f t="shared" si="46"/>
        <v>0.00%</v>
      </c>
      <c r="T82" s="8">
        <f>SUM(T69:T81)</f>
        <v>0</v>
      </c>
      <c r="U82" s="73"/>
      <c r="W82" s="83" t="str">
        <f t="shared" si="47"/>
        <v>0.00%</v>
      </c>
      <c r="X82" s="8">
        <f>SUM(X69:X81)</f>
        <v>0</v>
      </c>
      <c r="Y82" s="73"/>
      <c r="AA82" s="83" t="str">
        <f t="shared" si="48"/>
        <v>0.00%</v>
      </c>
      <c r="AB82" s="8">
        <f>SUM(AB69:AB81)</f>
        <v>0</v>
      </c>
      <c r="AC82" s="73"/>
    </row>
    <row r="83" spans="1:29" hidden="1" x14ac:dyDescent="0.25">
      <c r="A83" s="152"/>
      <c r="B83" s="936"/>
      <c r="E83" s="863"/>
      <c r="F83" s="2"/>
      <c r="G83" s="83"/>
      <c r="H83" s="2"/>
      <c r="I83" s="871"/>
      <c r="J83" s="66"/>
      <c r="L83" s="2"/>
      <c r="M83" s="948"/>
      <c r="Q83" s="948"/>
      <c r="T83" s="2"/>
      <c r="U83" s="73"/>
      <c r="X83" s="2"/>
      <c r="Y83" s="73"/>
      <c r="AB83" s="2"/>
      <c r="AC83" s="73"/>
    </row>
    <row r="84" spans="1:29" hidden="1" x14ac:dyDescent="0.25">
      <c r="A84" s="152"/>
      <c r="B84" s="936" t="s">
        <v>233</v>
      </c>
      <c r="E84" s="863"/>
      <c r="F84" s="2"/>
      <c r="G84" s="83"/>
      <c r="H84" s="2"/>
      <c r="I84" s="871"/>
      <c r="J84" s="66"/>
      <c r="L84" s="2"/>
      <c r="M84" s="948"/>
      <c r="Q84" s="948"/>
      <c r="T84" s="2"/>
      <c r="U84" s="73"/>
      <c r="X84" s="2"/>
      <c r="Y84" s="73"/>
      <c r="AB84" s="2"/>
      <c r="AC84" s="73"/>
    </row>
    <row r="85" spans="1:29" hidden="1" x14ac:dyDescent="0.25">
      <c r="A85" s="152"/>
      <c r="B85" s="939">
        <v>7211</v>
      </c>
      <c r="C85" s="857" t="s">
        <v>235</v>
      </c>
      <c r="D85" s="2">
        <v>0</v>
      </c>
      <c r="E85" s="863"/>
      <c r="F85" s="2"/>
      <c r="G85" s="83"/>
      <c r="H85" s="2">
        <f>+D85</f>
        <v>0</v>
      </c>
      <c r="I85" s="871" t="s">
        <v>174</v>
      </c>
      <c r="J85" s="66"/>
      <c r="L85" s="2">
        <f>+H85</f>
        <v>0</v>
      </c>
      <c r="M85" s="871" t="s">
        <v>174</v>
      </c>
      <c r="P85" s="2">
        <f>+L85</f>
        <v>0</v>
      </c>
      <c r="Q85" s="871" t="s">
        <v>174</v>
      </c>
      <c r="T85" s="2">
        <f>+P85</f>
        <v>0</v>
      </c>
      <c r="U85" s="36" t="s">
        <v>174</v>
      </c>
      <c r="X85" s="2">
        <f>+T85</f>
        <v>0</v>
      </c>
      <c r="Y85" s="36" t="s">
        <v>174</v>
      </c>
      <c r="AB85" s="2">
        <f>+X85</f>
        <v>0</v>
      </c>
      <c r="AC85" s="36" t="s">
        <v>174</v>
      </c>
    </row>
    <row r="86" spans="1:29" hidden="1" x14ac:dyDescent="0.25">
      <c r="A86" s="152"/>
      <c r="B86" s="936"/>
      <c r="D86" s="2">
        <v>0</v>
      </c>
      <c r="E86" s="863"/>
      <c r="F86" s="2"/>
      <c r="G86" s="83"/>
      <c r="H86" s="2">
        <v>0</v>
      </c>
      <c r="I86" s="871"/>
      <c r="J86" s="66"/>
      <c r="L86" s="2">
        <v>0</v>
      </c>
      <c r="M86" s="871"/>
      <c r="P86" s="2">
        <v>0</v>
      </c>
      <c r="Q86" s="871"/>
      <c r="T86" s="2">
        <v>0</v>
      </c>
      <c r="U86" s="36"/>
      <c r="X86" s="2">
        <v>0</v>
      </c>
      <c r="Y86" s="36"/>
      <c r="AB86" s="2">
        <v>0</v>
      </c>
      <c r="AC86" s="36"/>
    </row>
    <row r="87" spans="1:29" hidden="1" x14ac:dyDescent="0.25">
      <c r="A87" s="152"/>
      <c r="B87" s="936"/>
      <c r="D87" s="2">
        <v>0</v>
      </c>
      <c r="E87" s="863"/>
      <c r="F87" s="2"/>
      <c r="G87" s="83"/>
      <c r="H87" s="2">
        <v>0</v>
      </c>
      <c r="I87" s="871"/>
      <c r="J87" s="66"/>
      <c r="L87" s="2">
        <v>0</v>
      </c>
      <c r="M87" s="871"/>
      <c r="P87" s="2">
        <v>0</v>
      </c>
      <c r="Q87" s="871"/>
      <c r="T87" s="2">
        <v>0</v>
      </c>
      <c r="U87" s="36"/>
      <c r="X87" s="2">
        <v>0</v>
      </c>
      <c r="Y87" s="36"/>
      <c r="AB87" s="2">
        <v>0</v>
      </c>
      <c r="AC87" s="36"/>
    </row>
    <row r="88" spans="1:29" ht="6.75" hidden="1" customHeight="1" x14ac:dyDescent="0.25">
      <c r="A88" s="152"/>
      <c r="B88" s="936"/>
      <c r="E88" s="863"/>
      <c r="F88" s="2"/>
      <c r="G88" s="83"/>
      <c r="H88" s="2"/>
      <c r="I88" s="871"/>
      <c r="J88" s="66"/>
      <c r="L88" s="2"/>
      <c r="M88" s="871"/>
      <c r="Q88" s="871"/>
      <c r="T88" s="2"/>
      <c r="U88" s="36"/>
      <c r="X88" s="2"/>
      <c r="Y88" s="36"/>
      <c r="AB88" s="2"/>
      <c r="AC88" s="36"/>
    </row>
    <row r="89" spans="1:29" s="13" customFormat="1" hidden="1" x14ac:dyDescent="0.25">
      <c r="A89" s="154"/>
      <c r="B89" s="938"/>
      <c r="C89" s="938"/>
      <c r="D89" s="160">
        <f>SUM(D85:D88)</f>
        <v>0</v>
      </c>
      <c r="E89" s="861"/>
      <c r="F89" s="10"/>
      <c r="G89" s="372"/>
      <c r="H89" s="160">
        <f>SUM(H85:H88)</f>
        <v>0</v>
      </c>
      <c r="I89" s="864"/>
      <c r="J89" s="57"/>
      <c r="K89" s="379"/>
      <c r="L89" s="160">
        <f>SUM(L85:L88)</f>
        <v>0</v>
      </c>
      <c r="M89" s="864"/>
      <c r="O89" s="379"/>
      <c r="P89" s="160">
        <f>SUM(P85:P88)</f>
        <v>0</v>
      </c>
      <c r="Q89" s="864"/>
      <c r="R89" s="111"/>
      <c r="T89" s="160">
        <f>SUM(T85:T88)</f>
        <v>0</v>
      </c>
      <c r="U89" s="6"/>
      <c r="X89" s="160">
        <f>SUM(X85:X88)</f>
        <v>0</v>
      </c>
      <c r="Y89" s="6"/>
      <c r="AB89" s="160">
        <f>SUM(AB85:AB88)</f>
        <v>0</v>
      </c>
      <c r="AC89" s="6"/>
    </row>
    <row r="90" spans="1:29" x14ac:dyDescent="0.25">
      <c r="A90" s="152"/>
      <c r="E90" s="863"/>
      <c r="F90" s="2"/>
      <c r="H90" s="2"/>
      <c r="I90" s="871"/>
      <c r="J90" s="66"/>
      <c r="L90" s="2"/>
      <c r="M90" s="871"/>
      <c r="Q90" s="871"/>
      <c r="T90" s="2"/>
      <c r="U90" s="36"/>
      <c r="X90" s="2"/>
      <c r="Y90" s="36"/>
      <c r="AB90" s="2"/>
      <c r="AC90" s="36"/>
    </row>
    <row r="91" spans="1:29" x14ac:dyDescent="0.25">
      <c r="A91" s="153"/>
      <c r="B91" s="936" t="s">
        <v>0</v>
      </c>
      <c r="D91" s="8">
        <f>SUM(D82,D66,D55,D13,D89)</f>
        <v>1510</v>
      </c>
      <c r="E91" s="863"/>
      <c r="F91" s="2"/>
      <c r="G91" s="83">
        <f>IF(D91=0,"0.00%",(H91-D91)/D91)</f>
        <v>13.653642384105961</v>
      </c>
      <c r="H91" s="8">
        <f>SUM(H82,H66,H55,H13,H89)</f>
        <v>22127</v>
      </c>
      <c r="I91" s="1292">
        <f>+H91-D91</f>
        <v>20617</v>
      </c>
      <c r="J91" s="29"/>
      <c r="K91" s="83">
        <f>IF(H91=0,"0.00%",(L91-H91)/H91)</f>
        <v>-2.4404573597866862E-3</v>
      </c>
      <c r="L91" s="8">
        <f>SUM(L82,L66,L55,L13,L89)</f>
        <v>22073</v>
      </c>
      <c r="M91" s="1292">
        <f>+L91-H91</f>
        <v>-54</v>
      </c>
      <c r="O91" s="83">
        <f>IF(L91=0,"0.00%",(P91-L91)/L91)</f>
        <v>0</v>
      </c>
      <c r="P91" s="8">
        <f>SUM(P82,P66,P55,P13,P89)</f>
        <v>22073</v>
      </c>
      <c r="Q91" s="1292">
        <f>+P91-L91</f>
        <v>0</v>
      </c>
      <c r="S91" s="83">
        <f>IF(P91=0,"0.00%",(T91-P91)/P91)</f>
        <v>-4.3492049109772118E-3</v>
      </c>
      <c r="T91" s="8">
        <f>SUM(T82,T66,T55,T13,T89)</f>
        <v>21977</v>
      </c>
      <c r="U91" s="5"/>
      <c r="W91" s="83">
        <f>IF(T91=0,"0.00%",(X91-T91)/T91)</f>
        <v>2.0020930973290257E-2</v>
      </c>
      <c r="X91" s="8">
        <f>SUM(X82,X66,X55,X13,X89)</f>
        <v>22417</v>
      </c>
      <c r="Y91" s="5"/>
      <c r="AA91" s="83">
        <f>IF(X91=0,"0.00%",(AB91-X91)/X91)</f>
        <v>1.9940223937190527E-2</v>
      </c>
      <c r="AB91" s="8">
        <f>SUM(AB82,AB66,AB55,AB13,AB89)</f>
        <v>22864</v>
      </c>
      <c r="AC91" s="5"/>
    </row>
    <row r="92" spans="1:29" x14ac:dyDescent="0.25">
      <c r="A92" s="152"/>
      <c r="E92" s="863"/>
      <c r="F92" s="2"/>
      <c r="H92" s="2"/>
      <c r="I92" s="871"/>
      <c r="J92" s="66"/>
      <c r="L92" s="2"/>
      <c r="M92" s="948"/>
      <c r="Q92" s="948"/>
      <c r="T92" s="2"/>
      <c r="U92" s="73"/>
      <c r="X92" s="2"/>
      <c r="Y92" s="73"/>
      <c r="AB92" s="2"/>
      <c r="AC92" s="73"/>
    </row>
    <row r="93" spans="1:29" x14ac:dyDescent="0.25">
      <c r="A93" s="152"/>
      <c r="B93" s="936" t="s">
        <v>138</v>
      </c>
      <c r="D93" s="3">
        <f>D11-D91</f>
        <v>0</v>
      </c>
      <c r="G93" s="83" t="str">
        <f>IF(D93=0,"0.00%",(H93-D93)/D93)</f>
        <v>0.00%</v>
      </c>
      <c r="H93" s="3">
        <f>H11-H91</f>
        <v>0</v>
      </c>
      <c r="I93" s="871"/>
      <c r="J93" s="66"/>
      <c r="K93" s="83" t="str">
        <f>IF(H93=0,"0.00%",(L93-H93)/H93)</f>
        <v>0.00%</v>
      </c>
      <c r="L93" s="3">
        <f>L11-L91</f>
        <v>54</v>
      </c>
      <c r="M93" s="948"/>
      <c r="O93" s="83">
        <f>IF(L93=0,"0.00%",(P93-L93)/L93)</f>
        <v>0</v>
      </c>
      <c r="P93" s="3">
        <f>P11-P91</f>
        <v>54</v>
      </c>
      <c r="Q93" s="948"/>
      <c r="S93" s="83">
        <f>IF(P93=0,"0.00%",(T93-P93)/P93)</f>
        <v>1.7777777777777777</v>
      </c>
      <c r="T93" s="3">
        <f>T11-T91</f>
        <v>150</v>
      </c>
      <c r="U93" s="73"/>
      <c r="W93" s="83">
        <f>IF(T93=0,"0.00%",(X93-T93)/T93)</f>
        <v>-2.9333333333333331</v>
      </c>
      <c r="X93" s="3">
        <f>X11-X91</f>
        <v>-290</v>
      </c>
      <c r="Y93" s="73"/>
      <c r="AA93" s="83">
        <f>IF(X93=0,"0.00%",(AB93-X93)/X93)</f>
        <v>1.5413793103448277</v>
      </c>
      <c r="AB93" s="3">
        <f>AB11-AB91</f>
        <v>-737</v>
      </c>
      <c r="AC93" s="73"/>
    </row>
    <row r="94" spans="1:29" x14ac:dyDescent="0.25">
      <c r="B94" s="936"/>
      <c r="C94" s="930"/>
      <c r="D94" s="3"/>
      <c r="H94" s="3"/>
      <c r="I94" s="871"/>
      <c r="J94" s="66"/>
      <c r="L94" s="3"/>
      <c r="M94" s="948"/>
      <c r="P94" s="3"/>
      <c r="Q94" s="948"/>
      <c r="T94" s="44"/>
      <c r="U94" s="73"/>
      <c r="X94" s="44"/>
      <c r="Y94" s="73"/>
      <c r="AB94" s="44"/>
      <c r="AC94" s="73"/>
    </row>
    <row r="95" spans="1:29" x14ac:dyDescent="0.25">
      <c r="B95" s="936" t="s">
        <v>136</v>
      </c>
      <c r="C95" s="932"/>
      <c r="D95" s="3">
        <f>D7+D93</f>
        <v>0</v>
      </c>
      <c r="G95" s="83" t="str">
        <f>IF(D95=0,"0.00%",(H95-D95)/D95)</f>
        <v>0.00%</v>
      </c>
      <c r="H95" s="3">
        <f>H7+H93</f>
        <v>0</v>
      </c>
      <c r="I95" s="871"/>
      <c r="J95" s="66"/>
      <c r="K95" s="83" t="str">
        <f>IF(H95=0,"0.00%",(L95-H95)/H95)</f>
        <v>0.00%</v>
      </c>
      <c r="L95" s="3">
        <f>L7+L93</f>
        <v>54</v>
      </c>
      <c r="M95" s="948"/>
      <c r="O95" s="83">
        <f>IF(L95=0,"0.00%",(P95-L95)/L95)</f>
        <v>1</v>
      </c>
      <c r="P95" s="3">
        <f>P7+P93</f>
        <v>108</v>
      </c>
      <c r="Q95" s="948"/>
      <c r="S95" s="83">
        <f>IF(P95=0,"0.00%",(T95-P95)/P95)</f>
        <v>1.3888888888888888</v>
      </c>
      <c r="T95" s="49">
        <f>T7+T93</f>
        <v>258</v>
      </c>
      <c r="U95" s="73"/>
      <c r="W95" s="83">
        <f>IF(T95=0,"0.00%",(X95-T95)/T95)</f>
        <v>-1.124031007751938</v>
      </c>
      <c r="X95" s="49">
        <f>X7+X93</f>
        <v>-32</v>
      </c>
      <c r="Y95" s="73"/>
      <c r="AA95" s="83">
        <f>IF(X95=0,"0.00%",(AB95-X95)/X95)</f>
        <v>23.03125</v>
      </c>
      <c r="AB95" s="49">
        <f>AB7+AB93</f>
        <v>-769</v>
      </c>
      <c r="AC95" s="73"/>
    </row>
    <row r="96" spans="1:29" x14ac:dyDescent="0.25">
      <c r="C96" s="873"/>
      <c r="G96" s="374"/>
      <c r="H96" s="5"/>
      <c r="I96" s="872"/>
      <c r="J96" s="29"/>
      <c r="L96" s="5"/>
      <c r="M96" s="948"/>
      <c r="P96" s="5"/>
      <c r="Q96" s="948"/>
      <c r="T96" s="5"/>
      <c r="U96" s="73"/>
      <c r="X96" s="5"/>
      <c r="Y96" s="73"/>
      <c r="AB96" s="5"/>
      <c r="AC96" s="73"/>
    </row>
    <row r="97" spans="1:29" x14ac:dyDescent="0.25">
      <c r="C97" s="868"/>
      <c r="G97" s="374"/>
      <c r="H97" s="36"/>
      <c r="I97" s="871"/>
      <c r="J97" s="66"/>
      <c r="L97" s="2"/>
      <c r="M97" s="948"/>
      <c r="Q97" s="948"/>
      <c r="T97" s="2"/>
      <c r="U97" s="73"/>
      <c r="X97" s="2"/>
      <c r="Y97" s="73"/>
      <c r="AB97" s="2"/>
      <c r="AC97" s="73"/>
    </row>
    <row r="98" spans="1:29" x14ac:dyDescent="0.25">
      <c r="C98" s="868"/>
      <c r="G98" s="374"/>
      <c r="H98" s="36"/>
      <c r="I98" s="871"/>
      <c r="J98" s="66"/>
      <c r="L98" s="2"/>
      <c r="M98" s="948"/>
      <c r="Q98" s="948"/>
      <c r="T98" s="2"/>
      <c r="U98" s="73"/>
      <c r="X98" s="2"/>
      <c r="Y98" s="73"/>
      <c r="AB98" s="2"/>
      <c r="AC98" s="73"/>
    </row>
    <row r="99" spans="1:29" x14ac:dyDescent="0.25">
      <c r="C99" s="868"/>
      <c r="G99" s="374"/>
      <c r="H99" s="36"/>
      <c r="I99" s="871"/>
      <c r="J99" s="66"/>
      <c r="L99" s="2"/>
      <c r="M99" s="948"/>
      <c r="Q99" s="948"/>
      <c r="T99" s="2"/>
      <c r="U99" s="73"/>
      <c r="X99" s="2"/>
      <c r="Y99" s="73"/>
      <c r="AB99" s="2"/>
      <c r="AC99" s="73"/>
    </row>
    <row r="100" spans="1:29" x14ac:dyDescent="0.25">
      <c r="C100" s="868"/>
      <c r="G100" s="374"/>
      <c r="H100" s="36"/>
      <c r="I100" s="871"/>
      <c r="J100" s="66"/>
      <c r="L100" s="2"/>
      <c r="M100" s="948"/>
      <c r="Q100" s="948"/>
      <c r="T100" s="2"/>
      <c r="U100" s="73"/>
      <c r="X100" s="2"/>
      <c r="Y100" s="73"/>
      <c r="AB100" s="2"/>
      <c r="AC100" s="73"/>
    </row>
    <row r="101" spans="1:29" s="137" customFormat="1" ht="11.25" x14ac:dyDescent="0.2">
      <c r="A101" s="156"/>
      <c r="B101" s="942"/>
      <c r="C101" s="943" t="s">
        <v>223</v>
      </c>
      <c r="D101" s="134">
        <f>+D82+D66+D53+D41+D30</f>
        <v>1458.07</v>
      </c>
      <c r="E101" s="865"/>
      <c r="G101" s="133" t="s">
        <v>223</v>
      </c>
      <c r="H101" s="134">
        <f>+H82+H66+H53+H41+H30</f>
        <v>21186</v>
      </c>
      <c r="I101" s="874"/>
      <c r="J101" s="135"/>
      <c r="K101" s="133" t="s">
        <v>223</v>
      </c>
      <c r="L101" s="134">
        <f>+L82+L66+L53+L41+L30</f>
        <v>21466</v>
      </c>
      <c r="M101" s="951"/>
      <c r="O101" s="133" t="s">
        <v>223</v>
      </c>
      <c r="P101" s="134">
        <f>+P82+P66+P53+P41+P30</f>
        <v>21521</v>
      </c>
      <c r="Q101" s="951"/>
      <c r="R101" s="139"/>
      <c r="S101" s="133" t="s">
        <v>223</v>
      </c>
      <c r="T101" s="134">
        <f>+T82+T66+T53+T41+T30</f>
        <v>21977</v>
      </c>
      <c r="U101" s="138"/>
      <c r="W101" s="133" t="s">
        <v>223</v>
      </c>
      <c r="X101" s="134">
        <f>+X82+X66+X53+X41+X30</f>
        <v>22417</v>
      </c>
      <c r="Y101" s="138"/>
      <c r="AA101" s="133" t="s">
        <v>223</v>
      </c>
      <c r="AB101" s="134">
        <f>+AB82+AB66+AB53+AB41+AB30</f>
        <v>22864</v>
      </c>
      <c r="AC101" s="138"/>
    </row>
    <row r="102" spans="1:29" s="137" customFormat="1" ht="11.25" x14ac:dyDescent="0.2">
      <c r="A102" s="158"/>
      <c r="B102" s="942"/>
      <c r="C102" s="944" t="s">
        <v>224</v>
      </c>
      <c r="D102" s="142">
        <f>+D13</f>
        <v>51.93</v>
      </c>
      <c r="E102" s="866"/>
      <c r="F102" s="144"/>
      <c r="G102" s="375" t="s">
        <v>224</v>
      </c>
      <c r="H102" s="142">
        <f>+H13</f>
        <v>941</v>
      </c>
      <c r="I102" s="875"/>
      <c r="J102" s="143"/>
      <c r="K102" s="375" t="s">
        <v>224</v>
      </c>
      <c r="L102" s="142">
        <f>+L13</f>
        <v>607</v>
      </c>
      <c r="M102" s="951"/>
      <c r="O102" s="375" t="s">
        <v>224</v>
      </c>
      <c r="P102" s="142">
        <f>+P13</f>
        <v>552</v>
      </c>
      <c r="Q102" s="865"/>
      <c r="R102" s="139"/>
      <c r="S102" s="141" t="s">
        <v>224</v>
      </c>
      <c r="T102" s="142">
        <f>+T13</f>
        <v>0</v>
      </c>
      <c r="W102" s="141" t="s">
        <v>224</v>
      </c>
      <c r="X102" s="142">
        <f>+X13</f>
        <v>0</v>
      </c>
      <c r="AA102" s="141" t="s">
        <v>224</v>
      </c>
      <c r="AB102" s="142">
        <f>+AB13</f>
        <v>0</v>
      </c>
    </row>
    <row r="103" spans="1:29" s="137" customFormat="1" ht="11.25" x14ac:dyDescent="0.2">
      <c r="A103" s="158"/>
      <c r="B103" s="942"/>
      <c r="C103" s="944"/>
      <c r="D103" s="145">
        <f>+D101+D102</f>
        <v>1510</v>
      </c>
      <c r="E103" s="866"/>
      <c r="F103" s="144"/>
      <c r="G103" s="375"/>
      <c r="H103" s="145">
        <f>+H101+H102</f>
        <v>22127</v>
      </c>
      <c r="I103" s="875"/>
      <c r="J103" s="143"/>
      <c r="K103" s="375"/>
      <c r="L103" s="145">
        <f>+L101+L102</f>
        <v>22073</v>
      </c>
      <c r="M103" s="865"/>
      <c r="O103" s="375"/>
      <c r="P103" s="145">
        <f>+P101+P102</f>
        <v>22073</v>
      </c>
      <c r="Q103" s="865"/>
      <c r="R103" s="139"/>
      <c r="S103" s="141"/>
      <c r="T103" s="145">
        <f>+T101+T102</f>
        <v>21977</v>
      </c>
      <c r="W103" s="141"/>
      <c r="X103" s="145">
        <f>+X101+X102</f>
        <v>22417</v>
      </c>
      <c r="AA103" s="141"/>
      <c r="AB103" s="145">
        <f>+AB101+AB102</f>
        <v>22864</v>
      </c>
    </row>
    <row r="104" spans="1:29" ht="15" customHeight="1" x14ac:dyDescent="0.25">
      <c r="A104" s="152"/>
      <c r="B104" s="945"/>
      <c r="C104" s="945"/>
      <c r="D104" s="5">
        <f>+D91-D103</f>
        <v>0</v>
      </c>
      <c r="E104" s="863"/>
      <c r="F104" s="2"/>
      <c r="G104" s="376"/>
      <c r="H104" s="5">
        <f>+H91-H103</f>
        <v>0</v>
      </c>
      <c r="K104" s="376"/>
      <c r="L104" s="5">
        <f>+L91-L103</f>
        <v>0</v>
      </c>
      <c r="O104" s="376"/>
      <c r="P104" s="5">
        <f>+P91-P103</f>
        <v>0</v>
      </c>
      <c r="S104" s="103"/>
      <c r="T104" s="5">
        <f>+T91-T103</f>
        <v>0</v>
      </c>
      <c r="W104" s="103"/>
      <c r="X104" s="5">
        <f>+X91-X103</f>
        <v>0</v>
      </c>
      <c r="AA104" s="103"/>
      <c r="AB104" s="5">
        <f>+AB91-AB103</f>
        <v>0</v>
      </c>
    </row>
    <row r="105" spans="1:29" x14ac:dyDescent="0.25">
      <c r="A105" s="152"/>
      <c r="B105" s="945"/>
      <c r="C105" s="945"/>
      <c r="D105" s="36"/>
      <c r="E105" s="863"/>
      <c r="F105" s="2"/>
    </row>
    <row r="106" spans="1:29" x14ac:dyDescent="0.25">
      <c r="A106" s="152"/>
      <c r="B106" s="932"/>
      <c r="C106" s="868"/>
      <c r="D106" s="25"/>
      <c r="E106" s="863"/>
      <c r="F106" s="2"/>
    </row>
    <row r="107" spans="1:29" x14ac:dyDescent="0.25">
      <c r="B107" s="932"/>
      <c r="C107" s="868"/>
      <c r="D107" s="36"/>
    </row>
    <row r="108" spans="1:29" x14ac:dyDescent="0.25">
      <c r="B108" s="932"/>
      <c r="C108" s="868"/>
      <c r="D108" s="36"/>
    </row>
    <row r="109" spans="1:29" ht="15" customHeight="1" x14ac:dyDescent="0.25">
      <c r="B109" s="932"/>
      <c r="C109" s="868"/>
      <c r="D109" s="36"/>
    </row>
    <row r="110" spans="1:29" x14ac:dyDescent="0.25">
      <c r="B110" s="932"/>
      <c r="C110" s="868"/>
      <c r="D110" s="36"/>
    </row>
    <row r="111" spans="1:29" x14ac:dyDescent="0.25">
      <c r="B111" s="932"/>
      <c r="C111" s="868"/>
      <c r="D111" s="36"/>
    </row>
    <row r="112" spans="1:29" ht="15" customHeight="1" x14ac:dyDescent="0.25">
      <c r="B112" s="2209"/>
      <c r="C112" s="2209"/>
      <c r="D112" s="36"/>
    </row>
    <row r="113" spans="2:4" x14ac:dyDescent="0.25">
      <c r="B113" s="2209"/>
      <c r="C113" s="2209"/>
      <c r="D113" s="36"/>
    </row>
    <row r="114" spans="2:4" x14ac:dyDescent="0.25">
      <c r="B114" s="932"/>
      <c r="C114" s="868"/>
      <c r="D114" s="6"/>
    </row>
    <row r="115" spans="2:4" x14ac:dyDescent="0.25">
      <c r="B115" s="932"/>
      <c r="C115" s="868"/>
      <c r="D115" s="36"/>
    </row>
    <row r="116" spans="2:4" x14ac:dyDescent="0.25">
      <c r="B116" s="932"/>
      <c r="C116" s="868"/>
      <c r="D116" s="36"/>
    </row>
    <row r="117" spans="2:4" ht="28.5" customHeight="1" x14ac:dyDescent="0.25">
      <c r="B117" s="932"/>
      <c r="C117" s="868"/>
      <c r="D117" s="25"/>
    </row>
    <row r="118" spans="2:4" x14ac:dyDescent="0.25">
      <c r="B118" s="932"/>
      <c r="C118" s="868"/>
      <c r="D118" s="36"/>
    </row>
    <row r="119" spans="2:4" x14ac:dyDescent="0.25">
      <c r="B119" s="932"/>
      <c r="C119" s="868"/>
      <c r="D119" s="36"/>
    </row>
    <row r="120" spans="2:4" x14ac:dyDescent="0.25">
      <c r="B120" s="932"/>
      <c r="C120" s="868"/>
      <c r="D120" s="36"/>
    </row>
    <row r="121" spans="2:4" x14ac:dyDescent="0.25">
      <c r="B121" s="932"/>
      <c r="C121" s="868"/>
      <c r="D121" s="36"/>
    </row>
    <row r="122" spans="2:4" x14ac:dyDescent="0.25">
      <c r="B122" s="932"/>
      <c r="C122" s="868"/>
      <c r="D122" s="36"/>
    </row>
    <row r="123" spans="2:4" x14ac:dyDescent="0.25">
      <c r="B123" s="932"/>
      <c r="C123" s="868"/>
      <c r="D123" s="36"/>
    </row>
    <row r="124" spans="2:4" x14ac:dyDescent="0.25">
      <c r="B124" s="932"/>
      <c r="C124" s="868"/>
      <c r="D124" s="36"/>
    </row>
    <row r="125" spans="2:4" x14ac:dyDescent="0.25">
      <c r="B125" s="932"/>
      <c r="C125" s="868"/>
      <c r="D125" s="36"/>
    </row>
    <row r="126" spans="2:4" x14ac:dyDescent="0.25">
      <c r="B126" s="932"/>
      <c r="C126" s="868"/>
      <c r="D126" s="36"/>
    </row>
    <row r="127" spans="2:4" x14ac:dyDescent="0.25">
      <c r="B127" s="932"/>
      <c r="C127" s="868"/>
      <c r="D127" s="36"/>
    </row>
    <row r="128" spans="2:4" x14ac:dyDescent="0.25">
      <c r="B128" s="932"/>
      <c r="C128" s="868"/>
      <c r="D128" s="36"/>
    </row>
    <row r="129" spans="2:4" x14ac:dyDescent="0.25">
      <c r="B129" s="932"/>
      <c r="C129" s="868"/>
      <c r="D129" s="36"/>
    </row>
    <row r="130" spans="2:4" x14ac:dyDescent="0.25">
      <c r="B130" s="932"/>
      <c r="C130" s="868"/>
      <c r="D130" s="36"/>
    </row>
    <row r="131" spans="2:4" x14ac:dyDescent="0.25">
      <c r="B131" s="932"/>
      <c r="C131" s="868"/>
      <c r="D131" s="36"/>
    </row>
    <row r="132" spans="2:4" x14ac:dyDescent="0.25">
      <c r="B132" s="932"/>
      <c r="C132" s="868"/>
      <c r="D132" s="36"/>
    </row>
  </sheetData>
  <sheetProtection password="B79F" sheet="1" objects="1" scenarios="1"/>
  <mergeCells count="1">
    <mergeCell ref="B112:C113"/>
  </mergeCells>
  <pageMargins left="0.25" right="0.25" top="0.5" bottom="0.5" header="0.25" footer="0.25"/>
  <pageSetup paperSize="5" scale="73" orientation="portrait" r:id="rId1"/>
  <headerFooter>
    <oddHeader>&amp;L&amp;F</oddHeader>
    <oddFooter>&amp;R&amp;A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25"/>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1.7109375" style="56" customWidth="1"/>
    <col min="2" max="2" width="8.5703125" style="930" customWidth="1"/>
    <col min="3" max="3" width="21.7109375" style="857" customWidth="1"/>
    <col min="4" max="4" width="16" style="2" customWidth="1"/>
    <col min="5" max="5" width="22" style="857" hidden="1" customWidth="1"/>
    <col min="6" max="6" width="6" style="39" customWidth="1"/>
    <col min="7" max="7" width="9.42578125" style="52" bestFit="1" customWidth="1"/>
    <col min="8" max="8" width="13.85546875" style="122" bestFit="1" customWidth="1"/>
    <col min="9" max="9" width="26" style="868" hidden="1" customWidth="1"/>
    <col min="10" max="10" width="5.7109375" style="59" customWidth="1"/>
    <col min="11" max="11" width="10.140625" style="377" customWidth="1"/>
    <col min="12" max="12" width="14" style="123" bestFit="1" customWidth="1"/>
    <col min="13" max="13" width="26" style="857" hidden="1" customWidth="1"/>
    <col min="14" max="14" width="5.7109375" style="39" customWidth="1"/>
    <col min="15" max="15" width="9.42578125" style="377" bestFit="1" customWidth="1"/>
    <col min="16" max="16" width="14" style="2" bestFit="1" customWidth="1"/>
    <col min="17" max="17" width="29.85546875" style="857" hidden="1" customWidth="1"/>
    <col min="18" max="18" width="5.7109375" style="109" customWidth="1"/>
    <col min="19" max="19" width="1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930" t="s">
        <v>61</v>
      </c>
      <c r="C1" s="931" t="s">
        <v>178</v>
      </c>
      <c r="D1" s="97">
        <v>210664</v>
      </c>
      <c r="E1" s="855" t="s">
        <v>215</v>
      </c>
      <c r="F1" s="98"/>
      <c r="G1" s="83">
        <f>IF(D1=0,"0.00%",(H1-D1)/D1)</f>
        <v>0.25604279801010138</v>
      </c>
      <c r="H1" s="99">
        <v>264603</v>
      </c>
      <c r="I1" s="857" t="s">
        <v>1000</v>
      </c>
      <c r="L1" s="122">
        <f>+H1</f>
        <v>264603</v>
      </c>
      <c r="M1" s="855" t="s">
        <v>173</v>
      </c>
      <c r="P1" s="122">
        <f>+L1</f>
        <v>264603</v>
      </c>
      <c r="Q1" s="855" t="s">
        <v>173</v>
      </c>
      <c r="T1" s="86">
        <f>P1</f>
        <v>264603</v>
      </c>
      <c r="U1" s="98"/>
      <c r="X1" s="86">
        <f>T1</f>
        <v>264603</v>
      </c>
      <c r="Y1" s="98"/>
      <c r="AB1" s="86">
        <f>X1</f>
        <v>264603</v>
      </c>
      <c r="AC1" s="98"/>
    </row>
    <row r="2" spans="1:29" ht="17.25" x14ac:dyDescent="0.4">
      <c r="B2" s="932" t="s">
        <v>59</v>
      </c>
      <c r="C2" s="933">
        <v>4035</v>
      </c>
      <c r="D2" s="99">
        <v>-1081.22</v>
      </c>
      <c r="E2" s="855" t="s">
        <v>214</v>
      </c>
      <c r="F2" s="98"/>
      <c r="G2" s="370"/>
      <c r="H2" s="122">
        <v>0</v>
      </c>
      <c r="I2" s="855" t="s">
        <v>218</v>
      </c>
      <c r="L2" s="122">
        <f>-H3</f>
        <v>9482</v>
      </c>
      <c r="M2" s="855" t="s">
        <v>218</v>
      </c>
      <c r="P2" s="122">
        <f>-L3</f>
        <v>10211</v>
      </c>
      <c r="Q2" s="855" t="s">
        <v>218</v>
      </c>
      <c r="T2" s="87">
        <v>0</v>
      </c>
      <c r="U2" s="98"/>
      <c r="X2" s="87">
        <v>0</v>
      </c>
      <c r="Y2" s="98"/>
      <c r="AB2" s="87">
        <v>0</v>
      </c>
      <c r="AC2" s="98"/>
    </row>
    <row r="3" spans="1:29" ht="17.25" x14ac:dyDescent="0.4">
      <c r="D3" s="323">
        <f>+SUM(D1:D2)</f>
        <v>209582.78</v>
      </c>
      <c r="E3" s="856"/>
      <c r="F3" s="100"/>
      <c r="G3" s="83"/>
      <c r="H3" s="99">
        <v>-9482</v>
      </c>
      <c r="I3" s="855" t="s">
        <v>217</v>
      </c>
      <c r="L3" s="87">
        <f>-9777-416-18</f>
        <v>-10211</v>
      </c>
      <c r="M3" s="868" t="s">
        <v>219</v>
      </c>
      <c r="P3" s="87">
        <f>-1350-89-4</f>
        <v>-1443</v>
      </c>
      <c r="Q3" s="868" t="s">
        <v>219</v>
      </c>
      <c r="T3" s="86">
        <f>SUM(T1:T2)</f>
        <v>264603</v>
      </c>
      <c r="U3" s="51"/>
      <c r="X3" s="86">
        <f>SUM(X1:X2)</f>
        <v>264603</v>
      </c>
      <c r="Y3" s="51"/>
      <c r="AB3" s="86">
        <f>SUM(AB1:AB2)</f>
        <v>264603</v>
      </c>
      <c r="AC3" s="51"/>
    </row>
    <row r="4" spans="1:29" x14ac:dyDescent="0.25">
      <c r="H4" s="323">
        <f>+SUM(H1:H3)</f>
        <v>255121</v>
      </c>
      <c r="I4" s="867"/>
      <c r="L4" s="122">
        <f>SUM(L1:L3)</f>
        <v>263874</v>
      </c>
      <c r="M4" s="868"/>
      <c r="P4" s="122">
        <f>SUM(P1:P3)</f>
        <v>273371</v>
      </c>
      <c r="Q4" s="868"/>
      <c r="T4" s="86"/>
      <c r="U4" s="51"/>
      <c r="X4" s="86"/>
      <c r="Y4" s="51"/>
      <c r="AB4" s="86"/>
      <c r="AC4" s="51"/>
    </row>
    <row r="5" spans="1:29" ht="15.75" x14ac:dyDescent="0.25">
      <c r="B5" s="934" t="s">
        <v>56</v>
      </c>
      <c r="P5" s="123"/>
      <c r="T5" s="73"/>
      <c r="X5" s="73"/>
      <c r="AB5" s="73"/>
    </row>
    <row r="6" spans="1:29" s="89" customFormat="1" ht="15.75" x14ac:dyDescent="0.25">
      <c r="A6" s="88"/>
      <c r="B6" s="935"/>
      <c r="C6" s="935"/>
      <c r="D6" s="284" t="s">
        <v>55</v>
      </c>
      <c r="E6" s="858"/>
      <c r="G6" s="371"/>
      <c r="H6" s="324" t="str">
        <f>LEFT(D6,4)+1&amp;"-"&amp;RIGHT(D6,4)+1</f>
        <v>2017-2018</v>
      </c>
      <c r="I6" s="869"/>
      <c r="J6" s="93"/>
      <c r="K6" s="378"/>
      <c r="L6" s="124" t="str">
        <f>LEFT(H6,4)+1&amp;"-"&amp;RIGHT(H6,4)+1</f>
        <v>2018-2019</v>
      </c>
      <c r="M6" s="946"/>
      <c r="N6" s="96"/>
      <c r="O6" s="381"/>
      <c r="P6" s="124" t="str">
        <f>LEFT(L6,4)+1&amp;"-"&amp;RIGHT(L6,4)+1</f>
        <v>2019-2020</v>
      </c>
      <c r="Q6" s="94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936" t="s">
        <v>54</v>
      </c>
      <c r="D7" s="2">
        <v>0</v>
      </c>
      <c r="H7" s="2">
        <f>D88</f>
        <v>0</v>
      </c>
      <c r="I7" s="857"/>
      <c r="J7" s="60"/>
      <c r="L7" s="2">
        <f>H88</f>
        <v>0</v>
      </c>
      <c r="P7" s="2">
        <f>L88</f>
        <v>0</v>
      </c>
      <c r="T7" s="2">
        <f>P88</f>
        <v>0</v>
      </c>
      <c r="X7" s="2">
        <f>T88</f>
        <v>-25562</v>
      </c>
      <c r="AB7" s="2">
        <f>X88</f>
        <v>-47388</v>
      </c>
    </row>
    <row r="8" spans="1:29" x14ac:dyDescent="0.25">
      <c r="H8" s="2"/>
      <c r="I8" s="857"/>
      <c r="L8" s="2"/>
    </row>
    <row r="9" spans="1:29" x14ac:dyDescent="0.25">
      <c r="B9" s="930" t="s">
        <v>52</v>
      </c>
      <c r="C9" s="857" t="s">
        <v>53</v>
      </c>
      <c r="D9" s="2">
        <v>211006</v>
      </c>
      <c r="E9" s="857" t="s">
        <v>212</v>
      </c>
      <c r="G9" s="83">
        <f>IF(D9=0,"0.00%",(H9-D9)/D9)</f>
        <v>0.20906988426869377</v>
      </c>
      <c r="H9" s="3">
        <f>+H1+H3</f>
        <v>255121</v>
      </c>
      <c r="I9" s="857"/>
      <c r="J9" s="61"/>
      <c r="K9" s="83">
        <f>IF(H9=0,"0.00%",(L9-H9)/H9)</f>
        <v>-2.857467633005515E-3</v>
      </c>
      <c r="L9" s="3">
        <f>+L1+L3</f>
        <v>254392</v>
      </c>
      <c r="O9" s="83">
        <f>IF(L9=0,"0.00%",(P9-L9)/L9)</f>
        <v>3.4466492657001795E-2</v>
      </c>
      <c r="P9" s="3">
        <f>+P1+P3</f>
        <v>263160</v>
      </c>
      <c r="Q9" s="857" t="s">
        <v>143</v>
      </c>
      <c r="S9" s="83">
        <f>IF(P9=0,"0.00%",(T9-P9)/P9)</f>
        <v>0</v>
      </c>
      <c r="T9" s="3">
        <f>P9</f>
        <v>263160</v>
      </c>
      <c r="U9" s="39" t="s">
        <v>174</v>
      </c>
      <c r="W9" s="83">
        <f>IF(T9=0,"0.00%",(X9-T9)/T9)</f>
        <v>0</v>
      </c>
      <c r="X9" s="3">
        <f>T9</f>
        <v>263160</v>
      </c>
      <c r="Y9" s="39" t="s">
        <v>174</v>
      </c>
      <c r="AA9" s="83">
        <f>IF(X9=0,"0.00%",(AB9-X9)/X9)</f>
        <v>0</v>
      </c>
      <c r="AB9" s="3">
        <f>X9</f>
        <v>263160</v>
      </c>
      <c r="AC9" s="39" t="s">
        <v>174</v>
      </c>
    </row>
    <row r="10" spans="1:29" x14ac:dyDescent="0.25">
      <c r="C10" s="857" t="s">
        <v>51</v>
      </c>
      <c r="D10" s="2">
        <v>-1081.22</v>
      </c>
      <c r="E10" s="857" t="s">
        <v>211</v>
      </c>
      <c r="G10" s="83">
        <f t="shared" ref="G10:G15" si="0">IF(D10=0,"0.00%",(H10-D10)/D10)</f>
        <v>-1</v>
      </c>
      <c r="H10" s="3">
        <v>0</v>
      </c>
      <c r="I10" s="857"/>
      <c r="J10" s="61"/>
      <c r="K10" s="83" t="str">
        <f>IF(H10=0,"0.00%",(L10-H10)/H10)</f>
        <v>0.00%</v>
      </c>
      <c r="L10" s="3">
        <f>+L2</f>
        <v>9482</v>
      </c>
      <c r="M10" s="857" t="s">
        <v>216</v>
      </c>
      <c r="O10" s="83">
        <f>IF(L10=0,"0.00%",(P10-L10)/L10)</f>
        <v>7.6882514237502642E-2</v>
      </c>
      <c r="P10" s="3">
        <f>+P2</f>
        <v>10211</v>
      </c>
      <c r="Q10" s="857" t="s">
        <v>216</v>
      </c>
      <c r="S10" s="83">
        <f>IF(P10=0,"0.00%",(T10-P10)/P10)</f>
        <v>-2</v>
      </c>
      <c r="T10" s="3">
        <f>-P2</f>
        <v>-10211</v>
      </c>
      <c r="W10" s="83">
        <f>IF(T10=0,"0.00%",(X10-T10)/T10)</f>
        <v>-1</v>
      </c>
      <c r="X10" s="3">
        <f>-T2</f>
        <v>0</v>
      </c>
      <c r="AA10" s="83" t="str">
        <f>IF(X10=0,"0.00%",(AB10-X10)/X10)</f>
        <v>0.00%</v>
      </c>
      <c r="AB10" s="3">
        <f>-X2</f>
        <v>0</v>
      </c>
    </row>
    <row r="11" spans="1:29" x14ac:dyDescent="0.25">
      <c r="B11" s="936" t="s">
        <v>137</v>
      </c>
      <c r="D11" s="8">
        <f>SUM(D9:D10)</f>
        <v>209924.78</v>
      </c>
      <c r="G11" s="83">
        <f t="shared" si="0"/>
        <v>0.21529721264921656</v>
      </c>
      <c r="H11" s="8">
        <f>SUM(H9:H10)</f>
        <v>255121</v>
      </c>
      <c r="I11" s="1292">
        <f>+H11-D11</f>
        <v>45196.22</v>
      </c>
      <c r="J11" s="62"/>
      <c r="K11" s="83">
        <f>IF(H11=0,"0.00%",(L11-H11)/H11)</f>
        <v>3.430921013950243E-2</v>
      </c>
      <c r="L11" s="8">
        <f>SUM(L9:L10)</f>
        <v>263874</v>
      </c>
      <c r="M11" s="1292">
        <f>+L11-H11</f>
        <v>8753</v>
      </c>
      <c r="O11" s="83">
        <f>IF(L11=0,"0.00%",(P11-L11)/L11)</f>
        <v>3.5990662209994161E-2</v>
      </c>
      <c r="P11" s="8">
        <f>SUM(P9:P10)</f>
        <v>273371</v>
      </c>
      <c r="Q11" s="1292">
        <f>+P11-L11</f>
        <v>9497</v>
      </c>
      <c r="S11" s="83">
        <f>IF(P11=0,"0.00%",(T11-P11)/P11)</f>
        <v>-7.4704339523943647E-2</v>
      </c>
      <c r="T11" s="78">
        <f>SUM(T9:T10)</f>
        <v>252949</v>
      </c>
      <c r="W11" s="83">
        <f>IF(T11=0,"0.00%",(X11-T11)/T11)</f>
        <v>4.0367821181344854E-2</v>
      </c>
      <c r="X11" s="78">
        <f>SUM(X9:X10)</f>
        <v>263160</v>
      </c>
      <c r="AA11" s="83">
        <f>IF(X11=0,"0.00%",(AB11-X11)/X11)</f>
        <v>0</v>
      </c>
      <c r="AB11" s="78">
        <f>SUM(AB9:AB10)</f>
        <v>263160</v>
      </c>
    </row>
    <row r="12" spans="1:29" x14ac:dyDescent="0.25">
      <c r="H12" s="3"/>
      <c r="I12" s="857"/>
      <c r="J12" s="63"/>
      <c r="K12" s="52"/>
      <c r="L12" s="3"/>
      <c r="O12" s="52"/>
      <c r="P12" s="3"/>
      <c r="S12" s="46"/>
      <c r="T12" s="44"/>
      <c r="W12" s="46"/>
      <c r="X12" s="44"/>
      <c r="AA12" s="46"/>
      <c r="AB12" s="44"/>
    </row>
    <row r="13" spans="1:29" x14ac:dyDescent="0.25">
      <c r="C13" s="938" t="s">
        <v>64</v>
      </c>
      <c r="D13" s="9">
        <f>ROUND(D11-(D11/(1+E13)),2)</f>
        <v>7490.08</v>
      </c>
      <c r="E13" s="52">
        <f>'2016-17  RS 3010-DO &amp; All Sites'!AD13</f>
        <v>3.6999999999999998E-2</v>
      </c>
      <c r="G13" s="83">
        <f t="shared" si="0"/>
        <v>0.44804861897336212</v>
      </c>
      <c r="H13" s="9">
        <f>ROUND(H11-(H11/(1+I13)),0)</f>
        <v>10846</v>
      </c>
      <c r="I13" s="1069">
        <v>4.4400000000000002E-2</v>
      </c>
      <c r="J13" s="64"/>
      <c r="K13" s="83">
        <f>IF(H13=0,"0.00%",(L13-H13)/H13)</f>
        <v>3.4298358841969391E-2</v>
      </c>
      <c r="L13" s="9">
        <f>ROUND(L11-(L11/(1+M13)),0)</f>
        <v>11218</v>
      </c>
      <c r="M13" s="1069">
        <v>4.4400000000000002E-2</v>
      </c>
      <c r="O13" s="83">
        <f>IF(L13=0,"0.00%",(P13-L13)/L13)</f>
        <v>3.6013549652344448E-2</v>
      </c>
      <c r="P13" s="9">
        <f>ROUND(P11-(P11/(1+Q13)),0)</f>
        <v>11622</v>
      </c>
      <c r="Q13" s="1069">
        <v>4.4400000000000002E-2</v>
      </c>
      <c r="S13" s="83">
        <f>IF(P13=0,"0.00%",(T13-P13)/P13)</f>
        <v>-0.22345551540182412</v>
      </c>
      <c r="T13" s="77">
        <f>ROUND(T11-(T11/(1+E13)),0)</f>
        <v>9025</v>
      </c>
      <c r="W13" s="83">
        <f>IF(T13=0,"0.00%",(X13-T13)/T13)</f>
        <v>4.044321329639889E-2</v>
      </c>
      <c r="X13" s="77">
        <f>ROUND(X11-(X11/(1+E13)),0)</f>
        <v>9390</v>
      </c>
      <c r="AA13" s="83">
        <f>IF(X13=0,"0.00%",(AB13-X13)/X13)</f>
        <v>7.671565495207668</v>
      </c>
      <c r="AB13" s="77">
        <f>ROUND(AB11-(AB11/(1+G13)),0)</f>
        <v>81426</v>
      </c>
    </row>
    <row r="14" spans="1:29" x14ac:dyDescent="0.25">
      <c r="H14" s="3"/>
      <c r="I14" s="857"/>
      <c r="J14" s="63"/>
      <c r="K14" s="52"/>
      <c r="L14" s="3"/>
      <c r="O14" s="52"/>
      <c r="P14" s="3"/>
      <c r="S14" s="46"/>
      <c r="T14" s="44"/>
      <c r="W14" s="46"/>
      <c r="X14" s="44"/>
      <c r="AA14" s="46"/>
      <c r="AB14" s="44"/>
    </row>
    <row r="15" spans="1:29" x14ac:dyDescent="0.25">
      <c r="B15" s="936" t="s">
        <v>50</v>
      </c>
      <c r="D15" s="10">
        <f>D11-D13</f>
        <v>202434.7</v>
      </c>
      <c r="G15" s="83">
        <f t="shared" si="0"/>
        <v>0.20668541509928873</v>
      </c>
      <c r="H15" s="9">
        <f>H11-H13</f>
        <v>244275</v>
      </c>
      <c r="I15" s="1292">
        <f>+H15-D15</f>
        <v>41840.299999999988</v>
      </c>
      <c r="J15" s="62"/>
      <c r="K15" s="83">
        <f>IF(H15=0,"0.00%",(L15-H15)/H15)</f>
        <v>3.4309691945553167E-2</v>
      </c>
      <c r="L15" s="9">
        <f>L11-L13</f>
        <v>252656</v>
      </c>
      <c r="M15" s="1292">
        <f>+L15-H15</f>
        <v>8381</v>
      </c>
      <c r="O15" s="83">
        <f>IF(L15=0,"0.00%",(P15-L15)/L15)</f>
        <v>3.5989646000886583E-2</v>
      </c>
      <c r="P15" s="9">
        <f>P11-P13</f>
        <v>261749</v>
      </c>
      <c r="Q15" s="1292">
        <f>+P15-L15</f>
        <v>9093</v>
      </c>
      <c r="S15" s="83">
        <f>IF(P15=0,"0.00%",(T15-P15)/P15)</f>
        <v>-6.8099591593473133E-2</v>
      </c>
      <c r="T15" s="19">
        <f>T11-T13</f>
        <v>243924</v>
      </c>
      <c r="W15" s="83">
        <f>IF(T15=0,"0.00%",(X15-T15)/T15)</f>
        <v>4.0365031731194961E-2</v>
      </c>
      <c r="X15" s="19">
        <f>X11-X13</f>
        <v>253770</v>
      </c>
      <c r="AA15" s="83">
        <f>IF(X15=0,"0.00%",(AB15-X15)/X15)</f>
        <v>-0.28386334082042797</v>
      </c>
      <c r="AB15" s="19">
        <f>AB11-AB13</f>
        <v>181734</v>
      </c>
    </row>
    <row r="16" spans="1:29" x14ac:dyDescent="0.25">
      <c r="H16" s="3"/>
      <c r="I16" s="857"/>
      <c r="J16" s="62"/>
      <c r="L16" s="3"/>
      <c r="P16" s="3"/>
      <c r="T16" s="49"/>
      <c r="X16" s="49"/>
      <c r="AB16" s="49"/>
    </row>
    <row r="17" spans="1:29" x14ac:dyDescent="0.25">
      <c r="C17" s="930"/>
      <c r="H17" s="3"/>
      <c r="I17" s="857"/>
      <c r="J17" s="63"/>
      <c r="L17" s="3"/>
      <c r="P17" s="3"/>
      <c r="T17" s="44"/>
      <c r="X17" s="44"/>
      <c r="AB17" s="44"/>
    </row>
    <row r="18" spans="1:29" x14ac:dyDescent="0.25">
      <c r="A18" s="32"/>
      <c r="D18" s="29" t="s">
        <v>826</v>
      </c>
      <c r="E18" s="929"/>
      <c r="F18" s="32"/>
      <c r="H18" s="29" t="s">
        <v>177</v>
      </c>
      <c r="I18" s="859"/>
      <c r="J18" s="65"/>
      <c r="M18" s="859"/>
      <c r="Q18" s="859"/>
      <c r="U18" s="32"/>
      <c r="Y18" s="32"/>
      <c r="AC18" s="32"/>
    </row>
    <row r="19" spans="1:29" ht="17.25" x14ac:dyDescent="0.4">
      <c r="A19" s="79"/>
      <c r="D19" s="35" t="s">
        <v>827</v>
      </c>
      <c r="E19" s="860"/>
      <c r="F19" s="34"/>
      <c r="H19" s="35" t="s">
        <v>48</v>
      </c>
      <c r="I19" s="870"/>
      <c r="J19" s="29"/>
      <c r="L19" s="14" t="s">
        <v>48</v>
      </c>
      <c r="M19" s="1003">
        <v>0.02</v>
      </c>
      <c r="N19" s="377"/>
      <c r="P19" s="1059" t="s">
        <v>48</v>
      </c>
      <c r="Q19" s="1003">
        <v>0.02</v>
      </c>
      <c r="T19" s="14" t="s">
        <v>48</v>
      </c>
      <c r="U19" s="104">
        <v>0.02</v>
      </c>
      <c r="X19" s="14" t="s">
        <v>48</v>
      </c>
      <c r="Y19" s="104">
        <v>0.02</v>
      </c>
      <c r="AB19" s="14" t="s">
        <v>48</v>
      </c>
      <c r="AC19" s="104">
        <v>0.02</v>
      </c>
    </row>
    <row r="20" spans="1:29" s="13" customFormat="1" x14ac:dyDescent="0.25">
      <c r="A20" s="58"/>
      <c r="B20" s="936" t="s">
        <v>46</v>
      </c>
      <c r="C20" s="938"/>
      <c r="D20" s="10"/>
      <c r="E20" s="861"/>
      <c r="F20" s="10"/>
      <c r="G20" s="372"/>
      <c r="H20" s="10"/>
      <c r="I20" s="864"/>
      <c r="J20" s="57"/>
      <c r="K20" s="379"/>
      <c r="L20" s="10"/>
      <c r="M20" s="947"/>
      <c r="O20" s="379"/>
      <c r="P20" s="10"/>
      <c r="Q20" s="947"/>
      <c r="R20" s="111"/>
      <c r="T20" s="10"/>
      <c r="U20" s="74"/>
      <c r="X20" s="10"/>
      <c r="Y20" s="74"/>
      <c r="AB20" s="10"/>
      <c r="AC20" s="74"/>
    </row>
    <row r="21" spans="1:29" x14ac:dyDescent="0.25">
      <c r="A21" s="61"/>
      <c r="B21" s="939" t="s">
        <v>179</v>
      </c>
      <c r="C21" s="857" t="s">
        <v>699</v>
      </c>
      <c r="D21" s="2">
        <v>150325.32</v>
      </c>
      <c r="E21" s="863" t="s">
        <v>705</v>
      </c>
      <c r="F21" s="2"/>
      <c r="G21" s="83">
        <f t="shared" ref="G21:G29" si="1">IF(D21=0,"0.00%",(H21-D21)/D21)</f>
        <v>0.19413017048624936</v>
      </c>
      <c r="H21" s="2">
        <v>179508</v>
      </c>
      <c r="I21" s="854" t="s">
        <v>1001</v>
      </c>
      <c r="J21" s="66"/>
      <c r="K21" s="83">
        <f t="shared" ref="K21:K26" si="2">IF(H21=0,"0.00%",(L21-H21)/H21)</f>
        <v>1.9999108674822293E-2</v>
      </c>
      <c r="L21" s="2">
        <f>ROUND(H21*(1+M19),0)</f>
        <v>183098</v>
      </c>
      <c r="M21" s="871" t="str">
        <f>TEXT(M19,"0.0%")&amp;" = Est. S &amp; C"</f>
        <v>2.0% = Est. S &amp; C</v>
      </c>
      <c r="O21" s="83">
        <f t="shared" ref="O21:O26" si="3">IF(L21=0,"0.00%",(P21-L21)/L21)</f>
        <v>2.0000218462244264E-2</v>
      </c>
      <c r="P21" s="2">
        <f>ROUND(L21*(1+Q19),0)</f>
        <v>186760</v>
      </c>
      <c r="Q21" s="871" t="str">
        <f>TEXT(Q19,"0.0%")&amp;" = Est. S &amp; C"</f>
        <v>2.0% = Est. S &amp; C</v>
      </c>
      <c r="S21" s="83">
        <f t="shared" ref="S21:S26" si="4">IF(P21=0,"0.00%",(T21-P21)/P21)</f>
        <v>1.9998929106875132E-2</v>
      </c>
      <c r="T21" s="2">
        <f>ROUND(P21*(1+U19),0)</f>
        <v>190495</v>
      </c>
      <c r="U21" s="36" t="str">
        <f>TEXT(U19,"0.0%")&amp;" = Est. S &amp; C"</f>
        <v>2.0% = Est. S &amp; C</v>
      </c>
      <c r="W21" s="83">
        <f t="shared" ref="W21:W26" si="5">IF(T21=0,"0.00%",(X21-T21)/T21)</f>
        <v>2.0000524948161368E-2</v>
      </c>
      <c r="X21" s="2">
        <f>ROUND(T21*(1+Y19),0)</f>
        <v>194305</v>
      </c>
      <c r="Y21" s="36" t="str">
        <f>TEXT(Y19,"0.0%")&amp;" = Est. S &amp; C"</f>
        <v>2.0% = Est. S &amp; C</v>
      </c>
      <c r="AA21" s="83">
        <f t="shared" ref="AA21:AA26" si="6">IF(X21=0,"0.00%",(AB21-X21)/X21)</f>
        <v>1.9999485345204703E-2</v>
      </c>
      <c r="AB21" s="2">
        <f>ROUND(X21*(1+AC19),0)</f>
        <v>198191</v>
      </c>
      <c r="AC21" s="36" t="str">
        <f>TEXT(AC19,"0.0%")&amp;" = Est. S &amp; C"</f>
        <v>2.0% = Est. S &amp; C</v>
      </c>
    </row>
    <row r="22" spans="1:29" hidden="1" x14ac:dyDescent="0.25">
      <c r="A22" s="66"/>
      <c r="B22" s="939"/>
      <c r="D22" s="2">
        <v>0</v>
      </c>
      <c r="E22" s="863"/>
      <c r="F22" s="2"/>
      <c r="G22" s="83" t="str">
        <f>IF(D22=0,"0.00%",(#REF!-D22)/D22)</f>
        <v>0.00%</v>
      </c>
      <c r="H22" s="108">
        <v>0</v>
      </c>
      <c r="I22" s="959"/>
      <c r="J22" s="66"/>
      <c r="K22" s="1866" t="str">
        <f t="shared" si="2"/>
        <v>0.00%</v>
      </c>
      <c r="L22" s="108">
        <v>0</v>
      </c>
      <c r="M22" s="959"/>
      <c r="N22" s="56"/>
      <c r="O22" s="1866" t="str">
        <f t="shared" si="3"/>
        <v>0.00%</v>
      </c>
      <c r="P22" s="108">
        <v>0</v>
      </c>
      <c r="Q22" s="959"/>
      <c r="S22" s="83" t="str">
        <f t="shared" si="4"/>
        <v>0.00%</v>
      </c>
      <c r="T22" s="2">
        <f>ROUND(P22*(1+U19),0)</f>
        <v>0</v>
      </c>
      <c r="U22" s="36" t="str">
        <f>TEXT(U19,"0.0%")&amp;" = Est. S &amp; C"</f>
        <v>2.0% = Est. S &amp; C</v>
      </c>
      <c r="W22" s="83" t="str">
        <f t="shared" si="5"/>
        <v>0.00%</v>
      </c>
      <c r="X22" s="2">
        <f>ROUND(T22*(1+Y19),0)</f>
        <v>0</v>
      </c>
      <c r="Y22" s="36" t="str">
        <f>TEXT(Y19,"0.0%")&amp;" = Est. S &amp; C"</f>
        <v>2.0% = Est. S &amp; C</v>
      </c>
      <c r="AA22" s="83" t="str">
        <f t="shared" si="6"/>
        <v>0.00%</v>
      </c>
      <c r="AB22" s="2">
        <f>ROUND(X22*(1+AC19),0)</f>
        <v>0</v>
      </c>
      <c r="AC22" s="36" t="str">
        <f>TEXT(AC19,"0.0%")&amp;" = Est. S &amp; C"</f>
        <v>2.0% = Est. S &amp; C</v>
      </c>
    </row>
    <row r="23" spans="1:29" hidden="1" x14ac:dyDescent="0.25">
      <c r="A23" s="66"/>
      <c r="B23" s="939"/>
      <c r="D23" s="2">
        <v>0</v>
      </c>
      <c r="E23" s="863"/>
      <c r="F23" s="2"/>
      <c r="G23" s="83" t="str">
        <f t="shared" si="1"/>
        <v>0.00%</v>
      </c>
      <c r="H23" s="2">
        <f>ROUND(D23*(1+$I$19),0)</f>
        <v>0</v>
      </c>
      <c r="I23" s="871" t="str">
        <f>TEXT($I$19,"0.0%")&amp;" = Est. S &amp; C"</f>
        <v>0.0% = Est. S &amp; C</v>
      </c>
      <c r="J23" s="66"/>
      <c r="K23" s="83" t="str">
        <f t="shared" si="2"/>
        <v>0.00%</v>
      </c>
      <c r="L23" s="108">
        <f>ROUND(H23*(1+M19),0)</f>
        <v>0</v>
      </c>
      <c r="M23" s="959" t="str">
        <f>TEXT(M19,"0.0%")&amp;" = Est. S &amp; C"</f>
        <v>2.0% = Est. S &amp; C</v>
      </c>
      <c r="O23" s="83" t="str">
        <f t="shared" si="3"/>
        <v>0.00%</v>
      </c>
      <c r="P23" s="2">
        <f>ROUND(L23*(1+Q19),0)</f>
        <v>0</v>
      </c>
      <c r="Q23" s="871" t="str">
        <f>TEXT(Q19,"0.0%")&amp;" = Est. S &amp; C"</f>
        <v>2.0% = Est. S &amp; C</v>
      </c>
      <c r="S23" s="83" t="str">
        <f t="shared" si="4"/>
        <v>0.00%</v>
      </c>
      <c r="T23" s="2">
        <f>ROUND(P23*(1+U19),0)</f>
        <v>0</v>
      </c>
      <c r="U23" s="36" t="str">
        <f>TEXT(U19,"0.0%")&amp;" = Est. S &amp; C"</f>
        <v>2.0% = Est. S &amp; C</v>
      </c>
      <c r="W23" s="83" t="str">
        <f t="shared" si="5"/>
        <v>0.00%</v>
      </c>
      <c r="X23" s="2">
        <f>ROUND(T23*(1+Y19),0)</f>
        <v>0</v>
      </c>
      <c r="Y23" s="36" t="str">
        <f>TEXT(Y19,"0.0%")&amp;" = Est. S &amp; C"</f>
        <v>2.0% = Est. S &amp; C</v>
      </c>
      <c r="AA23" s="83" t="str">
        <f t="shared" si="6"/>
        <v>0.00%</v>
      </c>
      <c r="AB23" s="2">
        <f>ROUND(X23*(1+AC19),0)</f>
        <v>0</v>
      </c>
      <c r="AC23" s="36" t="str">
        <f>TEXT(AC19,"0.0%")&amp;" = Est. S &amp; C"</f>
        <v>2.0% = Est. S &amp; C</v>
      </c>
    </row>
    <row r="24" spans="1:29" hidden="1" x14ac:dyDescent="0.25">
      <c r="A24" s="66"/>
      <c r="B24" s="939"/>
      <c r="D24" s="2">
        <v>0</v>
      </c>
      <c r="E24" s="863"/>
      <c r="F24" s="2"/>
      <c r="G24" s="83" t="str">
        <f t="shared" si="1"/>
        <v>0.00%</v>
      </c>
      <c r="H24" s="2">
        <f>ROUND(D24*(1+$I$19),0)</f>
        <v>0</v>
      </c>
      <c r="I24" s="871" t="str">
        <f>TEXT($I$19,"0.0%")&amp;" = Est. S &amp; C"</f>
        <v>0.0% = Est. S &amp; C</v>
      </c>
      <c r="J24" s="66"/>
      <c r="K24" s="83" t="str">
        <f t="shared" si="2"/>
        <v>0.00%</v>
      </c>
      <c r="L24" s="108">
        <f>ROUND(H24*(1+M19),0)</f>
        <v>0</v>
      </c>
      <c r="M24" s="959" t="str">
        <f>TEXT(M19,"0.0%")&amp;" = Est. S &amp; C"</f>
        <v>2.0% = Est. S &amp; C</v>
      </c>
      <c r="O24" s="83" t="str">
        <f t="shared" si="3"/>
        <v>0.00%</v>
      </c>
      <c r="P24" s="2">
        <f>ROUND(L24*(1+Q19),0)</f>
        <v>0</v>
      </c>
      <c r="Q24" s="871" t="str">
        <f>TEXT(Q19,"0.0%")&amp;" = Est. S &amp; C"</f>
        <v>2.0% = Est. S &amp; C</v>
      </c>
      <c r="S24" s="83" t="str">
        <f t="shared" si="4"/>
        <v>0.00%</v>
      </c>
      <c r="T24" s="2">
        <f>ROUND(P24*(1+U19),0)</f>
        <v>0</v>
      </c>
      <c r="U24" s="36" t="str">
        <f>TEXT(U19,"0.0%")&amp;" = Est. S &amp; C"</f>
        <v>2.0% = Est. S &amp; C</v>
      </c>
      <c r="W24" s="83" t="str">
        <f t="shared" si="5"/>
        <v>0.00%</v>
      </c>
      <c r="X24" s="2">
        <f>ROUND(T24*(1+Y19),0)</f>
        <v>0</v>
      </c>
      <c r="Y24" s="36" t="str">
        <f>TEXT(Y19,"0.0%")&amp;" = Est. S &amp; C"</f>
        <v>2.0% = Est. S &amp; C</v>
      </c>
      <c r="AA24" s="83" t="str">
        <f t="shared" si="6"/>
        <v>0.00%</v>
      </c>
      <c r="AB24" s="2">
        <f>ROUND(X24*(1+AC19),0)</f>
        <v>0</v>
      </c>
      <c r="AC24" s="36" t="str">
        <f>TEXT(AC19,"0.0%")&amp;" = Est. S &amp; C"</f>
        <v>2.0% = Est. S &amp; C</v>
      </c>
    </row>
    <row r="25" spans="1:29" hidden="1" x14ac:dyDescent="0.25">
      <c r="A25" s="66"/>
      <c r="B25" s="939"/>
      <c r="D25" s="2">
        <v>0</v>
      </c>
      <c r="E25" s="863"/>
      <c r="F25" s="2"/>
      <c r="G25" s="83" t="str">
        <f t="shared" si="1"/>
        <v>0.00%</v>
      </c>
      <c r="H25" s="2">
        <f>ROUND(D25*(1+$I$19),0)</f>
        <v>0</v>
      </c>
      <c r="I25" s="871" t="str">
        <f>TEXT($I$19,"0.0%")&amp;" = Est. S &amp; C"</f>
        <v>0.0% = Est. S &amp; C</v>
      </c>
      <c r="J25" s="66"/>
      <c r="K25" s="83" t="str">
        <f t="shared" si="2"/>
        <v>0.00%</v>
      </c>
      <c r="L25" s="108">
        <f>ROUND(H25*(1+M19),0)</f>
        <v>0</v>
      </c>
      <c r="M25" s="959" t="str">
        <f>TEXT(M19,"0.0%")&amp;" = Est. S &amp; C"</f>
        <v>2.0% = Est. S &amp; C</v>
      </c>
      <c r="O25" s="83" t="str">
        <f t="shared" si="3"/>
        <v>0.00%</v>
      </c>
      <c r="P25" s="2">
        <f>ROUND(L25*(1+Q19),0)</f>
        <v>0</v>
      </c>
      <c r="Q25" s="871" t="str">
        <f>TEXT(Q19,"0.0%")&amp;" = Est. S &amp; C"</f>
        <v>2.0% = Est. S &amp; C</v>
      </c>
      <c r="S25" s="83" t="str">
        <f t="shared" si="4"/>
        <v>0.00%</v>
      </c>
      <c r="T25" s="2">
        <f>ROUND(P25*(1+U19),0)</f>
        <v>0</v>
      </c>
      <c r="U25" s="36" t="str">
        <f>TEXT(U19,"0.0%")&amp;" = Est. S &amp; C"</f>
        <v>2.0% = Est. S &amp; C</v>
      </c>
      <c r="W25" s="83" t="str">
        <f t="shared" si="5"/>
        <v>0.00%</v>
      </c>
      <c r="X25" s="2">
        <f>ROUND(T25*(1+Y19),0)</f>
        <v>0</v>
      </c>
      <c r="Y25" s="36" t="str">
        <f>TEXT(Y19,"0.0%")&amp;" = Est. S &amp; C"</f>
        <v>2.0% = Est. S &amp; C</v>
      </c>
      <c r="AA25" s="83" t="str">
        <f t="shared" si="6"/>
        <v>0.00%</v>
      </c>
      <c r="AB25" s="2">
        <f>ROUND(X25*(1+AC19),0)</f>
        <v>0</v>
      </c>
      <c r="AC25" s="36" t="str">
        <f>TEXT(AC19,"0.0%")&amp;" = Est. S &amp; C"</f>
        <v>2.0% = Est. S &amp; C</v>
      </c>
    </row>
    <row r="26" spans="1:29" hidden="1" x14ac:dyDescent="0.25">
      <c r="A26" s="66"/>
      <c r="B26" s="939"/>
      <c r="D26" s="2">
        <v>0</v>
      </c>
      <c r="E26" s="863"/>
      <c r="F26" s="2"/>
      <c r="G26" s="83" t="str">
        <f t="shared" si="1"/>
        <v>0.00%</v>
      </c>
      <c r="H26" s="2">
        <f>ROUND(D26*(1+$I$19),0)</f>
        <v>0</v>
      </c>
      <c r="I26" s="871" t="str">
        <f>TEXT($I$19,"0.0%")&amp;" = Est. S &amp; C"</f>
        <v>0.0% = Est. S &amp; C</v>
      </c>
      <c r="J26" s="66"/>
      <c r="K26" s="83" t="str">
        <f t="shared" si="2"/>
        <v>0.00%</v>
      </c>
      <c r="L26" s="108">
        <f>ROUND(H26*(1+M19),0)</f>
        <v>0</v>
      </c>
      <c r="M26" s="1865" t="str">
        <f>TEXT(M19,"0.0%")&amp;" = Est. S &amp; C"</f>
        <v>2.0% = Est. S &amp; C</v>
      </c>
      <c r="O26" s="83" t="str">
        <f t="shared" si="3"/>
        <v>0.00%</v>
      </c>
      <c r="P26" s="2">
        <f>ROUND(L26*(1+Q19),0)</f>
        <v>0</v>
      </c>
      <c r="Q26" s="871" t="str">
        <f>TEXT(Q19,"0.0%")&amp;" = Est. S &amp; C"</f>
        <v>2.0% = Est. S &amp; C</v>
      </c>
      <c r="S26" s="83" t="str">
        <f t="shared" si="4"/>
        <v>0.00%</v>
      </c>
      <c r="T26" s="2">
        <f>ROUND(P26*(1+U19),0)</f>
        <v>0</v>
      </c>
      <c r="U26" s="36" t="str">
        <f>TEXT(U19,"0.0%")&amp;" = Est. S &amp; C"</f>
        <v>2.0% = Est. S &amp; C</v>
      </c>
      <c r="W26" s="83" t="str">
        <f t="shared" si="5"/>
        <v>0.00%</v>
      </c>
      <c r="X26" s="2">
        <f>ROUND(T26*(1+Y19),0)</f>
        <v>0</v>
      </c>
      <c r="Y26" s="36" t="str">
        <f>TEXT(Y19,"0.0%")&amp;" = Est. S &amp; C"</f>
        <v>2.0% = Est. S &amp; C</v>
      </c>
      <c r="AA26" s="83" t="str">
        <f t="shared" si="6"/>
        <v>0.00%</v>
      </c>
      <c r="AB26" s="2">
        <f>ROUND(X26*(1+AC19),0)</f>
        <v>0</v>
      </c>
      <c r="AC26" s="36" t="str">
        <f>TEXT(AC19,"0.0%")&amp;" = Est. S &amp; C"</f>
        <v>2.0% = Est. S &amp; C</v>
      </c>
    </row>
    <row r="27" spans="1:29" hidden="1" x14ac:dyDescent="0.25">
      <c r="A27" s="66"/>
      <c r="B27" s="939"/>
      <c r="E27" s="863"/>
      <c r="F27" s="2"/>
      <c r="G27" s="83"/>
      <c r="H27" s="2"/>
      <c r="I27" s="871"/>
      <c r="J27" s="66"/>
      <c r="L27" s="108"/>
      <c r="M27" s="962"/>
      <c r="Q27" s="948"/>
      <c r="T27" s="2"/>
      <c r="U27" s="73"/>
      <c r="X27" s="2"/>
      <c r="Y27" s="73"/>
      <c r="AB27" s="2"/>
      <c r="AC27" s="73"/>
    </row>
    <row r="28" spans="1:29" x14ac:dyDescent="0.25">
      <c r="A28" s="66"/>
      <c r="B28" s="939"/>
      <c r="E28" s="863"/>
      <c r="F28" s="2"/>
      <c r="G28" s="83"/>
      <c r="H28" s="2"/>
      <c r="I28" s="871"/>
      <c r="J28" s="66"/>
      <c r="L28" s="108"/>
      <c r="M28" s="962"/>
      <c r="P28" s="161"/>
      <c r="Q28" s="1070"/>
      <c r="T28" s="2"/>
      <c r="U28" s="73"/>
      <c r="X28" s="2"/>
      <c r="Y28" s="73"/>
      <c r="AB28" s="2"/>
      <c r="AC28" s="73"/>
    </row>
    <row r="29" spans="1:29" x14ac:dyDescent="0.25">
      <c r="A29" s="29"/>
      <c r="B29" s="939"/>
      <c r="D29" s="8">
        <f>SUM(D21:D28)</f>
        <v>150325.32</v>
      </c>
      <c r="E29" s="863"/>
      <c r="F29" s="2"/>
      <c r="G29" s="83">
        <f t="shared" si="1"/>
        <v>0.19413017048624936</v>
      </c>
      <c r="H29" s="8">
        <f>SUM(H21:H28)</f>
        <v>179508</v>
      </c>
      <c r="I29" s="1292">
        <f>+H29-D29</f>
        <v>29182.679999999993</v>
      </c>
      <c r="J29" s="29"/>
      <c r="K29" s="83">
        <f>IF(H29=0,"0.00%",(L29-H29)/H29)</f>
        <v>1.9999108674822293E-2</v>
      </c>
      <c r="L29" s="121">
        <f>SUM(L21:L28)</f>
        <v>183098</v>
      </c>
      <c r="M29" s="1292">
        <f>+L29-H29</f>
        <v>3590</v>
      </c>
      <c r="O29" s="83">
        <f>IF(L29=0,"0.00%",(P29-L29)/L29)</f>
        <v>2.0000218462244264E-2</v>
      </c>
      <c r="P29" s="8">
        <f>SUM(P21:P28)</f>
        <v>186760</v>
      </c>
      <c r="Q29" s="1292">
        <f>+P29-L29</f>
        <v>3662</v>
      </c>
      <c r="S29" s="83">
        <f>IF(P29=0,"0.00%",(T29-P29)/P29)</f>
        <v>1.9998929106875132E-2</v>
      </c>
      <c r="T29" s="8">
        <f>SUM(T21:T28)</f>
        <v>190495</v>
      </c>
      <c r="U29" s="73"/>
      <c r="W29" s="83">
        <f>IF(T29=0,"0.00%",(X29-T29)/T29)</f>
        <v>2.0000524948161368E-2</v>
      </c>
      <c r="X29" s="8">
        <f>SUM(X21:X28)</f>
        <v>194305</v>
      </c>
      <c r="Y29" s="73"/>
      <c r="AA29" s="83">
        <f>IF(X29=0,"0.00%",(AB29-X29)/X29)</f>
        <v>1.9999485345204703E-2</v>
      </c>
      <c r="AB29" s="8">
        <f>SUM(AB21:AB28)</f>
        <v>198191</v>
      </c>
      <c r="AC29" s="73"/>
    </row>
    <row r="30" spans="1:29" x14ac:dyDescent="0.25">
      <c r="A30" s="66"/>
      <c r="E30" s="863"/>
      <c r="F30" s="2"/>
      <c r="H30" s="2"/>
      <c r="I30" s="974"/>
      <c r="J30" s="66"/>
      <c r="L30" s="2"/>
      <c r="M30" s="949"/>
      <c r="Q30" s="949"/>
      <c r="T30" s="2"/>
      <c r="U30" s="73"/>
      <c r="X30" s="2"/>
      <c r="Y30" s="73"/>
      <c r="AB30" s="2"/>
      <c r="AC30" s="73"/>
    </row>
    <row r="31" spans="1:29" s="4" customFormat="1" x14ac:dyDescent="0.25">
      <c r="A31" s="58"/>
      <c r="B31" s="940" t="s">
        <v>35</v>
      </c>
      <c r="C31" s="873"/>
      <c r="D31" s="6"/>
      <c r="E31" s="864"/>
      <c r="F31" s="6"/>
      <c r="G31" s="373"/>
      <c r="H31" s="6"/>
      <c r="I31" s="864"/>
      <c r="J31" s="57"/>
      <c r="K31" s="380"/>
      <c r="L31" s="6"/>
      <c r="M31" s="950"/>
      <c r="O31" s="380"/>
      <c r="P31" s="6"/>
      <c r="Q31" s="950"/>
      <c r="R31" s="111"/>
      <c r="T31" s="6"/>
      <c r="U31" s="71"/>
      <c r="X31" s="6"/>
      <c r="Y31" s="71"/>
      <c r="AB31" s="6"/>
      <c r="AC31" s="71"/>
    </row>
    <row r="32" spans="1:29" hidden="1" x14ac:dyDescent="0.25">
      <c r="A32" s="66"/>
      <c r="B32" s="939"/>
      <c r="D32" s="2">
        <v>0</v>
      </c>
      <c r="E32" s="863"/>
      <c r="F32" s="2"/>
      <c r="G32" s="83" t="str">
        <f t="shared" ref="G32:G38" si="7">IF(D32=0,"0.00%",(H32-D32)/D32)</f>
        <v>0.00%</v>
      </c>
      <c r="H32" s="2">
        <f t="shared" ref="H32:H38" si="8">ROUND(D32*(1+$I$19),0)</f>
        <v>0</v>
      </c>
      <c r="I32" s="871" t="str">
        <f t="shared" ref="I32:I38" si="9">TEXT($I$19,"0.0%")&amp;" = Est. S &amp; C"</f>
        <v>0.0% = Est. S &amp; C</v>
      </c>
      <c r="J32" s="66"/>
      <c r="K32" s="83" t="str">
        <f t="shared" ref="K32:K38" si="10">IF(H32=0,"0.00%",(L32-H32)/H32)</f>
        <v>0.00%</v>
      </c>
      <c r="L32" s="2">
        <f>ROUND(H32*(1+M19),0)</f>
        <v>0</v>
      </c>
      <c r="M32" s="871" t="str">
        <f>TEXT(M19,"0.0%")&amp;" = Est. S &amp; C"</f>
        <v>2.0% = Est. S &amp; C</v>
      </c>
      <c r="O32" s="83" t="str">
        <f t="shared" ref="O32:O38" si="11">IF(L32=0,"0.00%",(P32-L32)/L32)</f>
        <v>0.00%</v>
      </c>
      <c r="P32" s="2">
        <f>ROUND(L32*(1+Q19),0)</f>
        <v>0</v>
      </c>
      <c r="Q32" s="871" t="str">
        <f>TEXT(Q19,"0.0%")&amp;" = Est. S &amp; C"</f>
        <v>2.0% = Est. S &amp; C</v>
      </c>
      <c r="S32" s="83" t="str">
        <f t="shared" ref="S32:S38" si="12">IF(P32=0,"0.00%",(T32-P32)/P32)</f>
        <v>0.00%</v>
      </c>
      <c r="T32" s="2">
        <f>ROUND(P32*(1+U19),0)</f>
        <v>0</v>
      </c>
      <c r="U32" s="36" t="str">
        <f>TEXT(U19,"0.0%")&amp;" = Est. S &amp; C"</f>
        <v>2.0% = Est. S &amp; C</v>
      </c>
      <c r="W32" s="83" t="str">
        <f t="shared" ref="W32:W38" si="13">IF(T32=0,"0.00%",(X32-T32)/T32)</f>
        <v>0.00%</v>
      </c>
      <c r="X32" s="2">
        <f>ROUND(T32*(1+Y19),0)</f>
        <v>0</v>
      </c>
      <c r="Y32" s="36" t="str">
        <f>TEXT(Y19,"0.0%")&amp;" = Est. S &amp; C"</f>
        <v>2.0% = Est. S &amp; C</v>
      </c>
      <c r="AA32" s="83" t="str">
        <f t="shared" ref="AA32:AA38" si="14">IF(X32=0,"0.00%",(AB32-X32)/X32)</f>
        <v>0.00%</v>
      </c>
      <c r="AB32" s="2">
        <f>ROUND(X32*(1+AC19),0)</f>
        <v>0</v>
      </c>
      <c r="AC32" s="36" t="str">
        <f>TEXT(AC19,"0.0%")&amp;" = Est. S &amp; C"</f>
        <v>2.0% = Est. S &amp; C</v>
      </c>
    </row>
    <row r="33" spans="1:29" hidden="1" x14ac:dyDescent="0.25">
      <c r="A33" s="66"/>
      <c r="B33" s="939"/>
      <c r="D33" s="2">
        <v>0</v>
      </c>
      <c r="E33" s="863"/>
      <c r="F33" s="2"/>
      <c r="G33" s="83" t="str">
        <f t="shared" si="7"/>
        <v>0.00%</v>
      </c>
      <c r="H33" s="2">
        <f t="shared" si="8"/>
        <v>0</v>
      </c>
      <c r="I33" s="871" t="str">
        <f t="shared" si="9"/>
        <v>0.0% = Est. S &amp; C</v>
      </c>
      <c r="J33" s="66"/>
      <c r="K33" s="83" t="str">
        <f t="shared" si="10"/>
        <v>0.00%</v>
      </c>
      <c r="L33" s="2">
        <f>ROUND(H33*(1+M19),0)</f>
        <v>0</v>
      </c>
      <c r="M33" s="871" t="str">
        <f>TEXT(M19,"0.0%")&amp;" = Est. S &amp; C"</f>
        <v>2.0% = Est. S &amp; C</v>
      </c>
      <c r="O33" s="83" t="str">
        <f t="shared" si="11"/>
        <v>0.00%</v>
      </c>
      <c r="P33" s="2">
        <f>ROUND(L33*(1+Q19),0)</f>
        <v>0</v>
      </c>
      <c r="Q33" s="871" t="str">
        <f>TEXT(Q19,"0.0%")&amp;" = Est. S &amp; C"</f>
        <v>2.0% = Est. S &amp; C</v>
      </c>
      <c r="S33" s="83" t="str">
        <f t="shared" si="12"/>
        <v>0.00%</v>
      </c>
      <c r="T33" s="2">
        <f>ROUND(P33*(1+U19),0)</f>
        <v>0</v>
      </c>
      <c r="U33" s="36" t="str">
        <f>TEXT(U19,"0.0%")&amp;" = Est. S &amp; C"</f>
        <v>2.0% = Est. S &amp; C</v>
      </c>
      <c r="W33" s="83" t="str">
        <f t="shared" si="13"/>
        <v>0.00%</v>
      </c>
      <c r="X33" s="2">
        <f>ROUND(T33*(1+Y19),0)</f>
        <v>0</v>
      </c>
      <c r="Y33" s="36" t="str">
        <f>TEXT(Y19,"0.0%")&amp;" = Est. S &amp; C"</f>
        <v>2.0% = Est. S &amp; C</v>
      </c>
      <c r="AA33" s="83" t="str">
        <f t="shared" si="14"/>
        <v>0.00%</v>
      </c>
      <c r="AB33" s="2">
        <f>ROUND(X33*(1+AC19),0)</f>
        <v>0</v>
      </c>
      <c r="AC33" s="36" t="str">
        <f>TEXT(AC19,"0.0%")&amp;" = Est. S &amp; C"</f>
        <v>2.0% = Est. S &amp; C</v>
      </c>
    </row>
    <row r="34" spans="1:29" hidden="1" x14ac:dyDescent="0.25">
      <c r="A34" s="66"/>
      <c r="B34" s="939"/>
      <c r="D34" s="2">
        <v>0</v>
      </c>
      <c r="E34" s="863"/>
      <c r="F34" s="2"/>
      <c r="G34" s="83" t="str">
        <f t="shared" si="7"/>
        <v>0.00%</v>
      </c>
      <c r="H34" s="2">
        <f t="shared" si="8"/>
        <v>0</v>
      </c>
      <c r="I34" s="871" t="str">
        <f t="shared" si="9"/>
        <v>0.0% = Est. S &amp; C</v>
      </c>
      <c r="J34" s="66"/>
      <c r="K34" s="83" t="str">
        <f t="shared" si="10"/>
        <v>0.00%</v>
      </c>
      <c r="L34" s="2">
        <f>ROUND(H34*(1+M19),0)</f>
        <v>0</v>
      </c>
      <c r="M34" s="871" t="str">
        <f>TEXT(M19,"0.0%")&amp;" = Est. S &amp; C"</f>
        <v>2.0% = Est. S &amp; C</v>
      </c>
      <c r="O34" s="83" t="str">
        <f t="shared" si="11"/>
        <v>0.00%</v>
      </c>
      <c r="P34" s="2">
        <f>ROUND(L34*(1+Q19),0)</f>
        <v>0</v>
      </c>
      <c r="Q34" s="871" t="str">
        <f>TEXT(Q19,"0.0%")&amp;" = Est. S &amp; C"</f>
        <v>2.0% = Est. S &amp; C</v>
      </c>
      <c r="S34" s="83" t="str">
        <f t="shared" si="12"/>
        <v>0.00%</v>
      </c>
      <c r="T34" s="2">
        <f>ROUND(P34*(1+U19),0)</f>
        <v>0</v>
      </c>
      <c r="U34" s="36" t="str">
        <f>TEXT(U19,"0.0%")&amp;" = Est. S &amp; C"</f>
        <v>2.0% = Est. S &amp; C</v>
      </c>
      <c r="W34" s="83" t="str">
        <f t="shared" si="13"/>
        <v>0.00%</v>
      </c>
      <c r="X34" s="2">
        <f>ROUND(T34*(1+Y19),0)</f>
        <v>0</v>
      </c>
      <c r="Y34" s="36" t="str">
        <f>TEXT(Y19,"0.0%")&amp;" = Est. S &amp; C"</f>
        <v>2.0% = Est. S &amp; C</v>
      </c>
      <c r="AA34" s="83" t="str">
        <f t="shared" si="14"/>
        <v>0.00%</v>
      </c>
      <c r="AB34" s="2">
        <f>ROUND(X34*(1+AC19),0)</f>
        <v>0</v>
      </c>
      <c r="AC34" s="36" t="str">
        <f>TEXT(AC19,"0.0%")&amp;" = Est. S &amp; C"</f>
        <v>2.0% = Est. S &amp; C</v>
      </c>
    </row>
    <row r="35" spans="1:29" hidden="1" x14ac:dyDescent="0.25">
      <c r="A35" s="66"/>
      <c r="B35" s="939"/>
      <c r="D35" s="2">
        <v>0</v>
      </c>
      <c r="E35" s="863"/>
      <c r="F35" s="2"/>
      <c r="G35" s="83" t="str">
        <f t="shared" si="7"/>
        <v>0.00%</v>
      </c>
      <c r="H35" s="2">
        <f t="shared" si="8"/>
        <v>0</v>
      </c>
      <c r="I35" s="871" t="str">
        <f t="shared" si="9"/>
        <v>0.0% = Est. S &amp; C</v>
      </c>
      <c r="J35" s="66"/>
      <c r="K35" s="83" t="str">
        <f t="shared" si="10"/>
        <v>0.00%</v>
      </c>
      <c r="L35" s="2">
        <f>ROUND(H35*(1+M19),0)</f>
        <v>0</v>
      </c>
      <c r="M35" s="871" t="str">
        <f>TEXT(M19,"0.0%")&amp;" = Est. S &amp; C"</f>
        <v>2.0% = Est. S &amp; C</v>
      </c>
      <c r="O35" s="83" t="str">
        <f t="shared" si="11"/>
        <v>0.00%</v>
      </c>
      <c r="P35" s="2">
        <f>ROUND(L35*(1+Q19),0)</f>
        <v>0</v>
      </c>
      <c r="Q35" s="871" t="str">
        <f>TEXT(Q19,"0.0%")&amp;" = Est. S &amp; C"</f>
        <v>2.0% = Est. S &amp; C</v>
      </c>
      <c r="S35" s="83" t="str">
        <f t="shared" si="12"/>
        <v>0.00%</v>
      </c>
      <c r="T35" s="2">
        <f>ROUND(P35*(1+U19),0)</f>
        <v>0</v>
      </c>
      <c r="U35" s="36" t="str">
        <f>TEXT(U19,"0.0%")&amp;" = Est. S &amp; C"</f>
        <v>2.0% = Est. S &amp; C</v>
      </c>
      <c r="W35" s="83" t="str">
        <f t="shared" si="13"/>
        <v>0.00%</v>
      </c>
      <c r="X35" s="2">
        <f>ROUND(T35*(1+Y19),0)</f>
        <v>0</v>
      </c>
      <c r="Y35" s="36" t="str">
        <f>TEXT(Y19,"0.0%")&amp;" = Est. S &amp; C"</f>
        <v>2.0% = Est. S &amp; C</v>
      </c>
      <c r="AA35" s="83" t="str">
        <f t="shared" si="14"/>
        <v>0.00%</v>
      </c>
      <c r="AB35" s="2">
        <f>ROUND(X35*(1+AC19),0)</f>
        <v>0</v>
      </c>
      <c r="AC35" s="36" t="str">
        <f>TEXT(AC19,"0.0%")&amp;" = Est. S &amp; C"</f>
        <v>2.0% = Est. S &amp; C</v>
      </c>
    </row>
    <row r="36" spans="1:29" hidden="1" x14ac:dyDescent="0.25">
      <c r="A36" s="66"/>
      <c r="B36" s="939"/>
      <c r="D36" s="2">
        <v>0</v>
      </c>
      <c r="E36" s="863"/>
      <c r="F36" s="2"/>
      <c r="G36" s="83" t="str">
        <f t="shared" si="7"/>
        <v>0.00%</v>
      </c>
      <c r="H36" s="2">
        <f t="shared" si="8"/>
        <v>0</v>
      </c>
      <c r="I36" s="871" t="str">
        <f t="shared" si="9"/>
        <v>0.0% = Est. S &amp; C</v>
      </c>
      <c r="J36" s="66"/>
      <c r="K36" s="83" t="str">
        <f t="shared" si="10"/>
        <v>0.00%</v>
      </c>
      <c r="L36" s="2">
        <f>ROUND(H36*(1+M19),0)</f>
        <v>0</v>
      </c>
      <c r="M36" s="871" t="str">
        <f>TEXT(M19,"0.0%")&amp;" = Est. S &amp; C"</f>
        <v>2.0% = Est. S &amp; C</v>
      </c>
      <c r="O36" s="83" t="str">
        <f t="shared" si="11"/>
        <v>0.00%</v>
      </c>
      <c r="P36" s="2">
        <f>ROUND(L36*(1+Q19),0)</f>
        <v>0</v>
      </c>
      <c r="Q36" s="871" t="str">
        <f>TEXT(Q19,"0.0%")&amp;" = Est. S &amp; C"</f>
        <v>2.0% = Est. S &amp; C</v>
      </c>
      <c r="S36" s="83" t="str">
        <f t="shared" si="12"/>
        <v>0.00%</v>
      </c>
      <c r="T36" s="2">
        <f>ROUND(P36*(1+U19),0)</f>
        <v>0</v>
      </c>
      <c r="U36" s="36" t="str">
        <f>TEXT(U19,"0.0%")&amp;" = Est. S &amp; C"</f>
        <v>2.0% = Est. S &amp; C</v>
      </c>
      <c r="W36" s="83" t="str">
        <f t="shared" si="13"/>
        <v>0.00%</v>
      </c>
      <c r="X36" s="2">
        <f>ROUND(T36*(1+Y19),0)</f>
        <v>0</v>
      </c>
      <c r="Y36" s="36" t="str">
        <f>TEXT(Y19,"0.0%")&amp;" = Est. S &amp; C"</f>
        <v>2.0% = Est. S &amp; C</v>
      </c>
      <c r="AA36" s="83" t="str">
        <f t="shared" si="14"/>
        <v>0.00%</v>
      </c>
      <c r="AB36" s="2">
        <f>ROUND(X36*(1+AC19),0)</f>
        <v>0</v>
      </c>
      <c r="AC36" s="36" t="str">
        <f>TEXT(AC19,"0.0%")&amp;" = Est. S &amp; C"</f>
        <v>2.0% = Est. S &amp; C</v>
      </c>
    </row>
    <row r="37" spans="1:29" hidden="1" x14ac:dyDescent="0.25">
      <c r="A37" s="66"/>
      <c r="B37" s="939"/>
      <c r="D37" s="2">
        <v>0</v>
      </c>
      <c r="E37" s="863"/>
      <c r="F37" s="2"/>
      <c r="G37" s="83" t="str">
        <f t="shared" si="7"/>
        <v>0.00%</v>
      </c>
      <c r="H37" s="2">
        <f t="shared" si="8"/>
        <v>0</v>
      </c>
      <c r="I37" s="871" t="str">
        <f t="shared" si="9"/>
        <v>0.0% = Est. S &amp; C</v>
      </c>
      <c r="J37" s="66"/>
      <c r="K37" s="83" t="str">
        <f t="shared" si="10"/>
        <v>0.00%</v>
      </c>
      <c r="L37" s="2">
        <f>ROUND(H37*(1+M19),0)</f>
        <v>0</v>
      </c>
      <c r="M37" s="871" t="str">
        <f>TEXT(M19,"0.0%")&amp;" = Est. S &amp; C"</f>
        <v>2.0% = Est. S &amp; C</v>
      </c>
      <c r="O37" s="83" t="str">
        <f t="shared" si="11"/>
        <v>0.00%</v>
      </c>
      <c r="P37" s="2">
        <f>ROUND(L37*(1+Q19),0)</f>
        <v>0</v>
      </c>
      <c r="Q37" s="871" t="str">
        <f>TEXT(Q19,"0.0%")&amp;" = Est. S &amp; C"</f>
        <v>2.0% = Est. S &amp; C</v>
      </c>
      <c r="S37" s="83" t="str">
        <f t="shared" si="12"/>
        <v>0.00%</v>
      </c>
      <c r="T37" s="2">
        <f>ROUND(P37*(1+U19),0)</f>
        <v>0</v>
      </c>
      <c r="U37" s="36" t="str">
        <f>TEXT(U19,"0.0%")&amp;" = Est. S &amp; C"</f>
        <v>2.0% = Est. S &amp; C</v>
      </c>
      <c r="W37" s="83" t="str">
        <f t="shared" si="13"/>
        <v>0.00%</v>
      </c>
      <c r="X37" s="2">
        <f>ROUND(T37*(1+Y19),0)</f>
        <v>0</v>
      </c>
      <c r="Y37" s="36" t="str">
        <f>TEXT(Y19,"0.0%")&amp;" = Est. S &amp; C"</f>
        <v>2.0% = Est. S &amp; C</v>
      </c>
      <c r="AA37" s="83" t="str">
        <f t="shared" si="14"/>
        <v>0.00%</v>
      </c>
      <c r="AB37" s="2">
        <f>ROUND(X37*(1+AC19),0)</f>
        <v>0</v>
      </c>
      <c r="AC37" s="36" t="str">
        <f>TEXT(AC19,"0.0%")&amp;" = Est. S &amp; C"</f>
        <v>2.0% = Est. S &amp; C</v>
      </c>
    </row>
    <row r="38" spans="1:29" hidden="1" x14ac:dyDescent="0.25">
      <c r="A38" s="66"/>
      <c r="B38" s="939"/>
      <c r="D38" s="2">
        <v>0</v>
      </c>
      <c r="E38" s="863"/>
      <c r="F38" s="2"/>
      <c r="G38" s="83" t="str">
        <f t="shared" si="7"/>
        <v>0.00%</v>
      </c>
      <c r="H38" s="2">
        <f t="shared" si="8"/>
        <v>0</v>
      </c>
      <c r="I38" s="871" t="str">
        <f t="shared" si="9"/>
        <v>0.0% = Est. S &amp; C</v>
      </c>
      <c r="J38" s="66"/>
      <c r="K38" s="83" t="str">
        <f t="shared" si="10"/>
        <v>0.00%</v>
      </c>
      <c r="L38" s="2">
        <f>ROUND(H38*(1+M19),0)</f>
        <v>0</v>
      </c>
      <c r="M38" s="871" t="str">
        <f>TEXT(M19,"0.0%")&amp;" = Est. S &amp; C"</f>
        <v>2.0% = Est. S &amp; C</v>
      </c>
      <c r="O38" s="83" t="str">
        <f t="shared" si="11"/>
        <v>0.00%</v>
      </c>
      <c r="P38" s="2">
        <f>ROUND(L38*(1+Q19),0)</f>
        <v>0</v>
      </c>
      <c r="Q38" s="871" t="str">
        <f>TEXT(Q19,"0.0%")&amp;" = Est. S &amp; C"</f>
        <v>2.0% = Est. S &amp; C</v>
      </c>
      <c r="S38" s="83" t="str">
        <f t="shared" si="12"/>
        <v>0.00%</v>
      </c>
      <c r="T38" s="2">
        <f>ROUND(P38*(1+U19),0)</f>
        <v>0</v>
      </c>
      <c r="U38" s="36" t="str">
        <f>TEXT(U19,"0.0%")&amp;" = Est. S &amp; C"</f>
        <v>2.0% = Est. S &amp; C</v>
      </c>
      <c r="W38" s="83" t="str">
        <f t="shared" si="13"/>
        <v>0.00%</v>
      </c>
      <c r="X38" s="2">
        <f>ROUND(T38*(1+Y19),0)</f>
        <v>0</v>
      </c>
      <c r="Y38" s="36" t="str">
        <f>TEXT(Y19,"0.0%")&amp;" = Est. S &amp; C"</f>
        <v>2.0% = Est. S &amp; C</v>
      </c>
      <c r="AA38" s="83" t="str">
        <f t="shared" si="14"/>
        <v>0.00%</v>
      </c>
      <c r="AB38" s="2">
        <f>ROUND(X38*(1+AC19),0)</f>
        <v>0</v>
      </c>
      <c r="AC38" s="36" t="str">
        <f>TEXT(AC19,"0.0%")&amp;" = Est. S &amp; C"</f>
        <v>2.0% = Est. S &amp; C</v>
      </c>
    </row>
    <row r="39" spans="1:29" ht="6" hidden="1" customHeight="1" x14ac:dyDescent="0.25">
      <c r="A39" s="66"/>
      <c r="B39" s="939"/>
      <c r="E39" s="863"/>
      <c r="F39" s="2"/>
      <c r="H39" s="2"/>
      <c r="I39" s="871"/>
      <c r="J39" s="66"/>
      <c r="L39" s="2"/>
      <c r="M39" s="948"/>
      <c r="Q39" s="948"/>
      <c r="T39" s="2"/>
      <c r="U39" s="73"/>
      <c r="X39" s="2"/>
      <c r="Y39" s="73"/>
      <c r="AB39" s="2"/>
      <c r="AC39" s="73"/>
    </row>
    <row r="40" spans="1:29" x14ac:dyDescent="0.25">
      <c r="A40" s="29"/>
      <c r="B40" s="939"/>
      <c r="D40" s="8">
        <f>SUM(D32:D39)</f>
        <v>0</v>
      </c>
      <c r="E40" s="863"/>
      <c r="F40" s="2"/>
      <c r="G40" s="83" t="str">
        <f>IF(D40=0,"0.00%",(H40-D40)/D40)</f>
        <v>0.00%</v>
      </c>
      <c r="H40" s="8">
        <f>SUM(H32:H39)</f>
        <v>0</v>
      </c>
      <c r="I40" s="872"/>
      <c r="J40" s="29"/>
      <c r="K40" s="83" t="str">
        <f>IF(H40=0,"0.00%",(L40-H40)/H40)</f>
        <v>0.00%</v>
      </c>
      <c r="L40" s="8">
        <f>SUM(L32:L39)</f>
        <v>0</v>
      </c>
      <c r="M40" s="948"/>
      <c r="O40" s="83" t="str">
        <f>IF(L40=0,"0.00%",(P40-L40)/L40)</f>
        <v>0.00%</v>
      </c>
      <c r="P40" s="8">
        <f>SUM(P32:P39)</f>
        <v>0</v>
      </c>
      <c r="Q40" s="948"/>
      <c r="S40" s="83" t="str">
        <f>IF(P40=0,"0.00%",(T40-P40)/P40)</f>
        <v>0.00%</v>
      </c>
      <c r="T40" s="8">
        <f>SUM(T32:T39)</f>
        <v>0</v>
      </c>
      <c r="U40" s="73"/>
      <c r="W40" s="83" t="str">
        <f>IF(T40=0,"0.00%",(X40-T40)/T40)</f>
        <v>0.00%</v>
      </c>
      <c r="X40" s="8">
        <f>SUM(X32:X39)</f>
        <v>0</v>
      </c>
      <c r="Y40" s="73"/>
      <c r="AA40" s="83" t="str">
        <f>IF(X40=0,"0.00%",(AB40-X40)/X40)</f>
        <v>0.00%</v>
      </c>
      <c r="AB40" s="8">
        <f>SUM(AB32:AB39)</f>
        <v>0</v>
      </c>
      <c r="AC40" s="73"/>
    </row>
    <row r="41" spans="1:29" x14ac:dyDescent="0.25">
      <c r="A41" s="66"/>
      <c r="B41" s="930" t="s">
        <v>28</v>
      </c>
      <c r="E41" s="863"/>
      <c r="F41" s="2"/>
      <c r="H41" s="2"/>
      <c r="I41" s="871"/>
      <c r="J41" s="66"/>
      <c r="L41" s="2"/>
      <c r="M41" s="948"/>
      <c r="Q41" s="948"/>
      <c r="T41" s="2"/>
      <c r="U41" s="73"/>
      <c r="X41" s="2"/>
      <c r="Y41" s="73"/>
      <c r="AB41" s="2"/>
      <c r="AC41" s="73"/>
    </row>
    <row r="42" spans="1:29" x14ac:dyDescent="0.25">
      <c r="A42" s="57"/>
      <c r="B42" s="936" t="s">
        <v>27</v>
      </c>
      <c r="E42" s="863"/>
      <c r="F42" s="2"/>
      <c r="H42" s="2"/>
      <c r="I42" s="871"/>
      <c r="J42" s="66"/>
      <c r="L42" s="2"/>
      <c r="M42" s="948"/>
      <c r="Q42" s="948"/>
      <c r="T42" s="2"/>
      <c r="U42" s="73"/>
      <c r="X42" s="2"/>
      <c r="Y42" s="73"/>
      <c r="AB42" s="2"/>
      <c r="AC42" s="73"/>
    </row>
    <row r="43" spans="1:29" x14ac:dyDescent="0.25">
      <c r="A43" s="66"/>
      <c r="B43" s="939" t="s">
        <v>83</v>
      </c>
      <c r="C43" s="857" t="s">
        <v>76</v>
      </c>
      <c r="D43" s="2">
        <v>19201.38</v>
      </c>
      <c r="E43" s="854" t="str">
        <f>TEXT('MYP Assumptions'!$D$55,"0.00%")&amp;", STRS rate"</f>
        <v>12.58%, STRS rate</v>
      </c>
      <c r="F43" s="2"/>
      <c r="G43" s="83">
        <f t="shared" ref="G43:G52" si="15">IF(D43=0,"0.00%",(H43-D43)/D43)</f>
        <v>0.34901762269170228</v>
      </c>
      <c r="H43" s="2">
        <v>25903</v>
      </c>
      <c r="I43" s="854" t="str">
        <f>TEXT('MYP Assumptions'!E55,"0.00%")&amp;", projected STRS rate"</f>
        <v>14.43%, projected STRS rate</v>
      </c>
      <c r="J43" s="66"/>
      <c r="K43" s="83">
        <f t="shared" ref="K43:K52" si="16">IF(H43=0,"0.00%",(L43-H43)/H43)</f>
        <v>0.15075473883333976</v>
      </c>
      <c r="L43" s="2">
        <f>ROUND(L29*LEFT(M43,6),0)</f>
        <v>29808</v>
      </c>
      <c r="M43" s="854" t="str">
        <f>TEXT('MYP Assumptions'!F55,"0.00%")&amp;", projected STRS rate"</f>
        <v>16.28%, projected STRS rate</v>
      </c>
      <c r="O43" s="83">
        <f t="shared" ref="O43:O52" si="17">IF(L43=0,"0.00%",(P43-L43)/L43)</f>
        <v>0.1358695652173913</v>
      </c>
      <c r="P43" s="2">
        <f>ROUND(P29*LEFT(Q43,6),0)-2</f>
        <v>33858</v>
      </c>
      <c r="Q43" s="854" t="str">
        <f>TEXT('MYP Assumptions'!G55,"0.00%")&amp;", projected STRS rate"</f>
        <v>18.13%, projected STRS rate</v>
      </c>
      <c r="S43" s="83">
        <f t="shared" ref="S43:S52" si="18">IF(P43=0,"0.00%",(T43-P43)/P43)</f>
        <v>7.4635241301907962E-2</v>
      </c>
      <c r="T43" s="2">
        <f>ROUND(T29*LEFT(U43,6),0)</f>
        <v>36385</v>
      </c>
      <c r="U43" s="81" t="str">
        <f>TEXT('MYP Assumptions'!H55,"0.00%")&amp;", projected STRS rate"</f>
        <v>19.10%, projected STRS rate</v>
      </c>
      <c r="W43" s="83">
        <f t="shared" ref="W43:W52" si="19">IF(T43=0,"0.00%",(X43-T43)/T43)</f>
        <v>1.9980761302734643E-2</v>
      </c>
      <c r="X43" s="2">
        <f>ROUND(X29*LEFT(Y43,6),0)</f>
        <v>37112</v>
      </c>
      <c r="Y43" s="81" t="str">
        <f>TEXT('MYP Assumptions'!I55,"0.00%")&amp;", projected STRS rate"</f>
        <v>19.10%, projected STRS rate</v>
      </c>
      <c r="AA43" s="83">
        <f t="shared" ref="AA43:AA52" si="20">IF(X43=0,"0.00%",(AB43-X43)/X43)</f>
        <v>1.9993533089027807E-2</v>
      </c>
      <c r="AB43" s="2">
        <f>ROUND(AB29*LEFT(AC43,6),0)</f>
        <v>37854</v>
      </c>
      <c r="AC43" s="81" t="str">
        <f>TEXT('MYP Assumptions'!J55,"0.00%")&amp;", projected STRS rate"</f>
        <v>19.10%, projected STRS rate</v>
      </c>
    </row>
    <row r="44" spans="1:29" x14ac:dyDescent="0.25">
      <c r="A44" s="66"/>
      <c r="B44" s="939" t="s">
        <v>84</v>
      </c>
      <c r="C44" s="857" t="s">
        <v>77</v>
      </c>
      <c r="D44" s="2">
        <v>0</v>
      </c>
      <c r="E44" s="854" t="str">
        <f>TEXT('MYP Assumptions'!$D$56,"0.00%")&amp;", PERS rate"</f>
        <v>13.89%, PERS rate</v>
      </c>
      <c r="F44" s="2"/>
      <c r="G44" s="83" t="str">
        <f t="shared" si="15"/>
        <v>0.00%</v>
      </c>
      <c r="H44" s="2">
        <v>0</v>
      </c>
      <c r="I44" s="854" t="str">
        <f>TEXT('MYP Assumptions'!E56,"0.00%")&amp;", projected PERS rate"</f>
        <v>15.53%, projected PERS rate</v>
      </c>
      <c r="J44" s="66"/>
      <c r="K44" s="83" t="str">
        <f t="shared" si="16"/>
        <v>0.00%</v>
      </c>
      <c r="L44" s="2">
        <f>ROUND(L40*LEFT(M44,6),0)</f>
        <v>0</v>
      </c>
      <c r="M44" s="854" t="str">
        <f>TEXT('MYP Assumptions'!F56,"0.00%")&amp;", projected PERS rate"</f>
        <v>18.10%, projected PERS rate</v>
      </c>
      <c r="O44" s="83" t="str">
        <f t="shared" si="17"/>
        <v>0.00%</v>
      </c>
      <c r="P44" s="2">
        <f>ROUND(P40*LEFT(Q44,6),0)</f>
        <v>0</v>
      </c>
      <c r="Q44" s="854" t="str">
        <f>TEXT('MYP Assumptions'!G56,"0.00%")&amp;", projected PERS rate"</f>
        <v>20.80%, projected PERS rate</v>
      </c>
      <c r="S44" s="83" t="str">
        <f t="shared" si="18"/>
        <v>0.00%</v>
      </c>
      <c r="T44" s="2">
        <f>ROUND(T40*LEFT(U44,6),0)</f>
        <v>0</v>
      </c>
      <c r="U44" s="81" t="str">
        <f>TEXT('MYP Assumptions'!H56,"0.00%")&amp;", projected PERS rate"</f>
        <v>23.80%, projected PERS rate</v>
      </c>
      <c r="W44" s="83" t="str">
        <f t="shared" si="19"/>
        <v>0.00%</v>
      </c>
      <c r="X44" s="2">
        <f>ROUND(X40*LEFT(Y44,6),0)</f>
        <v>0</v>
      </c>
      <c r="Y44" s="81" t="str">
        <f>TEXT('MYP Assumptions'!I56,"0.00%")&amp;", projected PERS rate"</f>
        <v>25.20%, projected PERS rate</v>
      </c>
      <c r="AA44" s="83" t="str">
        <f t="shared" si="20"/>
        <v>0.00%</v>
      </c>
      <c r="AB44" s="2">
        <f>ROUND(AB40*LEFT(AC44,6),0)</f>
        <v>0</v>
      </c>
      <c r="AC44" s="81" t="str">
        <f>TEXT('MYP Assumptions'!J56,"0.00%")&amp;", projected PERS rate"</f>
        <v>26.10%, projected PERS rate</v>
      </c>
    </row>
    <row r="45" spans="1:29" x14ac:dyDescent="0.25">
      <c r="A45" s="66"/>
      <c r="B45" s="939" t="s">
        <v>85</v>
      </c>
      <c r="C45" s="857" t="s">
        <v>78</v>
      </c>
      <c r="D45" s="2">
        <v>0</v>
      </c>
      <c r="E45" s="854" t="str">
        <f>TEXT('MYP Assumptions'!$D$57,"0.00%")&amp;", SS rate"</f>
        <v>6.20%, SS rate</v>
      </c>
      <c r="F45" s="2"/>
      <c r="G45" s="83" t="str">
        <f t="shared" si="15"/>
        <v>0.00%</v>
      </c>
      <c r="H45" s="2">
        <v>0</v>
      </c>
      <c r="I45" s="854" t="str">
        <f>TEXT('MYP Assumptions'!E57,"0.00%")&amp;", no rate change"</f>
        <v>6.20%, no rate change</v>
      </c>
      <c r="J45" s="66"/>
      <c r="K45" s="83" t="str">
        <f t="shared" si="16"/>
        <v>0.00%</v>
      </c>
      <c r="L45" s="2">
        <f>ROUND(L40*LEFT(M45,5),0)</f>
        <v>0</v>
      </c>
      <c r="M45" s="854" t="str">
        <f>TEXT('MYP Assumptions'!F57,"0.00%")&amp;", no rate change"</f>
        <v>6.20%, no rate change</v>
      </c>
      <c r="O45" s="83" t="str">
        <f t="shared" si="17"/>
        <v>0.00%</v>
      </c>
      <c r="P45" s="2">
        <f>ROUND(P40*LEFT(Q45,5),0)</f>
        <v>0</v>
      </c>
      <c r="Q45" s="854" t="str">
        <f>TEXT('MYP Assumptions'!G57,"0.00%")&amp;", no rate change"</f>
        <v>6.20%, no rate change</v>
      </c>
      <c r="S45" s="83" t="str">
        <f t="shared" si="18"/>
        <v>0.00%</v>
      </c>
      <c r="T45" s="2">
        <f>ROUND(T40*LEFT(U45,5),0)</f>
        <v>0</v>
      </c>
      <c r="U45" s="81" t="str">
        <f>TEXT('MYP Assumptions'!H57,"0.00%")&amp;", no rate change"</f>
        <v>6.20%, no rate change</v>
      </c>
      <c r="W45" s="83" t="str">
        <f t="shared" si="19"/>
        <v>0.00%</v>
      </c>
      <c r="X45" s="2">
        <f>ROUND(X40*LEFT(Y45,5),0)</f>
        <v>0</v>
      </c>
      <c r="Y45" s="81" t="str">
        <f>TEXT('MYP Assumptions'!I57,"0.00%")&amp;", no rate change"</f>
        <v>6.20%, no rate change</v>
      </c>
      <c r="AA45" s="83" t="str">
        <f t="shared" si="20"/>
        <v>0.00%</v>
      </c>
      <c r="AB45" s="2">
        <f>ROUND(AB40*LEFT(AC45,5),0)</f>
        <v>0</v>
      </c>
      <c r="AC45" s="81" t="str">
        <f>TEXT('MYP Assumptions'!J57,"0.00%")&amp;", no rate change"</f>
        <v>6.20%, no rate change</v>
      </c>
    </row>
    <row r="46" spans="1:29" x14ac:dyDescent="0.25">
      <c r="A46" s="66"/>
      <c r="B46" s="939" t="s">
        <v>86</v>
      </c>
      <c r="C46" s="857" t="s">
        <v>79</v>
      </c>
      <c r="D46" s="2">
        <v>2178.37</v>
      </c>
      <c r="E46" s="854" t="str">
        <f>TEXT('MYP Assumptions'!$D$58,"0.00%")&amp;", Medicare rate"</f>
        <v>1.45%, Medicare rate</v>
      </c>
      <c r="F46" s="2"/>
      <c r="G46" s="83">
        <f t="shared" si="15"/>
        <v>0.14167932903960306</v>
      </c>
      <c r="H46" s="2">
        <v>2487</v>
      </c>
      <c r="I46" s="854" t="str">
        <f>TEXT('MYP Assumptions'!E58,"0.00%")&amp;", no rate change"</f>
        <v>1.45%, no rate change</v>
      </c>
      <c r="J46" s="66"/>
      <c r="K46" s="83">
        <f t="shared" si="16"/>
        <v>6.7551266586248493E-2</v>
      </c>
      <c r="L46" s="2">
        <f>ROUND((L40+L29)*LEFT(M46,5),0)</f>
        <v>2655</v>
      </c>
      <c r="M46" s="854" t="str">
        <f>TEXT('MYP Assumptions'!F58,"0.00%")&amp;", no rate change"</f>
        <v>1.45%, no rate change</v>
      </c>
      <c r="O46" s="83">
        <f t="shared" si="17"/>
        <v>1.9962335216572504E-2</v>
      </c>
      <c r="P46" s="2">
        <f>ROUND((P40+P29)*LEFT(Q46,5),0)</f>
        <v>2708</v>
      </c>
      <c r="Q46" s="854" t="str">
        <f>TEXT('MYP Assumptions'!G58,"0.00%")&amp;", no rate change"</f>
        <v>1.45%, no rate change</v>
      </c>
      <c r="S46" s="83">
        <f t="shared" si="18"/>
        <v>1.9940915805022157E-2</v>
      </c>
      <c r="T46" s="2">
        <f>ROUND((T40+T29)*LEFT(U46,5),0)</f>
        <v>2762</v>
      </c>
      <c r="U46" s="81" t="str">
        <f>TEXT('MYP Assumptions'!H58,"0.00%")&amp;", no rate change"</f>
        <v>1.45%, no rate change</v>
      </c>
      <c r="W46" s="83">
        <f t="shared" si="19"/>
        <v>1.9913106444605359E-2</v>
      </c>
      <c r="X46" s="2">
        <f>ROUND((X40+X29)*LEFT(Y46,5),0)</f>
        <v>2817</v>
      </c>
      <c r="Y46" s="81" t="str">
        <f>TEXT('MYP Assumptions'!I58,"0.00%")&amp;", no rate change"</f>
        <v>1.45%, no rate change</v>
      </c>
      <c r="AA46" s="83">
        <f t="shared" si="20"/>
        <v>2.0234291799787009E-2</v>
      </c>
      <c r="AB46" s="2">
        <f>ROUND((AB40+AB29)*LEFT(AC46,5),0)</f>
        <v>2874</v>
      </c>
      <c r="AC46" s="81" t="str">
        <f>TEXT('MYP Assumptions'!J58,"0.00%")&amp;", no rate change"</f>
        <v>1.45%, no rate change</v>
      </c>
    </row>
    <row r="47" spans="1:29" x14ac:dyDescent="0.25">
      <c r="A47" s="66"/>
      <c r="B47" s="939" t="s">
        <v>87</v>
      </c>
      <c r="C47" s="857" t="s">
        <v>80</v>
      </c>
      <c r="D47" s="2">
        <v>11321.41</v>
      </c>
      <c r="E47" s="854"/>
      <c r="F47" s="2"/>
      <c r="G47" s="83">
        <f t="shared" si="15"/>
        <v>0.53028642192094455</v>
      </c>
      <c r="H47" s="2">
        <v>17325</v>
      </c>
      <c r="I47" s="854"/>
      <c r="J47" s="66"/>
      <c r="K47" s="83">
        <f t="shared" si="16"/>
        <v>7.0014430014430015E-2</v>
      </c>
      <c r="L47" s="2">
        <f>ROUND((H47)*(LEFT(M47,5)+1),0)</f>
        <v>18538</v>
      </c>
      <c r="M47" s="854" t="str">
        <f>TEXT('MYP Assumptions'!$M$65,"0.00%")&amp;", projected increase"</f>
        <v>7.00%, projected increase</v>
      </c>
      <c r="O47" s="83">
        <f t="shared" si="17"/>
        <v>7.0018340705577733E-2</v>
      </c>
      <c r="P47" s="2">
        <f>ROUND((L47)*(LEFT(Q47,5)+1),0)</f>
        <v>19836</v>
      </c>
      <c r="Q47" s="854" t="str">
        <f>TEXT('MYP Assumptions'!$M$65,"0.00%")&amp;", projected increase"</f>
        <v>7.00%, projected increase</v>
      </c>
      <c r="S47" s="83">
        <f t="shared" si="18"/>
        <v>7.0024198427102238E-2</v>
      </c>
      <c r="T47" s="2">
        <f>ROUND((P47)*(LEFT(U47,5)+1),0)</f>
        <v>21225</v>
      </c>
      <c r="U47" s="81" t="str">
        <f>TEXT('MYP Assumptions'!$M$65,"0.00%")&amp;", projected increase"</f>
        <v>7.00%, projected increase</v>
      </c>
      <c r="W47" s="83">
        <f t="shared" si="19"/>
        <v>7.0011778563015312E-2</v>
      </c>
      <c r="X47" s="2">
        <f>ROUND((T47)*(LEFT(Y47,5)+1),0)</f>
        <v>22711</v>
      </c>
      <c r="Y47" s="81" t="str">
        <f>TEXT('MYP Assumptions'!$M$65,"0.00%")&amp;", projected increase"</f>
        <v>7.00%, projected increase</v>
      </c>
      <c r="AA47" s="83">
        <f t="shared" si="20"/>
        <v>7.0010127251111789E-2</v>
      </c>
      <c r="AB47" s="2">
        <f>ROUND((X47)*(LEFT(AC47,5)+1),0)</f>
        <v>24301</v>
      </c>
      <c r="AC47" s="81" t="str">
        <f>TEXT('MYP Assumptions'!$M$65,"0.00%")&amp;", projected increase"</f>
        <v>7.00%, projected increase</v>
      </c>
    </row>
    <row r="48" spans="1:29" x14ac:dyDescent="0.25">
      <c r="A48" s="66"/>
      <c r="B48" s="939" t="s">
        <v>88</v>
      </c>
      <c r="C48" s="857" t="s">
        <v>81</v>
      </c>
      <c r="D48" s="2">
        <v>76.959999999999994</v>
      </c>
      <c r="E48" s="854" t="str">
        <f>TEXT('MYP Assumptions'!$D$59,"0.00%")&amp;", SUI rate"</f>
        <v>0.05%, SUI rate</v>
      </c>
      <c r="F48" s="2"/>
      <c r="G48" s="83">
        <f t="shared" si="15"/>
        <v>0.16943866943866953</v>
      </c>
      <c r="H48" s="2">
        <v>90</v>
      </c>
      <c r="I48" s="854" t="str">
        <f>TEXT('MYP Assumptions'!E59,"0.00%")&amp;", no rate change"</f>
        <v>0.05%, no rate change</v>
      </c>
      <c r="J48" s="66"/>
      <c r="K48" s="83">
        <f t="shared" si="16"/>
        <v>2.2222222222222223E-2</v>
      </c>
      <c r="L48" s="2">
        <f>ROUND((L40+L29)*LEFT(M48,5),0)</f>
        <v>92</v>
      </c>
      <c r="M48" s="854" t="str">
        <f>TEXT('MYP Assumptions'!F59,"0.00%")&amp;", no rate change"</f>
        <v>0.05%, no rate change</v>
      </c>
      <c r="O48" s="83">
        <f t="shared" si="17"/>
        <v>1.0869565217391304E-2</v>
      </c>
      <c r="P48" s="2">
        <f>ROUND((P40+P29)*LEFT(Q48,5),0)</f>
        <v>93</v>
      </c>
      <c r="Q48" s="854" t="str">
        <f>TEXT('MYP Assumptions'!G59,"0.00%")&amp;", no rate change"</f>
        <v>0.05%, no rate change</v>
      </c>
      <c r="S48" s="83">
        <f t="shared" si="18"/>
        <v>2.1505376344086023E-2</v>
      </c>
      <c r="T48" s="2">
        <f>ROUND((T40+T29)*LEFT(U48,5),0)</f>
        <v>95</v>
      </c>
      <c r="U48" s="81" t="str">
        <f>TEXT('MYP Assumptions'!H59,"0.00%")&amp;", no rate change"</f>
        <v>0.05%, no rate change</v>
      </c>
      <c r="W48" s="83">
        <f t="shared" si="19"/>
        <v>2.1052631578947368E-2</v>
      </c>
      <c r="X48" s="2">
        <f>ROUND((X40+X29)*LEFT(Y48,5),0)</f>
        <v>97</v>
      </c>
      <c r="Y48" s="81" t="str">
        <f>TEXT('MYP Assumptions'!I59,"0.00%")&amp;", no rate change"</f>
        <v>0.05%, no rate change</v>
      </c>
      <c r="AA48" s="83">
        <f t="shared" si="20"/>
        <v>2.0618556701030927E-2</v>
      </c>
      <c r="AB48" s="2">
        <f>ROUND((AB40+AB29)*LEFT(AC48,5),0)</f>
        <v>99</v>
      </c>
      <c r="AC48" s="81" t="str">
        <f>TEXT('MYP Assumptions'!J59,"0.00%")&amp;", no rate change"</f>
        <v>0.05%, no rate change</v>
      </c>
    </row>
    <row r="49" spans="1:29" x14ac:dyDescent="0.25">
      <c r="A49" s="66"/>
      <c r="B49" s="939" t="s">
        <v>89</v>
      </c>
      <c r="C49" s="857" t="s">
        <v>82</v>
      </c>
      <c r="D49" s="2">
        <v>1689.26</v>
      </c>
      <c r="E49" s="854" t="str">
        <f>TEXT('MYP Assumptions'!$D$60,"0.00%")&amp;", W/C rate"</f>
        <v>1.10%, W/C rate</v>
      </c>
      <c r="F49" s="2"/>
      <c r="G49" s="83">
        <f t="shared" si="15"/>
        <v>0.16145531179332964</v>
      </c>
      <c r="H49" s="2">
        <v>1962</v>
      </c>
      <c r="I49" s="854" t="str">
        <f>TEXT('MYP Assumptions'!E60,"0.00%")&amp;", no rate change"</f>
        <v>0.80%, no rate change</v>
      </c>
      <c r="J49" s="66"/>
      <c r="K49" s="83">
        <f t="shared" si="16"/>
        <v>-0.25331294597349641</v>
      </c>
      <c r="L49" s="2">
        <f>ROUND((L40+L29)*LEFT(M49,5),0)</f>
        <v>1465</v>
      </c>
      <c r="M49" s="854" t="str">
        <f>TEXT('MYP Assumptions'!F60,"0.00%")&amp;", no rate change"</f>
        <v>0.80%, no rate change</v>
      </c>
      <c r="O49" s="83">
        <f t="shared" si="17"/>
        <v>1.9795221843003412E-2</v>
      </c>
      <c r="P49" s="2">
        <f>ROUND((P40+P29)*LEFT(Q49,5),0)</f>
        <v>1494</v>
      </c>
      <c r="Q49" s="854" t="str">
        <f>TEXT('MYP Assumptions'!G60,"0.00%")&amp;", no rate change"</f>
        <v>0.80%, no rate change</v>
      </c>
      <c r="S49" s="83">
        <f t="shared" si="18"/>
        <v>2.0080321285140562E-2</v>
      </c>
      <c r="T49" s="2">
        <f>ROUND((T40+T29)*LEFT(U49,5),0)</f>
        <v>1524</v>
      </c>
      <c r="U49" s="81" t="str">
        <f>TEXT('MYP Assumptions'!H60,"0.00%")&amp;", no rate change"</f>
        <v>0.80%, no rate change</v>
      </c>
      <c r="W49" s="83">
        <f t="shared" si="19"/>
        <v>1.968503937007874E-2</v>
      </c>
      <c r="X49" s="2">
        <f>ROUND((X40+X29)*LEFT(Y49,5),0)</f>
        <v>1554</v>
      </c>
      <c r="Y49" s="81" t="str">
        <f>TEXT('MYP Assumptions'!I60,"0.00%")&amp;", no rate change"</f>
        <v>0.80%, no rate change</v>
      </c>
      <c r="AA49" s="83">
        <f t="shared" si="20"/>
        <v>2.0592020592020591E-2</v>
      </c>
      <c r="AB49" s="2">
        <f>ROUND((AB40+AB29)*LEFT(AC49,5),0)</f>
        <v>1586</v>
      </c>
      <c r="AC49" s="81" t="str">
        <f>TEXT('MYP Assumptions'!J60,"0.00%")&amp;", no rate change"</f>
        <v>0.80%, no rate change</v>
      </c>
    </row>
    <row r="50" spans="1:29" x14ac:dyDescent="0.25">
      <c r="A50" s="66"/>
      <c r="B50" s="939" t="s">
        <v>91</v>
      </c>
      <c r="C50" s="857" t="s">
        <v>93</v>
      </c>
      <c r="D50" s="2">
        <v>2000</v>
      </c>
      <c r="E50" s="863"/>
      <c r="F50" s="2"/>
      <c r="G50" s="83">
        <f t="shared" ref="G50" si="21">IF(D50=0,"0.00%",(H50-D50)/D50)</f>
        <v>0</v>
      </c>
      <c r="H50" s="2">
        <v>2000</v>
      </c>
      <c r="I50" s="854"/>
      <c r="J50" s="66"/>
      <c r="K50" s="83">
        <f t="shared" ref="K50" si="22">IF(H50=0,"0.00%",(L50-H50)/H50)</f>
        <v>0</v>
      </c>
      <c r="L50" s="2">
        <f>H50</f>
        <v>2000</v>
      </c>
      <c r="M50" s="854" t="s">
        <v>166</v>
      </c>
      <c r="O50" s="83">
        <f t="shared" ref="O50" si="23">IF(L50=0,"0.00%",(P50-L50)/L50)</f>
        <v>0</v>
      </c>
      <c r="P50" s="2">
        <f>L50</f>
        <v>2000</v>
      </c>
      <c r="Q50" s="854" t="s">
        <v>166</v>
      </c>
      <c r="S50" s="83">
        <f t="shared" ref="S50" si="24">IF(P50=0,"0.00%",(T50-P50)/P50)</f>
        <v>0</v>
      </c>
      <c r="T50" s="2">
        <f>P50</f>
        <v>2000</v>
      </c>
      <c r="U50" s="81" t="s">
        <v>166</v>
      </c>
      <c r="W50" s="83">
        <f t="shared" ref="W50" si="25">IF(T50=0,"0.00%",(X50-T50)/T50)</f>
        <v>0</v>
      </c>
      <c r="X50" s="2">
        <f>T50</f>
        <v>2000</v>
      </c>
      <c r="Y50" s="81" t="s">
        <v>166</v>
      </c>
      <c r="AA50" s="83">
        <f t="shared" ref="AA50" si="26">IF(X50=0,"0.00%",(AB50-X50)/X50)</f>
        <v>0</v>
      </c>
      <c r="AB50" s="2">
        <f>X50</f>
        <v>2000</v>
      </c>
      <c r="AC50" s="81" t="s">
        <v>166</v>
      </c>
    </row>
    <row r="51" spans="1:29" x14ac:dyDescent="0.25">
      <c r="A51" s="66"/>
      <c r="B51" s="939"/>
      <c r="E51" s="863"/>
      <c r="F51" s="2"/>
      <c r="G51" s="83"/>
      <c r="H51" s="2"/>
      <c r="I51" s="854"/>
      <c r="J51" s="66"/>
      <c r="K51" s="83"/>
      <c r="L51" s="2"/>
      <c r="M51" s="854"/>
      <c r="O51" s="83"/>
      <c r="Q51" s="854"/>
      <c r="S51" s="83"/>
      <c r="T51" s="2"/>
      <c r="U51" s="81"/>
      <c r="W51" s="83"/>
      <c r="X51" s="2"/>
      <c r="Y51" s="81"/>
      <c r="AA51" s="83"/>
      <c r="AB51" s="2"/>
      <c r="AC51" s="81"/>
    </row>
    <row r="52" spans="1:29" x14ac:dyDescent="0.25">
      <c r="A52" s="29"/>
      <c r="B52" s="939"/>
      <c r="D52" s="8">
        <f>SUM(D43:D51)</f>
        <v>36467.380000000005</v>
      </c>
      <c r="E52" s="863"/>
      <c r="F52" s="2"/>
      <c r="G52" s="83">
        <f t="shared" si="15"/>
        <v>0.36469908175470772</v>
      </c>
      <c r="H52" s="8">
        <f>SUM(H43:H51)</f>
        <v>49767</v>
      </c>
      <c r="I52" s="1292">
        <f>+H52-D52</f>
        <v>13299.619999999995</v>
      </c>
      <c r="J52" s="29"/>
      <c r="K52" s="83">
        <f t="shared" si="16"/>
        <v>9.6268611730664894E-2</v>
      </c>
      <c r="L52" s="8">
        <f>SUM(L43:L51)</f>
        <v>54558</v>
      </c>
      <c r="M52" s="1292">
        <f>+L52-H52</f>
        <v>4791</v>
      </c>
      <c r="O52" s="83">
        <f t="shared" si="17"/>
        <v>9.9545437882620325E-2</v>
      </c>
      <c r="P52" s="8">
        <f>SUM(P43:P51)</f>
        <v>59989</v>
      </c>
      <c r="Q52" s="1292">
        <f>+P52-L52</f>
        <v>5431</v>
      </c>
      <c r="S52" s="83">
        <f t="shared" si="18"/>
        <v>6.6712230575605533E-2</v>
      </c>
      <c r="T52" s="8">
        <f>SUM(T43:T51)</f>
        <v>63991</v>
      </c>
      <c r="U52" s="73"/>
      <c r="W52" s="83">
        <f t="shared" si="19"/>
        <v>3.5942554421715553E-2</v>
      </c>
      <c r="X52" s="8">
        <f>SUM(X43:X51)</f>
        <v>66291</v>
      </c>
      <c r="Y52" s="73"/>
      <c r="AA52" s="83">
        <f t="shared" si="20"/>
        <v>3.6550964686005639E-2</v>
      </c>
      <c r="AB52" s="8">
        <f>SUM(AB43:AB51)</f>
        <v>68714</v>
      </c>
      <c r="AC52" s="73"/>
    </row>
    <row r="53" spans="1:29" x14ac:dyDescent="0.25">
      <c r="A53" s="57"/>
      <c r="B53" s="939"/>
      <c r="E53" s="863"/>
      <c r="F53" s="2"/>
      <c r="H53" s="2"/>
      <c r="I53" s="871"/>
      <c r="J53" s="66"/>
      <c r="L53" s="2"/>
      <c r="M53" s="948"/>
      <c r="Q53" s="948"/>
      <c r="T53" s="2"/>
      <c r="U53" s="73"/>
      <c r="X53" s="2"/>
      <c r="Y53" s="73"/>
      <c r="AB53" s="2"/>
      <c r="AC53" s="73"/>
    </row>
    <row r="54" spans="1:29" x14ac:dyDescent="0.25">
      <c r="A54" s="29"/>
      <c r="B54" s="936" t="s">
        <v>26</v>
      </c>
      <c r="D54" s="8">
        <f>SUM(D52,D40,D29)</f>
        <v>186792.7</v>
      </c>
      <c r="E54" s="863"/>
      <c r="F54" s="2"/>
      <c r="G54" s="83">
        <f>IF(D54=0,"0.00%",(H54-D54)/D54)</f>
        <v>0.22743019400651088</v>
      </c>
      <c r="H54" s="8">
        <f>SUM(H52,H40,H29)</f>
        <v>229275</v>
      </c>
      <c r="I54" s="1292">
        <f>+H54-D54</f>
        <v>42482.299999999988</v>
      </c>
      <c r="J54" s="29"/>
      <c r="K54" s="83">
        <f>IF(H54=0,"0.00%",(L54-H54)/H54)</f>
        <v>3.6554356122560243E-2</v>
      </c>
      <c r="L54" s="8">
        <f>SUM(L52,L40,L29)</f>
        <v>237656</v>
      </c>
      <c r="M54" s="1292">
        <f>+L54-H54</f>
        <v>8381</v>
      </c>
      <c r="O54" s="83">
        <f>IF(L54=0,"0.00%",(P54-L54)/L54)</f>
        <v>3.8261184232672434E-2</v>
      </c>
      <c r="P54" s="8">
        <f>SUM(P52,P40,P29)</f>
        <v>246749</v>
      </c>
      <c r="Q54" s="1292">
        <f>+P54-L54</f>
        <v>9093</v>
      </c>
      <c r="S54" s="83">
        <f>IF(P54=0,"0.00%",(T54-P54)/P54)</f>
        <v>3.1355750175279334E-2</v>
      </c>
      <c r="T54" s="8">
        <f>SUM(T52,T40,T29)</f>
        <v>254486</v>
      </c>
      <c r="U54" s="73"/>
      <c r="W54" s="83">
        <f>IF(T54=0,"0.00%",(X54-T54)/T54)</f>
        <v>2.4009179286876292E-2</v>
      </c>
      <c r="X54" s="8">
        <f>SUM(X52,X40,X29)</f>
        <v>260596</v>
      </c>
      <c r="Y54" s="73"/>
      <c r="AA54" s="83">
        <f>IF(X54=0,"0.00%",(AB54-X54)/X54)</f>
        <v>2.4209888102656986E-2</v>
      </c>
      <c r="AB54" s="8">
        <f>SUM(AB52,AB40,AB29)</f>
        <v>266905</v>
      </c>
      <c r="AC54" s="73"/>
    </row>
    <row r="55" spans="1:29" x14ac:dyDescent="0.25">
      <c r="A55" s="59"/>
      <c r="E55" s="863"/>
      <c r="F55" s="2"/>
      <c r="H55" s="2"/>
      <c r="I55" s="871"/>
      <c r="J55" s="66"/>
      <c r="L55" s="2"/>
      <c r="M55" s="948"/>
      <c r="Q55" s="948"/>
      <c r="T55" s="2"/>
      <c r="U55" s="73"/>
      <c r="X55" s="2"/>
      <c r="Y55" s="73"/>
      <c r="AB55" s="2"/>
      <c r="AC55" s="73"/>
    </row>
    <row r="56" spans="1:29" x14ac:dyDescent="0.25">
      <c r="A56" s="66"/>
      <c r="E56" s="863"/>
      <c r="F56" s="2"/>
      <c r="H56" s="2"/>
      <c r="I56" s="871"/>
      <c r="J56" s="66"/>
      <c r="L56" s="2"/>
      <c r="M56" s="948"/>
      <c r="Q56" s="948"/>
      <c r="T56" s="2"/>
      <c r="U56" s="73"/>
      <c r="X56" s="2"/>
      <c r="Y56" s="73"/>
      <c r="AB56" s="2"/>
      <c r="AC56" s="73"/>
    </row>
    <row r="57" spans="1:29" x14ac:dyDescent="0.25">
      <c r="A57" s="59"/>
      <c r="B57" s="940" t="s">
        <v>25</v>
      </c>
      <c r="C57" s="873"/>
      <c r="E57" s="863"/>
      <c r="F57" s="2"/>
      <c r="H57" s="2"/>
      <c r="I57" s="871"/>
      <c r="J57" s="66"/>
      <c r="L57" s="2"/>
      <c r="M57" s="948"/>
      <c r="Q57" s="948"/>
      <c r="T57" s="2"/>
      <c r="U57" s="73"/>
      <c r="X57" s="2"/>
      <c r="Y57" s="73"/>
      <c r="AB57" s="2"/>
      <c r="AC57" s="73"/>
    </row>
    <row r="58" spans="1:29" hidden="1" x14ac:dyDescent="0.25">
      <c r="A58" s="66"/>
      <c r="B58" s="939" t="s">
        <v>24</v>
      </c>
      <c r="C58" s="857" t="s">
        <v>23</v>
      </c>
      <c r="D58" s="2">
        <v>0</v>
      </c>
      <c r="E58" s="863"/>
      <c r="F58" s="2"/>
      <c r="G58" s="83" t="str">
        <f t="shared" ref="G58:G65" si="27">IF(D58=0,"0.00%",(H58-D58)/D58)</f>
        <v>0.00%</v>
      </c>
      <c r="H58" s="2">
        <f t="shared" ref="H58:H64" si="28">ROUND(D58*(LEFT(I58,5)+1),0)</f>
        <v>0</v>
      </c>
      <c r="I58" s="854" t="str">
        <f>TEXT('MYP Assumptions'!E75,"0.00%")&amp;", CPI"</f>
        <v>3.42%, CPI</v>
      </c>
      <c r="J58" s="66"/>
      <c r="K58" s="83" t="str">
        <f t="shared" ref="K58:K65" si="29">IF(H58=0,"0.00%",(L58-H58)/H58)</f>
        <v>0.00%</v>
      </c>
      <c r="L58" s="2">
        <f>ROUND(H58*(LEFT(M58,5)+1),0)</f>
        <v>0</v>
      </c>
      <c r="M58" s="854" t="str">
        <f>TEXT('MYP Assumptions'!F75,"0.00%")&amp;", CPI"</f>
        <v>3.35%, CPI</v>
      </c>
      <c r="O58" s="83" t="str">
        <f t="shared" ref="O58:O65" si="30">IF(L58=0,"0.00%",(P58-L58)/L58)</f>
        <v>0.00%</v>
      </c>
      <c r="P58" s="2">
        <f>ROUND(L58*(LEFT(Q58,5)+1),0)</f>
        <v>0</v>
      </c>
      <c r="Q58" s="854" t="str">
        <f>TEXT('MYP Assumptions'!G75,"0.00%")&amp;", CPI"</f>
        <v>3.02%, CPI</v>
      </c>
      <c r="S58" s="83" t="str">
        <f t="shared" ref="S58:S65" si="31">IF(P58=0,"0.00%",(T58-P58)/P58)</f>
        <v>0.00%</v>
      </c>
      <c r="T58" s="2">
        <f t="shared" ref="T58:T64" si="32">ROUND(P58*(LEFT(U58,5)+1),0)</f>
        <v>0</v>
      </c>
      <c r="U58" s="81" t="str">
        <f>TEXT('MYP Assumptions'!H75,"0.00%")&amp;", CPI"</f>
        <v>2.73%, CPI</v>
      </c>
      <c r="W58" s="83" t="str">
        <f t="shared" ref="W58:W65" si="33">IF(T58=0,"0.00%",(X58-T58)/T58)</f>
        <v>0.00%</v>
      </c>
      <c r="X58" s="2">
        <f>ROUND(T58*(LEFT(Y58,5)+1),0)</f>
        <v>0</v>
      </c>
      <c r="Y58" s="81" t="str">
        <f>TEXT('MYP Assumptions'!I75,"0.00%")&amp;", CPI"</f>
        <v>2.73%, CPI</v>
      </c>
      <c r="AA58" s="83" t="str">
        <f t="shared" ref="AA58:AA65" si="34">IF(X58=0,"0.00%",(AB58-X58)/X58)</f>
        <v>0.00%</v>
      </c>
      <c r="AB58" s="2">
        <f>ROUND(X58*(LEFT(AC58,5)+1),0)</f>
        <v>0</v>
      </c>
      <c r="AC58" s="81" t="str">
        <f>TEXT('MYP Assumptions'!J75,"0.00%")&amp;", CPI"</f>
        <v>2.73%, CPI</v>
      </c>
    </row>
    <row r="59" spans="1:29" hidden="1" x14ac:dyDescent="0.25">
      <c r="A59" s="66"/>
      <c r="B59" s="939" t="s">
        <v>94</v>
      </c>
      <c r="C59" s="857" t="s">
        <v>96</v>
      </c>
      <c r="D59" s="2">
        <v>0</v>
      </c>
      <c r="E59" s="863"/>
      <c r="F59" s="2"/>
      <c r="G59" s="83" t="str">
        <f t="shared" si="27"/>
        <v>0.00%</v>
      </c>
      <c r="H59" s="2">
        <f t="shared" si="28"/>
        <v>0</v>
      </c>
      <c r="I59" s="854" t="str">
        <f>TEXT('MYP Assumptions'!E75,"0.00%")&amp;", CPI"</f>
        <v>3.42%, CPI</v>
      </c>
      <c r="J59" s="66"/>
      <c r="K59" s="83" t="str">
        <f t="shared" si="29"/>
        <v>0.00%</v>
      </c>
      <c r="L59" s="2">
        <f t="shared" ref="L59:L64" si="35">ROUND(H59*(LEFT(M59,5)+1),0)</f>
        <v>0</v>
      </c>
      <c r="M59" s="854" t="str">
        <f>TEXT('MYP Assumptions'!F75,"0.00%")&amp;", CPI"</f>
        <v>3.35%, CPI</v>
      </c>
      <c r="O59" s="83" t="str">
        <f t="shared" si="30"/>
        <v>0.00%</v>
      </c>
      <c r="P59" s="2">
        <f t="shared" ref="P59:P64" si="36">ROUND(L59*(LEFT(Q59,5)+1),0)</f>
        <v>0</v>
      </c>
      <c r="Q59" s="854" t="str">
        <f>TEXT('MYP Assumptions'!G75,"0.00%")&amp;", CPI"</f>
        <v>3.02%, CPI</v>
      </c>
      <c r="S59" s="83" t="str">
        <f t="shared" si="31"/>
        <v>0.00%</v>
      </c>
      <c r="T59" s="2">
        <f t="shared" si="32"/>
        <v>0</v>
      </c>
      <c r="U59" s="81" t="str">
        <f>TEXT('MYP Assumptions'!H75,"0.00%")&amp;", CPI"</f>
        <v>2.73%, CPI</v>
      </c>
      <c r="W59" s="83" t="str">
        <f t="shared" si="33"/>
        <v>0.00%</v>
      </c>
      <c r="X59" s="2">
        <f t="shared" ref="X59:X64" si="37">ROUND(T59*(LEFT(Y59,5)+1),0)</f>
        <v>0</v>
      </c>
      <c r="Y59" s="81" t="str">
        <f>TEXT('MYP Assumptions'!I75,"0.00%")&amp;", CPI"</f>
        <v>2.73%, CPI</v>
      </c>
      <c r="AA59" s="83" t="str">
        <f t="shared" si="34"/>
        <v>0.00%</v>
      </c>
      <c r="AB59" s="2">
        <f t="shared" ref="AB59:AB64" si="38">ROUND(X59*(LEFT(AC59,5)+1),0)</f>
        <v>0</v>
      </c>
      <c r="AC59" s="81" t="str">
        <f>TEXT('MYP Assumptions'!J75,"0.00%")&amp;", CPI"</f>
        <v>2.73%, CPI</v>
      </c>
    </row>
    <row r="60" spans="1:29" hidden="1" x14ac:dyDescent="0.25">
      <c r="A60" s="66"/>
      <c r="B60" s="939" t="s">
        <v>95</v>
      </c>
      <c r="C60" s="857" t="s">
        <v>97</v>
      </c>
      <c r="D60" s="2">
        <v>0</v>
      </c>
      <c r="E60" s="863"/>
      <c r="F60" s="2"/>
      <c r="G60" s="83" t="str">
        <f t="shared" si="27"/>
        <v>0.00%</v>
      </c>
      <c r="H60" s="2">
        <f t="shared" si="28"/>
        <v>0</v>
      </c>
      <c r="I60" s="854" t="str">
        <f>TEXT('MYP Assumptions'!E75,"0.00%")&amp;", CPI"</f>
        <v>3.42%, CPI</v>
      </c>
      <c r="J60" s="66"/>
      <c r="K60" s="83" t="str">
        <f t="shared" si="29"/>
        <v>0.00%</v>
      </c>
      <c r="L60" s="2">
        <f t="shared" si="35"/>
        <v>0</v>
      </c>
      <c r="M60" s="854" t="str">
        <f>TEXT('MYP Assumptions'!F75,"0.00%")&amp;", CPI"</f>
        <v>3.35%, CPI</v>
      </c>
      <c r="O60" s="83" t="str">
        <f t="shared" si="30"/>
        <v>0.00%</v>
      </c>
      <c r="P60" s="2">
        <f t="shared" si="36"/>
        <v>0</v>
      </c>
      <c r="Q60" s="854" t="str">
        <f>TEXT('MYP Assumptions'!G75,"0.00%")&amp;", CPI"</f>
        <v>3.02%, CPI</v>
      </c>
      <c r="S60" s="83" t="str">
        <f t="shared" si="31"/>
        <v>0.00%</v>
      </c>
      <c r="T60" s="2">
        <f t="shared" si="32"/>
        <v>0</v>
      </c>
      <c r="U60" s="81" t="str">
        <f>TEXT('MYP Assumptions'!H75,"0.00%")&amp;", CPI"</f>
        <v>2.73%, CPI</v>
      </c>
      <c r="W60" s="83" t="str">
        <f t="shared" si="33"/>
        <v>0.00%</v>
      </c>
      <c r="X60" s="2">
        <f t="shared" si="37"/>
        <v>0</v>
      </c>
      <c r="Y60" s="81" t="str">
        <f>TEXT('MYP Assumptions'!I75,"0.00%")&amp;", CPI"</f>
        <v>2.73%, CPI</v>
      </c>
      <c r="AA60" s="83" t="str">
        <f t="shared" si="34"/>
        <v>0.00%</v>
      </c>
      <c r="AB60" s="2">
        <f t="shared" si="38"/>
        <v>0</v>
      </c>
      <c r="AC60" s="81" t="str">
        <f>TEXT('MYP Assumptions'!J75,"0.00%")&amp;", CPI"</f>
        <v>2.73%, CPI</v>
      </c>
    </row>
    <row r="61" spans="1:29" hidden="1" x14ac:dyDescent="0.25">
      <c r="A61" s="66"/>
      <c r="B61" s="939" t="s">
        <v>22</v>
      </c>
      <c r="C61" s="857" t="s">
        <v>21</v>
      </c>
      <c r="D61" s="2">
        <v>0</v>
      </c>
      <c r="E61" s="863"/>
      <c r="F61" s="2"/>
      <c r="G61" s="83" t="str">
        <f t="shared" si="27"/>
        <v>0.00%</v>
      </c>
      <c r="H61" s="2">
        <f t="shared" si="28"/>
        <v>0</v>
      </c>
      <c r="I61" s="854" t="str">
        <f>TEXT('MYP Assumptions'!E75,"0.00%")&amp;", CPI"</f>
        <v>3.42%, CPI</v>
      </c>
      <c r="J61" s="66"/>
      <c r="K61" s="83" t="str">
        <f t="shared" si="29"/>
        <v>0.00%</v>
      </c>
      <c r="L61" s="2">
        <f t="shared" si="35"/>
        <v>0</v>
      </c>
      <c r="M61" s="854" t="str">
        <f>TEXT('MYP Assumptions'!F75,"0.00%")&amp;", CPI"</f>
        <v>3.35%, CPI</v>
      </c>
      <c r="O61" s="83" t="str">
        <f t="shared" si="30"/>
        <v>0.00%</v>
      </c>
      <c r="P61" s="2">
        <f t="shared" si="36"/>
        <v>0</v>
      </c>
      <c r="Q61" s="854" t="str">
        <f>TEXT('MYP Assumptions'!G75,"0.00%")&amp;", CPI"</f>
        <v>3.02%, CPI</v>
      </c>
      <c r="S61" s="83" t="str">
        <f t="shared" si="31"/>
        <v>0.00%</v>
      </c>
      <c r="T61" s="2">
        <f t="shared" si="32"/>
        <v>0</v>
      </c>
      <c r="U61" s="81" t="str">
        <f>TEXT('MYP Assumptions'!H75,"0.00%")&amp;", CPI"</f>
        <v>2.73%, CPI</v>
      </c>
      <c r="W61" s="83" t="str">
        <f t="shared" si="33"/>
        <v>0.00%</v>
      </c>
      <c r="X61" s="2">
        <f t="shared" si="37"/>
        <v>0</v>
      </c>
      <c r="Y61" s="81" t="str">
        <f>TEXT('MYP Assumptions'!I75,"0.00%")&amp;", CPI"</f>
        <v>2.73%, CPI</v>
      </c>
      <c r="AA61" s="83" t="str">
        <f t="shared" si="34"/>
        <v>0.00%</v>
      </c>
      <c r="AB61" s="2">
        <f t="shared" si="38"/>
        <v>0</v>
      </c>
      <c r="AC61" s="81" t="str">
        <f>TEXT('MYP Assumptions'!J75,"0.00%")&amp;", CPI"</f>
        <v>2.73%, CPI</v>
      </c>
    </row>
    <row r="62" spans="1:29" hidden="1" x14ac:dyDescent="0.25">
      <c r="A62" s="66"/>
      <c r="B62" s="939" t="s">
        <v>20</v>
      </c>
      <c r="C62" s="857" t="s">
        <v>19</v>
      </c>
      <c r="D62" s="2">
        <v>0</v>
      </c>
      <c r="E62" s="863"/>
      <c r="F62" s="2"/>
      <c r="G62" s="83" t="str">
        <f t="shared" si="27"/>
        <v>0.00%</v>
      </c>
      <c r="H62" s="2">
        <f t="shared" si="28"/>
        <v>0</v>
      </c>
      <c r="I62" s="854" t="str">
        <f>TEXT('MYP Assumptions'!E75,"0.00%")&amp;", CPI"</f>
        <v>3.42%, CPI</v>
      </c>
      <c r="J62" s="66"/>
      <c r="K62" s="83" t="str">
        <f t="shared" si="29"/>
        <v>0.00%</v>
      </c>
      <c r="L62" s="2">
        <f t="shared" si="35"/>
        <v>0</v>
      </c>
      <c r="M62" s="854" t="str">
        <f>TEXT('MYP Assumptions'!F75,"0.00%")&amp;", CPI"</f>
        <v>3.35%, CPI</v>
      </c>
      <c r="O62" s="83" t="str">
        <f t="shared" si="30"/>
        <v>0.00%</v>
      </c>
      <c r="P62" s="2">
        <f t="shared" si="36"/>
        <v>0</v>
      </c>
      <c r="Q62" s="854" t="str">
        <f>TEXT('MYP Assumptions'!G75,"0.00%")&amp;", CPI"</f>
        <v>3.02%, CPI</v>
      </c>
      <c r="S62" s="83" t="str">
        <f t="shared" si="31"/>
        <v>0.00%</v>
      </c>
      <c r="T62" s="2">
        <f t="shared" si="32"/>
        <v>0</v>
      </c>
      <c r="U62" s="81" t="str">
        <f>TEXT('MYP Assumptions'!H75,"0.00%")&amp;", CPI"</f>
        <v>2.73%, CPI</v>
      </c>
      <c r="W62" s="83" t="str">
        <f t="shared" si="33"/>
        <v>0.00%</v>
      </c>
      <c r="X62" s="2">
        <f t="shared" si="37"/>
        <v>0</v>
      </c>
      <c r="Y62" s="81" t="str">
        <f>TEXT('MYP Assumptions'!I75,"0.00%")&amp;", CPI"</f>
        <v>2.73%, CPI</v>
      </c>
      <c r="AA62" s="83" t="str">
        <f t="shared" si="34"/>
        <v>0.00%</v>
      </c>
      <c r="AB62" s="2">
        <f t="shared" si="38"/>
        <v>0</v>
      </c>
      <c r="AC62" s="81" t="str">
        <f>TEXT('MYP Assumptions'!J75,"0.00%")&amp;", CPI"</f>
        <v>2.73%, CPI</v>
      </c>
    </row>
    <row r="63" spans="1:29" hidden="1" x14ac:dyDescent="0.25">
      <c r="A63" s="66"/>
      <c r="B63" s="939" t="s">
        <v>18</v>
      </c>
      <c r="C63" s="857" t="s">
        <v>17</v>
      </c>
      <c r="D63" s="2">
        <v>0</v>
      </c>
      <c r="E63" s="863"/>
      <c r="F63" s="2"/>
      <c r="G63" s="83" t="str">
        <f t="shared" si="27"/>
        <v>0.00%</v>
      </c>
      <c r="H63" s="2">
        <f t="shared" si="28"/>
        <v>0</v>
      </c>
      <c r="I63" s="854" t="str">
        <f>TEXT('MYP Assumptions'!E75,"0.00%")&amp;", CPI"</f>
        <v>3.42%, CPI</v>
      </c>
      <c r="J63" s="66"/>
      <c r="K63" s="83" t="str">
        <f t="shared" si="29"/>
        <v>0.00%</v>
      </c>
      <c r="L63" s="2">
        <f t="shared" si="35"/>
        <v>0</v>
      </c>
      <c r="M63" s="854" t="str">
        <f>TEXT('MYP Assumptions'!F75,"0.00%")&amp;", CPI"</f>
        <v>3.35%, CPI</v>
      </c>
      <c r="O63" s="83" t="str">
        <f t="shared" si="30"/>
        <v>0.00%</v>
      </c>
      <c r="P63" s="2">
        <f t="shared" si="36"/>
        <v>0</v>
      </c>
      <c r="Q63" s="854" t="str">
        <f>TEXT('MYP Assumptions'!G75,"0.00%")&amp;", CPI"</f>
        <v>3.02%, CPI</v>
      </c>
      <c r="S63" s="83" t="str">
        <f t="shared" si="31"/>
        <v>0.00%</v>
      </c>
      <c r="T63" s="2">
        <f t="shared" si="32"/>
        <v>0</v>
      </c>
      <c r="U63" s="81" t="str">
        <f>TEXT('MYP Assumptions'!H75,"0.00%")&amp;", CPI"</f>
        <v>2.73%, CPI</v>
      </c>
      <c r="W63" s="83" t="str">
        <f t="shared" si="33"/>
        <v>0.00%</v>
      </c>
      <c r="X63" s="2">
        <f t="shared" si="37"/>
        <v>0</v>
      </c>
      <c r="Y63" s="81" t="str">
        <f>TEXT('MYP Assumptions'!I75,"0.00%")&amp;", CPI"</f>
        <v>2.73%, CPI</v>
      </c>
      <c r="AA63" s="83" t="str">
        <f t="shared" si="34"/>
        <v>0.00%</v>
      </c>
      <c r="AB63" s="2">
        <f t="shared" si="38"/>
        <v>0</v>
      </c>
      <c r="AC63" s="81" t="str">
        <f>TEXT('MYP Assumptions'!J75,"0.00%")&amp;", CPI"</f>
        <v>2.73%, CPI</v>
      </c>
    </row>
    <row r="64" spans="1:29" hidden="1" x14ac:dyDescent="0.25">
      <c r="A64" s="66"/>
      <c r="B64" s="939">
        <v>4000</v>
      </c>
      <c r="C64" s="941">
        <v>0</v>
      </c>
      <c r="D64" s="2">
        <v>0</v>
      </c>
      <c r="E64" s="863"/>
      <c r="F64" s="2"/>
      <c r="G64" s="83" t="str">
        <f t="shared" si="27"/>
        <v>0.00%</v>
      </c>
      <c r="H64" s="2">
        <f t="shared" si="28"/>
        <v>0</v>
      </c>
      <c r="I64" s="854" t="str">
        <f>TEXT('MYP Assumptions'!E75,"0.00%")&amp;", CPI"</f>
        <v>3.42%, CPI</v>
      </c>
      <c r="J64" s="66"/>
      <c r="K64" s="83" t="str">
        <f t="shared" si="29"/>
        <v>0.00%</v>
      </c>
      <c r="L64" s="2">
        <f t="shared" si="35"/>
        <v>0</v>
      </c>
      <c r="M64" s="854" t="str">
        <f>TEXT('MYP Assumptions'!F75,"0.00%")&amp;", CPI"</f>
        <v>3.35%, CPI</v>
      </c>
      <c r="O64" s="83" t="str">
        <f t="shared" si="30"/>
        <v>0.00%</v>
      </c>
      <c r="P64" s="2">
        <f t="shared" si="36"/>
        <v>0</v>
      </c>
      <c r="Q64" s="854" t="str">
        <f>TEXT('MYP Assumptions'!G75,"0.00%")&amp;", CPI"</f>
        <v>3.02%, CPI</v>
      </c>
      <c r="S64" s="83" t="str">
        <f t="shared" si="31"/>
        <v>0.00%</v>
      </c>
      <c r="T64" s="2">
        <f t="shared" si="32"/>
        <v>0</v>
      </c>
      <c r="U64" s="81" t="str">
        <f>TEXT('MYP Assumptions'!H75,"0.00%")&amp;", CPI"</f>
        <v>2.73%, CPI</v>
      </c>
      <c r="W64" s="83" t="str">
        <f t="shared" si="33"/>
        <v>0.00%</v>
      </c>
      <c r="X64" s="2">
        <f t="shared" si="37"/>
        <v>0</v>
      </c>
      <c r="Y64" s="81" t="str">
        <f>TEXT('MYP Assumptions'!I75,"0.00%")&amp;", CPI"</f>
        <v>2.73%, CPI</v>
      </c>
      <c r="AA64" s="83" t="str">
        <f t="shared" si="34"/>
        <v>0.00%</v>
      </c>
      <c r="AB64" s="2">
        <f t="shared" si="38"/>
        <v>0</v>
      </c>
      <c r="AC64" s="81" t="str">
        <f>TEXT('MYP Assumptions'!J75,"0.00%")&amp;", CPI"</f>
        <v>2.73%, CPI</v>
      </c>
    </row>
    <row r="65" spans="1:29" x14ac:dyDescent="0.25">
      <c r="A65" s="29"/>
      <c r="B65" s="857"/>
      <c r="D65" s="8">
        <f>SUM(D58:D64)</f>
        <v>0</v>
      </c>
      <c r="E65" s="863"/>
      <c r="F65" s="2"/>
      <c r="G65" s="83" t="str">
        <f t="shared" si="27"/>
        <v>0.00%</v>
      </c>
      <c r="H65" s="8">
        <f>SUM(H58:H64)</f>
        <v>0</v>
      </c>
      <c r="I65" s="872"/>
      <c r="J65" s="29"/>
      <c r="K65" s="83" t="str">
        <f t="shared" si="29"/>
        <v>0.00%</v>
      </c>
      <c r="L65" s="8">
        <f>SUM(L58:L64)</f>
        <v>0</v>
      </c>
      <c r="M65" s="948"/>
      <c r="O65" s="83" t="str">
        <f t="shared" si="30"/>
        <v>0.00%</v>
      </c>
      <c r="P65" s="8">
        <f>SUM(P58:P64)</f>
        <v>0</v>
      </c>
      <c r="Q65" s="948"/>
      <c r="S65" s="83" t="str">
        <f t="shared" si="31"/>
        <v>0.00%</v>
      </c>
      <c r="T65" s="8">
        <f>SUM(T58:T64)</f>
        <v>0</v>
      </c>
      <c r="U65" s="73"/>
      <c r="W65" s="83" t="str">
        <f t="shared" si="33"/>
        <v>0.00%</v>
      </c>
      <c r="X65" s="8">
        <f>SUM(X58:X64)</f>
        <v>0</v>
      </c>
      <c r="Y65" s="73"/>
      <c r="AA65" s="83" t="str">
        <f t="shared" si="34"/>
        <v>0.00%</v>
      </c>
      <c r="AB65" s="8">
        <f>SUM(AB58:AB64)</f>
        <v>0</v>
      </c>
      <c r="AC65" s="73"/>
    </row>
    <row r="66" spans="1:29" x14ac:dyDescent="0.25">
      <c r="A66" s="66"/>
      <c r="E66" s="863"/>
      <c r="F66" s="2"/>
      <c r="H66" s="2"/>
      <c r="I66" s="871"/>
      <c r="J66" s="66"/>
      <c r="L66" s="2"/>
      <c r="M66" s="948"/>
      <c r="Q66" s="948"/>
      <c r="T66" s="2"/>
      <c r="U66" s="73"/>
      <c r="X66" s="2"/>
      <c r="Y66" s="73"/>
      <c r="AB66" s="2"/>
      <c r="AC66" s="73"/>
    </row>
    <row r="67" spans="1:29" s="4" customFormat="1" x14ac:dyDescent="0.25">
      <c r="A67" s="58"/>
      <c r="B67" s="936" t="s">
        <v>16</v>
      </c>
      <c r="C67" s="873"/>
      <c r="D67" s="6"/>
      <c r="E67" s="864"/>
      <c r="F67" s="6"/>
      <c r="G67" s="373"/>
      <c r="H67" s="6"/>
      <c r="I67" s="873"/>
      <c r="J67" s="58"/>
      <c r="K67" s="380"/>
      <c r="L67" s="6"/>
      <c r="M67" s="950"/>
      <c r="O67" s="380"/>
      <c r="P67" s="6"/>
      <c r="Q67" s="950"/>
      <c r="R67" s="111"/>
      <c r="U67" s="71"/>
      <c r="Y67" s="71"/>
      <c r="AC67" s="71"/>
    </row>
    <row r="68" spans="1:29" x14ac:dyDescent="0.25">
      <c r="A68" s="66"/>
      <c r="B68" s="939" t="s">
        <v>15</v>
      </c>
      <c r="C68" s="857" t="s">
        <v>14</v>
      </c>
      <c r="D68" s="2">
        <v>15642</v>
      </c>
      <c r="E68" s="863" t="s">
        <v>213</v>
      </c>
      <c r="F68" s="2"/>
      <c r="G68" s="83">
        <f t="shared" ref="G68:G73" si="39">IF(D68=0,"0.00%",(H68-D68)/D68)</f>
        <v>-4.1043344840813192E-2</v>
      </c>
      <c r="H68" s="2">
        <v>15000</v>
      </c>
      <c r="I68" s="854" t="s">
        <v>174</v>
      </c>
      <c r="J68" s="66"/>
      <c r="K68" s="83">
        <f t="shared" ref="K68:K81" si="40">IF(H68=0,"0.00%",(L68-H68)/H68)</f>
        <v>0</v>
      </c>
      <c r="L68" s="2">
        <f>+H68</f>
        <v>15000</v>
      </c>
      <c r="M68" s="854" t="s">
        <v>174</v>
      </c>
      <c r="O68" s="83">
        <f t="shared" ref="O68:O81" si="41">IF(L68=0,"0.00%",(P68-L68)/L68)</f>
        <v>0</v>
      </c>
      <c r="P68" s="2">
        <f>+L68</f>
        <v>15000</v>
      </c>
      <c r="Q68" s="854" t="s">
        <v>174</v>
      </c>
      <c r="S68" s="83">
        <f t="shared" ref="S68:S81" si="42">IF(P68=0,"0.00%",(T68-P68)/P68)</f>
        <v>0</v>
      </c>
      <c r="T68" s="2">
        <f>P68</f>
        <v>15000</v>
      </c>
      <c r="U68" s="81" t="s">
        <v>174</v>
      </c>
      <c r="W68" s="83">
        <f t="shared" ref="W68:W81" si="43">IF(T68=0,"0.00%",(X68-T68)/T68)</f>
        <v>0</v>
      </c>
      <c r="X68" s="2">
        <f>T68</f>
        <v>15000</v>
      </c>
      <c r="Y68" s="81" t="s">
        <v>174</v>
      </c>
      <c r="AA68" s="83">
        <f t="shared" ref="AA68:AA81" si="44">IF(X68=0,"0.00%",(AB68-X68)/X68)</f>
        <v>2.7333333333333334E-2</v>
      </c>
      <c r="AB68" s="2">
        <f>ROUND(X68*(LEFT(AC68,5)+1),0)</f>
        <v>15410</v>
      </c>
      <c r="AC68" s="81" t="str">
        <f>TEXT('MYP Assumptions'!J75,"0.00%")&amp;", CPI"</f>
        <v>2.73%, CPI</v>
      </c>
    </row>
    <row r="69" spans="1:29" hidden="1" x14ac:dyDescent="0.25">
      <c r="A69" s="66"/>
      <c r="B69" s="939" t="s">
        <v>13</v>
      </c>
      <c r="C69" s="857" t="s">
        <v>12</v>
      </c>
      <c r="D69" s="2">
        <v>0</v>
      </c>
      <c r="E69" s="863"/>
      <c r="F69" s="2"/>
      <c r="G69" s="83" t="str">
        <f t="shared" si="39"/>
        <v>0.00%</v>
      </c>
      <c r="H69" s="2">
        <f>ROUND(D69*(LEFT(I69,5)+1),0)</f>
        <v>0</v>
      </c>
      <c r="I69" s="854" t="str">
        <f>TEXT('MYP Assumptions'!E75,"0.00%")&amp;", CPI"</f>
        <v>3.42%, CPI</v>
      </c>
      <c r="J69" s="66"/>
      <c r="K69" s="83" t="str">
        <f t="shared" si="40"/>
        <v>0.00%</v>
      </c>
      <c r="L69" s="2">
        <f t="shared" ref="L69:L80" si="45">ROUND(H69*(LEFT(M69,5)+1),0)</f>
        <v>0</v>
      </c>
      <c r="M69" s="854" t="str">
        <f>TEXT('MYP Assumptions'!F75,"0.00%")&amp;", CPI"</f>
        <v>3.35%, CPI</v>
      </c>
      <c r="O69" s="83" t="str">
        <f t="shared" si="41"/>
        <v>0.00%</v>
      </c>
      <c r="P69" s="2">
        <f t="shared" ref="P69:P80" si="46">ROUND(L69*(LEFT(Q69,5)+1),0)</f>
        <v>0</v>
      </c>
      <c r="Q69" s="854" t="str">
        <f>TEXT('MYP Assumptions'!G75,"0.00%")&amp;", CPI"</f>
        <v>3.02%, CPI</v>
      </c>
      <c r="S69" s="83" t="str">
        <f t="shared" si="42"/>
        <v>0.00%</v>
      </c>
      <c r="T69" s="2">
        <f t="shared" ref="T69:T80" si="47">ROUND(P69*(LEFT(U69,5)+1),0)</f>
        <v>0</v>
      </c>
      <c r="U69" s="81" t="str">
        <f>TEXT('MYP Assumptions'!H75,"0.00%")&amp;", CPI"</f>
        <v>2.73%, CPI</v>
      </c>
      <c r="W69" s="83" t="str">
        <f t="shared" si="43"/>
        <v>0.00%</v>
      </c>
      <c r="X69" s="2">
        <f t="shared" ref="X69:X80" si="48">ROUND(T69*(LEFT(Y69,5)+1),0)</f>
        <v>0</v>
      </c>
      <c r="Y69" s="81" t="str">
        <f>TEXT('MYP Assumptions'!I75,"0.00%")&amp;", CPI"</f>
        <v>2.73%, CPI</v>
      </c>
      <c r="AA69" s="83" t="str">
        <f t="shared" si="44"/>
        <v>0.00%</v>
      </c>
      <c r="AB69" s="2">
        <f t="shared" ref="AB69:AB80" si="49">ROUND(X69*(LEFT(AC69,5)+1),0)</f>
        <v>0</v>
      </c>
      <c r="AC69" s="81" t="str">
        <f>TEXT('MYP Assumptions'!J75,"0.00%")&amp;", CPI"</f>
        <v>2.73%, CPI</v>
      </c>
    </row>
    <row r="70" spans="1:29" hidden="1" x14ac:dyDescent="0.25">
      <c r="A70" s="66"/>
      <c r="B70" s="939" t="s">
        <v>128</v>
      </c>
      <c r="C70" s="857" t="s">
        <v>129</v>
      </c>
      <c r="D70" s="2">
        <v>0</v>
      </c>
      <c r="E70" s="863"/>
      <c r="F70" s="2"/>
      <c r="G70" s="83" t="str">
        <f t="shared" si="39"/>
        <v>0.00%</v>
      </c>
      <c r="H70" s="2">
        <f t="shared" ref="H70:H75" si="50">ROUND(D70*(LEFT(I70,5)+1),0)</f>
        <v>0</v>
      </c>
      <c r="I70" s="854" t="str">
        <f>TEXT('MYP Assumptions'!E75,"0.00%")&amp;", CPI"</f>
        <v>3.42%, CPI</v>
      </c>
      <c r="J70" s="66"/>
      <c r="K70" s="83" t="str">
        <f t="shared" si="40"/>
        <v>0.00%</v>
      </c>
      <c r="L70" s="2">
        <f t="shared" si="45"/>
        <v>0</v>
      </c>
      <c r="M70" s="854" t="str">
        <f>TEXT('MYP Assumptions'!F75,"0.00%")&amp;", CPI"</f>
        <v>3.35%, CPI</v>
      </c>
      <c r="O70" s="83" t="str">
        <f t="shared" si="41"/>
        <v>0.00%</v>
      </c>
      <c r="P70" s="2">
        <f t="shared" si="46"/>
        <v>0</v>
      </c>
      <c r="Q70" s="854" t="str">
        <f>TEXT('MYP Assumptions'!G75,"0.00%")&amp;", CPI"</f>
        <v>3.02%, CPI</v>
      </c>
      <c r="S70" s="83" t="str">
        <f t="shared" si="42"/>
        <v>0.00%</v>
      </c>
      <c r="T70" s="2">
        <f t="shared" si="47"/>
        <v>0</v>
      </c>
      <c r="U70" s="81" t="str">
        <f>TEXT('MYP Assumptions'!H75,"0.00%")&amp;", CPI"</f>
        <v>2.73%, CPI</v>
      </c>
      <c r="W70" s="83" t="str">
        <f t="shared" si="43"/>
        <v>0.00%</v>
      </c>
      <c r="X70" s="2">
        <f t="shared" si="48"/>
        <v>0</v>
      </c>
      <c r="Y70" s="81" t="str">
        <f>TEXT('MYP Assumptions'!I75,"0.00%")&amp;", CPI"</f>
        <v>2.73%, CPI</v>
      </c>
      <c r="AA70" s="83" t="str">
        <f t="shared" si="44"/>
        <v>0.00%</v>
      </c>
      <c r="AB70" s="2">
        <f t="shared" si="49"/>
        <v>0</v>
      </c>
      <c r="AC70" s="81" t="str">
        <f>TEXT('MYP Assumptions'!J75,"0.00%")&amp;", CPI"</f>
        <v>2.73%, CPI</v>
      </c>
    </row>
    <row r="71" spans="1:29" hidden="1" x14ac:dyDescent="0.25">
      <c r="A71" s="66"/>
      <c r="B71" s="939" t="s">
        <v>11</v>
      </c>
      <c r="C71" s="857" t="s">
        <v>10</v>
      </c>
      <c r="D71" s="2">
        <v>0</v>
      </c>
      <c r="E71" s="863"/>
      <c r="F71" s="2"/>
      <c r="G71" s="83" t="str">
        <f t="shared" si="39"/>
        <v>0.00%</v>
      </c>
      <c r="H71" s="2">
        <f t="shared" si="50"/>
        <v>0</v>
      </c>
      <c r="I71" s="854" t="str">
        <f>TEXT('MYP Assumptions'!E75,"0.00%")&amp;", CPI"</f>
        <v>3.42%, CPI</v>
      </c>
      <c r="J71" s="66"/>
      <c r="K71" s="83" t="str">
        <f t="shared" si="40"/>
        <v>0.00%</v>
      </c>
      <c r="L71" s="2">
        <f t="shared" si="45"/>
        <v>0</v>
      </c>
      <c r="M71" s="854" t="str">
        <f>TEXT('MYP Assumptions'!F75,"0.00%")&amp;", CPI"</f>
        <v>3.35%, CPI</v>
      </c>
      <c r="O71" s="83" t="str">
        <f t="shared" si="41"/>
        <v>0.00%</v>
      </c>
      <c r="P71" s="2">
        <f t="shared" si="46"/>
        <v>0</v>
      </c>
      <c r="Q71" s="854" t="str">
        <f>TEXT('MYP Assumptions'!G75,"0.00%")&amp;", CPI"</f>
        <v>3.02%, CPI</v>
      </c>
      <c r="S71" s="83" t="str">
        <f t="shared" si="42"/>
        <v>0.00%</v>
      </c>
      <c r="T71" s="2">
        <f t="shared" si="47"/>
        <v>0</v>
      </c>
      <c r="U71" s="81" t="str">
        <f>TEXT('MYP Assumptions'!H75,"0.00%")&amp;", CPI"</f>
        <v>2.73%, CPI</v>
      </c>
      <c r="W71" s="83" t="str">
        <f t="shared" si="43"/>
        <v>0.00%</v>
      </c>
      <c r="X71" s="2">
        <f t="shared" si="48"/>
        <v>0</v>
      </c>
      <c r="Y71" s="81" t="str">
        <f>TEXT('MYP Assumptions'!I75,"0.00%")&amp;", CPI"</f>
        <v>2.73%, CPI</v>
      </c>
      <c r="AA71" s="83" t="str">
        <f t="shared" si="44"/>
        <v>0.00%</v>
      </c>
      <c r="AB71" s="2">
        <f t="shared" si="49"/>
        <v>0</v>
      </c>
      <c r="AC71" s="81" t="str">
        <f>TEXT('MYP Assumptions'!J75,"0.00%")&amp;", CPI"</f>
        <v>2.73%, CPI</v>
      </c>
    </row>
    <row r="72" spans="1:29" hidden="1" x14ac:dyDescent="0.25">
      <c r="A72" s="66"/>
      <c r="B72" s="939" t="s">
        <v>120</v>
      </c>
      <c r="C72" s="857" t="s">
        <v>121</v>
      </c>
      <c r="D72" s="2">
        <v>0</v>
      </c>
      <c r="E72" s="863"/>
      <c r="F72" s="2"/>
      <c r="G72" s="83" t="str">
        <f t="shared" si="39"/>
        <v>0.00%</v>
      </c>
      <c r="H72" s="2">
        <f t="shared" si="50"/>
        <v>0</v>
      </c>
      <c r="I72" s="854" t="str">
        <f>TEXT('MYP Assumptions'!E75,"0.00%")&amp;", CPI"</f>
        <v>3.42%, CPI</v>
      </c>
      <c r="J72" s="66"/>
      <c r="K72" s="83" t="str">
        <f t="shared" si="40"/>
        <v>0.00%</v>
      </c>
      <c r="L72" s="2">
        <f t="shared" si="45"/>
        <v>0</v>
      </c>
      <c r="M72" s="854" t="str">
        <f>TEXT('MYP Assumptions'!F75,"0.00%")&amp;", CPI"</f>
        <v>3.35%, CPI</v>
      </c>
      <c r="O72" s="83" t="str">
        <f t="shared" si="41"/>
        <v>0.00%</v>
      </c>
      <c r="P72" s="2">
        <f t="shared" si="46"/>
        <v>0</v>
      </c>
      <c r="Q72" s="854" t="str">
        <f>TEXT('MYP Assumptions'!G75,"0.00%")&amp;", CPI"</f>
        <v>3.02%, CPI</v>
      </c>
      <c r="S72" s="83" t="str">
        <f t="shared" si="42"/>
        <v>0.00%</v>
      </c>
      <c r="T72" s="2">
        <f t="shared" si="47"/>
        <v>0</v>
      </c>
      <c r="U72" s="81" t="str">
        <f>TEXT('MYP Assumptions'!H75,"0.00%")&amp;", CPI"</f>
        <v>2.73%, CPI</v>
      </c>
      <c r="W72" s="83" t="str">
        <f t="shared" si="43"/>
        <v>0.00%</v>
      </c>
      <c r="X72" s="2">
        <f t="shared" si="48"/>
        <v>0</v>
      </c>
      <c r="Y72" s="81" t="str">
        <f>TEXT('MYP Assumptions'!I75,"0.00%")&amp;", CPI"</f>
        <v>2.73%, CPI</v>
      </c>
      <c r="AA72" s="83" t="str">
        <f t="shared" si="44"/>
        <v>0.00%</v>
      </c>
      <c r="AB72" s="2">
        <f t="shared" si="49"/>
        <v>0</v>
      </c>
      <c r="AC72" s="81" t="str">
        <f>TEXT('MYP Assumptions'!J75,"0.00%")&amp;", CPI"</f>
        <v>2.73%, CPI</v>
      </c>
    </row>
    <row r="73" spans="1:29" hidden="1" x14ac:dyDescent="0.25">
      <c r="A73" s="66"/>
      <c r="B73" s="939" t="s">
        <v>126</v>
      </c>
      <c r="C73" s="857" t="s">
        <v>127</v>
      </c>
      <c r="D73" s="2">
        <v>0</v>
      </c>
      <c r="E73" s="863"/>
      <c r="F73" s="2"/>
      <c r="G73" s="83" t="str">
        <f t="shared" si="39"/>
        <v>0.00%</v>
      </c>
      <c r="H73" s="2">
        <f t="shared" si="50"/>
        <v>0</v>
      </c>
      <c r="I73" s="854" t="str">
        <f>TEXT('MYP Assumptions'!E75,"0.00%")&amp;", CPI"</f>
        <v>3.42%, CPI</v>
      </c>
      <c r="J73" s="66"/>
      <c r="K73" s="83" t="str">
        <f t="shared" si="40"/>
        <v>0.00%</v>
      </c>
      <c r="L73" s="2">
        <f t="shared" si="45"/>
        <v>0</v>
      </c>
      <c r="M73" s="854" t="str">
        <f>TEXT('MYP Assumptions'!F75,"0.00%")&amp;", CPI"</f>
        <v>3.35%, CPI</v>
      </c>
      <c r="O73" s="83" t="str">
        <f t="shared" si="41"/>
        <v>0.00%</v>
      </c>
      <c r="P73" s="2">
        <f t="shared" si="46"/>
        <v>0</v>
      </c>
      <c r="Q73" s="854" t="str">
        <f>TEXT('MYP Assumptions'!G75,"0.00%")&amp;", CPI"</f>
        <v>3.02%, CPI</v>
      </c>
      <c r="S73" s="83" t="str">
        <f t="shared" si="42"/>
        <v>0.00%</v>
      </c>
      <c r="T73" s="2">
        <f t="shared" si="47"/>
        <v>0</v>
      </c>
      <c r="U73" s="81" t="str">
        <f>TEXT('MYP Assumptions'!H75,"0.00%")&amp;", CPI"</f>
        <v>2.73%, CPI</v>
      </c>
      <c r="W73" s="83" t="str">
        <f t="shared" si="43"/>
        <v>0.00%</v>
      </c>
      <c r="X73" s="2">
        <f t="shared" si="48"/>
        <v>0</v>
      </c>
      <c r="Y73" s="81" t="str">
        <f>TEXT('MYP Assumptions'!I75,"0.00%")&amp;", CPI"</f>
        <v>2.73%, CPI</v>
      </c>
      <c r="AA73" s="83" t="str">
        <f t="shared" si="44"/>
        <v>0.00%</v>
      </c>
      <c r="AB73" s="2">
        <f t="shared" si="49"/>
        <v>0</v>
      </c>
      <c r="AC73" s="81" t="str">
        <f>TEXT('MYP Assumptions'!J75,"0.00%")&amp;", CPI"</f>
        <v>2.73%, CPI</v>
      </c>
    </row>
    <row r="74" spans="1:29" hidden="1" x14ac:dyDescent="0.25">
      <c r="A74" s="66"/>
      <c r="B74" s="939" t="s">
        <v>9</v>
      </c>
      <c r="C74" s="857" t="s">
        <v>8</v>
      </c>
      <c r="D74" s="2">
        <v>0</v>
      </c>
      <c r="E74" s="863"/>
      <c r="F74" s="2"/>
      <c r="G74" s="83" t="str">
        <f>IF(D74=0,"0.00%",(H74-D74)/D74)</f>
        <v>0.00%</v>
      </c>
      <c r="H74" s="2">
        <f t="shared" si="50"/>
        <v>0</v>
      </c>
      <c r="I74" s="854" t="str">
        <f>TEXT('MYP Assumptions'!E75,"0.00%")&amp;", CPI"</f>
        <v>3.42%, CPI</v>
      </c>
      <c r="J74" s="66"/>
      <c r="K74" s="83" t="str">
        <f t="shared" si="40"/>
        <v>0.00%</v>
      </c>
      <c r="L74" s="2">
        <f t="shared" si="45"/>
        <v>0</v>
      </c>
      <c r="M74" s="854" t="str">
        <f>TEXT('MYP Assumptions'!F75,"0.00%")&amp;", CPI"</f>
        <v>3.35%, CPI</v>
      </c>
      <c r="O74" s="83" t="str">
        <f t="shared" si="41"/>
        <v>0.00%</v>
      </c>
      <c r="P74" s="2">
        <f t="shared" si="46"/>
        <v>0</v>
      </c>
      <c r="Q74" s="854" t="str">
        <f>TEXT('MYP Assumptions'!G75,"0.00%")&amp;", CPI"</f>
        <v>3.02%, CPI</v>
      </c>
      <c r="S74" s="83" t="str">
        <f t="shared" si="42"/>
        <v>0.00%</v>
      </c>
      <c r="T74" s="2">
        <f t="shared" si="47"/>
        <v>0</v>
      </c>
      <c r="U74" s="81" t="str">
        <f>TEXT('MYP Assumptions'!H75,"0.00%")&amp;", CPI"</f>
        <v>2.73%, CPI</v>
      </c>
      <c r="W74" s="83" t="str">
        <f t="shared" si="43"/>
        <v>0.00%</v>
      </c>
      <c r="X74" s="2">
        <f t="shared" si="48"/>
        <v>0</v>
      </c>
      <c r="Y74" s="81" t="str">
        <f>TEXT('MYP Assumptions'!I75,"0.00%")&amp;", CPI"</f>
        <v>2.73%, CPI</v>
      </c>
      <c r="AA74" s="83" t="str">
        <f t="shared" si="44"/>
        <v>0.00%</v>
      </c>
      <c r="AB74" s="2">
        <f t="shared" si="49"/>
        <v>0</v>
      </c>
      <c r="AC74" s="81" t="str">
        <f>TEXT('MYP Assumptions'!J75,"0.00%")&amp;", CPI"</f>
        <v>2.73%, CPI</v>
      </c>
    </row>
    <row r="75" spans="1:29" hidden="1" x14ac:dyDescent="0.25">
      <c r="A75" s="66"/>
      <c r="B75" s="939" t="s">
        <v>122</v>
      </c>
      <c r="C75" s="857" t="s">
        <v>123</v>
      </c>
      <c r="D75" s="2">
        <v>0</v>
      </c>
      <c r="E75" s="863"/>
      <c r="F75" s="2"/>
      <c r="G75" s="83" t="str">
        <f t="shared" ref="G75:G81" si="51">IF(D75=0,"0.00%",(H75-D75)/D75)</f>
        <v>0.00%</v>
      </c>
      <c r="H75" s="2">
        <f t="shared" si="50"/>
        <v>0</v>
      </c>
      <c r="I75" s="854" t="str">
        <f>TEXT('MYP Assumptions'!E75,"0.00%")&amp;", CPI"</f>
        <v>3.42%, CPI</v>
      </c>
      <c r="J75" s="66"/>
      <c r="K75" s="83" t="str">
        <f t="shared" si="40"/>
        <v>0.00%</v>
      </c>
      <c r="L75" s="2">
        <f t="shared" si="45"/>
        <v>0</v>
      </c>
      <c r="M75" s="854" t="str">
        <f>TEXT('MYP Assumptions'!F75,"0.00%")&amp;", CPI"</f>
        <v>3.35%, CPI</v>
      </c>
      <c r="O75" s="83" t="str">
        <f t="shared" si="41"/>
        <v>0.00%</v>
      </c>
      <c r="P75" s="2">
        <f t="shared" si="46"/>
        <v>0</v>
      </c>
      <c r="Q75" s="854" t="str">
        <f>TEXT('MYP Assumptions'!G75,"0.00%")&amp;", CPI"</f>
        <v>3.02%, CPI</v>
      </c>
      <c r="S75" s="83" t="str">
        <f t="shared" si="42"/>
        <v>0.00%</v>
      </c>
      <c r="T75" s="2">
        <f t="shared" si="47"/>
        <v>0</v>
      </c>
      <c r="U75" s="81" t="str">
        <f>TEXT('MYP Assumptions'!H75,"0.00%")&amp;", CPI"</f>
        <v>2.73%, CPI</v>
      </c>
      <c r="W75" s="83" t="str">
        <f t="shared" si="43"/>
        <v>0.00%</v>
      </c>
      <c r="X75" s="2">
        <f t="shared" si="48"/>
        <v>0</v>
      </c>
      <c r="Y75" s="81" t="str">
        <f>TEXT('MYP Assumptions'!I75,"0.00%")&amp;", CPI"</f>
        <v>2.73%, CPI</v>
      </c>
      <c r="AA75" s="83" t="str">
        <f t="shared" si="44"/>
        <v>0.00%</v>
      </c>
      <c r="AB75" s="2">
        <f t="shared" si="49"/>
        <v>0</v>
      </c>
      <c r="AC75" s="81" t="str">
        <f>TEXT('MYP Assumptions'!J75,"0.00%")&amp;", CPI"</f>
        <v>2.73%, CPI</v>
      </c>
    </row>
    <row r="76" spans="1:29" hidden="1" x14ac:dyDescent="0.25">
      <c r="A76" s="66"/>
      <c r="B76" s="939" t="s">
        <v>7</v>
      </c>
      <c r="C76" s="857" t="s">
        <v>6</v>
      </c>
      <c r="D76" s="2">
        <v>0</v>
      </c>
      <c r="E76" s="863"/>
      <c r="F76" s="2"/>
      <c r="G76" s="83" t="str">
        <f t="shared" si="51"/>
        <v>0.00%</v>
      </c>
      <c r="H76" s="2">
        <f>ROUND(D76*(LEFT(I76,5)+1),0)</f>
        <v>0</v>
      </c>
      <c r="I76" s="854" t="str">
        <f>TEXT('MYP Assumptions'!E75,"0.00%")&amp;", CPI"</f>
        <v>3.42%, CPI</v>
      </c>
      <c r="J76" s="66"/>
      <c r="K76" s="83" t="str">
        <f t="shared" si="40"/>
        <v>0.00%</v>
      </c>
      <c r="L76" s="2">
        <f t="shared" si="45"/>
        <v>0</v>
      </c>
      <c r="M76" s="854" t="str">
        <f>TEXT('MYP Assumptions'!F75,"0.00%")&amp;", CPI"</f>
        <v>3.35%, CPI</v>
      </c>
      <c r="O76" s="83" t="str">
        <f t="shared" si="41"/>
        <v>0.00%</v>
      </c>
      <c r="P76" s="2">
        <f t="shared" si="46"/>
        <v>0</v>
      </c>
      <c r="Q76" s="854" t="str">
        <f>TEXT('MYP Assumptions'!G75,"0.00%")&amp;", CPI"</f>
        <v>3.02%, CPI</v>
      </c>
      <c r="S76" s="83" t="str">
        <f t="shared" si="42"/>
        <v>0.00%</v>
      </c>
      <c r="T76" s="2">
        <f t="shared" si="47"/>
        <v>0</v>
      </c>
      <c r="U76" s="81" t="str">
        <f>TEXT('MYP Assumptions'!H75,"0.00%")&amp;", CPI"</f>
        <v>2.73%, CPI</v>
      </c>
      <c r="W76" s="83" t="str">
        <f t="shared" si="43"/>
        <v>0.00%</v>
      </c>
      <c r="X76" s="2">
        <f t="shared" si="48"/>
        <v>0</v>
      </c>
      <c r="Y76" s="81" t="str">
        <f>TEXT('MYP Assumptions'!I75,"0.00%")&amp;", CPI"</f>
        <v>2.73%, CPI</v>
      </c>
      <c r="AA76" s="83" t="str">
        <f t="shared" si="44"/>
        <v>0.00%</v>
      </c>
      <c r="AB76" s="2">
        <f t="shared" si="49"/>
        <v>0</v>
      </c>
      <c r="AC76" s="81" t="str">
        <f>TEXT('MYP Assumptions'!J75,"0.00%")&amp;", CPI"</f>
        <v>2.73%, CPI</v>
      </c>
    </row>
    <row r="77" spans="1:29" hidden="1" x14ac:dyDescent="0.25">
      <c r="A77" s="66"/>
      <c r="B77" s="939" t="s">
        <v>5</v>
      </c>
      <c r="C77" s="857" t="s">
        <v>4</v>
      </c>
      <c r="D77" s="2">
        <v>0</v>
      </c>
      <c r="E77" s="863"/>
      <c r="F77" s="2"/>
      <c r="G77" s="83" t="str">
        <f t="shared" si="51"/>
        <v>0.00%</v>
      </c>
      <c r="H77" s="2">
        <f>ROUND(D77*(LEFT(I77,5)+1),0)</f>
        <v>0</v>
      </c>
      <c r="I77" s="854" t="str">
        <f>TEXT('MYP Assumptions'!E75,"0.00%")&amp;", CPI"</f>
        <v>3.42%, CPI</v>
      </c>
      <c r="J77" s="66"/>
      <c r="K77" s="83" t="str">
        <f t="shared" si="40"/>
        <v>0.00%</v>
      </c>
      <c r="L77" s="2">
        <f t="shared" si="45"/>
        <v>0</v>
      </c>
      <c r="M77" s="854" t="str">
        <f>TEXT('MYP Assumptions'!F75,"0.00%")&amp;", CPI"</f>
        <v>3.35%, CPI</v>
      </c>
      <c r="O77" s="83" t="str">
        <f t="shared" si="41"/>
        <v>0.00%</v>
      </c>
      <c r="P77" s="2">
        <f t="shared" si="46"/>
        <v>0</v>
      </c>
      <c r="Q77" s="854" t="str">
        <f>TEXT('MYP Assumptions'!G75,"0.00%")&amp;", CPI"</f>
        <v>3.02%, CPI</v>
      </c>
      <c r="S77" s="83" t="str">
        <f t="shared" si="42"/>
        <v>0.00%</v>
      </c>
      <c r="T77" s="2">
        <f t="shared" si="47"/>
        <v>0</v>
      </c>
      <c r="U77" s="81" t="str">
        <f>TEXT('MYP Assumptions'!H75,"0.00%")&amp;", CPI"</f>
        <v>2.73%, CPI</v>
      </c>
      <c r="W77" s="83" t="str">
        <f t="shared" si="43"/>
        <v>0.00%</v>
      </c>
      <c r="X77" s="2">
        <f t="shared" si="48"/>
        <v>0</v>
      </c>
      <c r="Y77" s="81" t="str">
        <f>TEXT('MYP Assumptions'!I75,"0.00%")&amp;", CPI"</f>
        <v>2.73%, CPI</v>
      </c>
      <c r="AA77" s="83" t="str">
        <f t="shared" si="44"/>
        <v>0.00%</v>
      </c>
      <c r="AB77" s="2">
        <f t="shared" si="49"/>
        <v>0</v>
      </c>
      <c r="AC77" s="81" t="str">
        <f>TEXT('MYP Assumptions'!J75,"0.00%")&amp;", CPI"</f>
        <v>2.73%, CPI</v>
      </c>
    </row>
    <row r="78" spans="1:29" hidden="1" x14ac:dyDescent="0.25">
      <c r="A78" s="66"/>
      <c r="B78" s="939" t="s">
        <v>3</v>
      </c>
      <c r="C78" s="857" t="s">
        <v>2</v>
      </c>
      <c r="D78" s="2">
        <v>0</v>
      </c>
      <c r="E78" s="863"/>
      <c r="F78" s="2"/>
      <c r="G78" s="83" t="str">
        <f t="shared" si="51"/>
        <v>0.00%</v>
      </c>
      <c r="H78" s="2">
        <f>ROUND(D78*(LEFT(I78,5)+1),0)</f>
        <v>0</v>
      </c>
      <c r="I78" s="854" t="str">
        <f>TEXT('MYP Assumptions'!E75,"0.00%")&amp;", CPI"</f>
        <v>3.42%, CPI</v>
      </c>
      <c r="J78" s="66"/>
      <c r="K78" s="83" t="str">
        <f t="shared" si="40"/>
        <v>0.00%</v>
      </c>
      <c r="L78" s="2">
        <f t="shared" si="45"/>
        <v>0</v>
      </c>
      <c r="M78" s="854" t="str">
        <f>TEXT('MYP Assumptions'!F75,"0.00%")&amp;", CPI"</f>
        <v>3.35%, CPI</v>
      </c>
      <c r="O78" s="83" t="str">
        <f t="shared" si="41"/>
        <v>0.00%</v>
      </c>
      <c r="P78" s="2">
        <f t="shared" si="46"/>
        <v>0</v>
      </c>
      <c r="Q78" s="854" t="str">
        <f>TEXT('MYP Assumptions'!G75,"0.00%")&amp;", CPI"</f>
        <v>3.02%, CPI</v>
      </c>
      <c r="S78" s="83" t="str">
        <f t="shared" si="42"/>
        <v>0.00%</v>
      </c>
      <c r="T78" s="2">
        <f t="shared" si="47"/>
        <v>0</v>
      </c>
      <c r="U78" s="81" t="str">
        <f>TEXT('MYP Assumptions'!H75,"0.00%")&amp;", CPI"</f>
        <v>2.73%, CPI</v>
      </c>
      <c r="W78" s="83" t="str">
        <f t="shared" si="43"/>
        <v>0.00%</v>
      </c>
      <c r="X78" s="2">
        <f t="shared" si="48"/>
        <v>0</v>
      </c>
      <c r="Y78" s="81" t="str">
        <f>TEXT('MYP Assumptions'!I75,"0.00%")&amp;", CPI"</f>
        <v>2.73%, CPI</v>
      </c>
      <c r="AA78" s="83" t="str">
        <f t="shared" si="44"/>
        <v>0.00%</v>
      </c>
      <c r="AB78" s="2">
        <f t="shared" si="49"/>
        <v>0</v>
      </c>
      <c r="AC78" s="81" t="str">
        <f>TEXT('MYP Assumptions'!J75,"0.00%")&amp;", CPI"</f>
        <v>2.73%, CPI</v>
      </c>
    </row>
    <row r="79" spans="1:29" hidden="1" x14ac:dyDescent="0.25">
      <c r="A79" s="66"/>
      <c r="B79" s="939" t="s">
        <v>124</v>
      </c>
      <c r="C79" s="857" t="s">
        <v>125</v>
      </c>
      <c r="D79" s="2">
        <v>0</v>
      </c>
      <c r="E79" s="863"/>
      <c r="F79" s="2"/>
      <c r="G79" s="83" t="str">
        <f t="shared" si="51"/>
        <v>0.00%</v>
      </c>
      <c r="H79" s="2">
        <f>ROUND(D79*(LEFT(I79,5)+1),0)</f>
        <v>0</v>
      </c>
      <c r="I79" s="854" t="str">
        <f>TEXT('MYP Assumptions'!E75,"0.00%")&amp;", CPI"</f>
        <v>3.42%, CPI</v>
      </c>
      <c r="J79" s="66"/>
      <c r="K79" s="83" t="str">
        <f t="shared" si="40"/>
        <v>0.00%</v>
      </c>
      <c r="L79" s="2">
        <f t="shared" si="45"/>
        <v>0</v>
      </c>
      <c r="M79" s="854" t="str">
        <f>TEXT('MYP Assumptions'!F75,"0.00%")&amp;", CPI"</f>
        <v>3.35%, CPI</v>
      </c>
      <c r="O79" s="83" t="str">
        <f t="shared" si="41"/>
        <v>0.00%</v>
      </c>
      <c r="P79" s="2">
        <f t="shared" si="46"/>
        <v>0</v>
      </c>
      <c r="Q79" s="854" t="str">
        <f>TEXT('MYP Assumptions'!G75,"0.00%")&amp;", CPI"</f>
        <v>3.02%, CPI</v>
      </c>
      <c r="S79" s="83" t="str">
        <f t="shared" si="42"/>
        <v>0.00%</v>
      </c>
      <c r="T79" s="2">
        <f t="shared" si="47"/>
        <v>0</v>
      </c>
      <c r="U79" s="81" t="str">
        <f>TEXT('MYP Assumptions'!H75,"0.00%")&amp;", CPI"</f>
        <v>2.73%, CPI</v>
      </c>
      <c r="W79" s="83" t="str">
        <f t="shared" si="43"/>
        <v>0.00%</v>
      </c>
      <c r="X79" s="2">
        <f t="shared" si="48"/>
        <v>0</v>
      </c>
      <c r="Y79" s="81" t="str">
        <f>TEXT('MYP Assumptions'!I75,"0.00%")&amp;", CPI"</f>
        <v>2.73%, CPI</v>
      </c>
      <c r="AA79" s="83" t="str">
        <f t="shared" si="44"/>
        <v>0.00%</v>
      </c>
      <c r="AB79" s="2">
        <f t="shared" si="49"/>
        <v>0</v>
      </c>
      <c r="AC79" s="81" t="str">
        <f>TEXT('MYP Assumptions'!J75,"0.00%")&amp;", CPI"</f>
        <v>2.73%, CPI</v>
      </c>
    </row>
    <row r="80" spans="1:29" hidden="1" x14ac:dyDescent="0.25">
      <c r="A80" s="66"/>
      <c r="B80" s="939" t="s">
        <v>1</v>
      </c>
      <c r="D80" s="2">
        <f>'RS 3010-ALL'!AF80</f>
        <v>0</v>
      </c>
      <c r="E80" s="863"/>
      <c r="F80" s="2"/>
      <c r="G80" s="83" t="str">
        <f t="shared" si="51"/>
        <v>0.00%</v>
      </c>
      <c r="H80" s="2">
        <f>ROUND(D80*(LEFT(I80,5)+1),0)</f>
        <v>0</v>
      </c>
      <c r="I80" s="854" t="str">
        <f>TEXT('MYP Assumptions'!E75,"0.00%")&amp;", CPI"</f>
        <v>3.42%, CPI</v>
      </c>
      <c r="J80" s="66"/>
      <c r="K80" s="83" t="str">
        <f t="shared" si="40"/>
        <v>0.00%</v>
      </c>
      <c r="L80" s="2">
        <f t="shared" si="45"/>
        <v>0</v>
      </c>
      <c r="M80" s="854" t="str">
        <f>TEXT('MYP Assumptions'!F75,"0.00%")&amp;", CPI"</f>
        <v>3.35%, CPI</v>
      </c>
      <c r="O80" s="83" t="str">
        <f t="shared" si="41"/>
        <v>0.00%</v>
      </c>
      <c r="P80" s="2">
        <f t="shared" si="46"/>
        <v>0</v>
      </c>
      <c r="Q80" s="854" t="str">
        <f>TEXT('MYP Assumptions'!G75,"0.00%")&amp;", CPI"</f>
        <v>3.02%, CPI</v>
      </c>
      <c r="S80" s="83" t="str">
        <f t="shared" si="42"/>
        <v>0.00%</v>
      </c>
      <c r="T80" s="2">
        <f t="shared" si="47"/>
        <v>0</v>
      </c>
      <c r="U80" s="81" t="str">
        <f>TEXT('MYP Assumptions'!H75,"0.00%")&amp;", CPI"</f>
        <v>2.73%, CPI</v>
      </c>
      <c r="W80" s="83" t="str">
        <f t="shared" si="43"/>
        <v>0.00%</v>
      </c>
      <c r="X80" s="2">
        <f t="shared" si="48"/>
        <v>0</v>
      </c>
      <c r="Y80" s="81" t="str">
        <f>TEXT('MYP Assumptions'!I75,"0.00%")&amp;", CPI"</f>
        <v>2.73%, CPI</v>
      </c>
      <c r="AA80" s="83" t="str">
        <f t="shared" si="44"/>
        <v>0.00%</v>
      </c>
      <c r="AB80" s="2">
        <f t="shared" si="49"/>
        <v>0</v>
      </c>
      <c r="AC80" s="81" t="str">
        <f>TEXT('MYP Assumptions'!J75,"0.00%")&amp;", CPI"</f>
        <v>2.73%, CPI</v>
      </c>
    </row>
    <row r="81" spans="1:29" x14ac:dyDescent="0.25">
      <c r="A81" s="29"/>
      <c r="D81" s="8">
        <f>SUM(D68:D80)</f>
        <v>15642</v>
      </c>
      <c r="E81" s="863"/>
      <c r="F81" s="2"/>
      <c r="G81" s="83">
        <f t="shared" si="51"/>
        <v>-4.1043344840813192E-2</v>
      </c>
      <c r="H81" s="8">
        <f>SUM(H68:H80)</f>
        <v>15000</v>
      </c>
      <c r="I81" s="1292">
        <f>+H81-D81</f>
        <v>-642</v>
      </c>
      <c r="J81" s="29"/>
      <c r="K81" s="83">
        <f t="shared" si="40"/>
        <v>0</v>
      </c>
      <c r="L81" s="8">
        <f>SUM(L68:L80)</f>
        <v>15000</v>
      </c>
      <c r="M81" s="1292">
        <f>+L81-H81</f>
        <v>0</v>
      </c>
      <c r="O81" s="83">
        <f t="shared" si="41"/>
        <v>0</v>
      </c>
      <c r="P81" s="8">
        <f>SUM(P68:P80)</f>
        <v>15000</v>
      </c>
      <c r="Q81" s="1292">
        <f>+P81-L81</f>
        <v>0</v>
      </c>
      <c r="S81" s="83">
        <f t="shared" si="42"/>
        <v>0</v>
      </c>
      <c r="T81" s="8">
        <f>SUM(T68:T80)</f>
        <v>15000</v>
      </c>
      <c r="U81" s="73"/>
      <c r="W81" s="83">
        <f t="shared" si="43"/>
        <v>0</v>
      </c>
      <c r="X81" s="8">
        <f>SUM(X68:X80)</f>
        <v>15000</v>
      </c>
      <c r="Y81" s="73"/>
      <c r="AA81" s="83">
        <f t="shared" si="44"/>
        <v>2.7333333333333334E-2</v>
      </c>
      <c r="AB81" s="8">
        <f>SUM(AB68:AB80)</f>
        <v>15410</v>
      </c>
      <c r="AC81" s="73"/>
    </row>
    <row r="82" spans="1:29" x14ac:dyDescent="0.25">
      <c r="A82" s="66"/>
      <c r="B82" s="936"/>
      <c r="E82" s="863"/>
      <c r="F82" s="2"/>
      <c r="G82" s="83"/>
      <c r="H82" s="2"/>
      <c r="I82" s="871"/>
      <c r="J82" s="66"/>
      <c r="L82" s="2"/>
      <c r="M82" s="948"/>
      <c r="Q82" s="948"/>
      <c r="T82" s="2"/>
      <c r="U82" s="73"/>
      <c r="X82" s="2"/>
      <c r="Y82" s="73"/>
      <c r="AB82" s="2"/>
      <c r="AC82" s="73"/>
    </row>
    <row r="83" spans="1:29" x14ac:dyDescent="0.25">
      <c r="A83" s="66"/>
      <c r="E83" s="863"/>
      <c r="F83" s="2"/>
      <c r="H83" s="2"/>
      <c r="I83" s="871"/>
      <c r="J83" s="66"/>
      <c r="L83" s="2"/>
      <c r="M83" s="948"/>
      <c r="Q83" s="948"/>
      <c r="T83" s="2"/>
      <c r="U83" s="73"/>
      <c r="X83" s="2"/>
      <c r="Y83" s="73"/>
      <c r="AB83" s="2"/>
      <c r="AC83" s="73"/>
    </row>
    <row r="84" spans="1:29" x14ac:dyDescent="0.25">
      <c r="A84" s="29"/>
      <c r="B84" s="936" t="s">
        <v>0</v>
      </c>
      <c r="D84" s="8">
        <f>SUM(D81,D65,D54,D13)</f>
        <v>209924.78</v>
      </c>
      <c r="E84" s="863"/>
      <c r="F84" s="2"/>
      <c r="G84" s="83">
        <f>IF(D84=0,"0.00%",(H84-D84)/D84)</f>
        <v>0.21529721264921656</v>
      </c>
      <c r="H84" s="8">
        <f>SUM(H81,H65,H54,H13)</f>
        <v>255121</v>
      </c>
      <c r="I84" s="1292">
        <f>+H84-D84</f>
        <v>45196.22</v>
      </c>
      <c r="J84" s="29"/>
      <c r="K84" s="83">
        <f>IF(H84=0,"0.00%",(L84-H84)/H84)</f>
        <v>3.430921013950243E-2</v>
      </c>
      <c r="L84" s="8">
        <f>SUM(L81,L65,L54,L13)</f>
        <v>263874</v>
      </c>
      <c r="M84" s="1292">
        <f>+L84-H84</f>
        <v>8753</v>
      </c>
      <c r="O84" s="83">
        <f>IF(L84=0,"0.00%",(P84-L84)/L84)</f>
        <v>3.5990662209994161E-2</v>
      </c>
      <c r="P84" s="8">
        <f>SUM(P81,P65,P54,P13)</f>
        <v>273371</v>
      </c>
      <c r="Q84" s="1292">
        <f>+P84-L84</f>
        <v>9497</v>
      </c>
      <c r="S84" s="83">
        <f>IF(P84=0,"0.00%",(T84-P84)/P84)</f>
        <v>1.8802287001913151E-2</v>
      </c>
      <c r="T84" s="8">
        <f>SUM(T81,T65,T54,T13)</f>
        <v>278511</v>
      </c>
      <c r="U84" s="73"/>
      <c r="W84" s="83">
        <f>IF(T84=0,"0.00%",(X84-T84)/T84)</f>
        <v>2.3248632908574526E-2</v>
      </c>
      <c r="X84" s="8">
        <f>SUM(X81,X65,X54,X13)</f>
        <v>284986</v>
      </c>
      <c r="Y84" s="73"/>
      <c r="AA84" s="83">
        <f>IF(X84=0,"0.00%",(AB84-X84)/X84)</f>
        <v>0.27634690826917813</v>
      </c>
      <c r="AB84" s="8">
        <f>SUM(AB81,AB65,AB54,AB13)</f>
        <v>363741</v>
      </c>
      <c r="AC84" s="73"/>
    </row>
    <row r="85" spans="1:29" x14ac:dyDescent="0.25">
      <c r="A85" s="66"/>
      <c r="E85" s="863"/>
      <c r="F85" s="2"/>
      <c r="H85" s="2"/>
      <c r="I85" s="871"/>
      <c r="J85" s="66"/>
      <c r="L85" s="2"/>
      <c r="M85" s="948"/>
      <c r="Q85" s="948"/>
      <c r="T85" s="2"/>
      <c r="U85" s="73"/>
      <c r="X85" s="2"/>
      <c r="Y85" s="73"/>
      <c r="AB85" s="2"/>
      <c r="AC85" s="73"/>
    </row>
    <row r="86" spans="1:29" x14ac:dyDescent="0.25">
      <c r="A86" s="66"/>
      <c r="B86" s="936" t="s">
        <v>138</v>
      </c>
      <c r="D86" s="3">
        <f>D11-D84</f>
        <v>0</v>
      </c>
      <c r="G86" s="83" t="str">
        <f>IF(D86=0,"0.00%",(H86-D86)/D86)</f>
        <v>0.00%</v>
      </c>
      <c r="H86" s="3">
        <f>H11-H84</f>
        <v>0</v>
      </c>
      <c r="I86" s="871"/>
      <c r="J86" s="66"/>
      <c r="K86" s="83" t="str">
        <f>IF(H86=0,"0.00%",(L86-H86)/H86)</f>
        <v>0.00%</v>
      </c>
      <c r="L86" s="3">
        <f>L11-L84</f>
        <v>0</v>
      </c>
      <c r="M86" s="948"/>
      <c r="O86" s="83" t="str">
        <f>IF(L86=0,"0.00%",(P86-L86)/L86)</f>
        <v>0.00%</v>
      </c>
      <c r="P86" s="3">
        <f>P11-P84</f>
        <v>0</v>
      </c>
      <c r="Q86" s="948"/>
      <c r="S86" s="83" t="str">
        <f>IF(P86=0,"0.00%",(T86-P86)/P86)</f>
        <v>0.00%</v>
      </c>
      <c r="T86" s="3">
        <f>T11-T84</f>
        <v>-25562</v>
      </c>
      <c r="U86" s="73"/>
      <c r="W86" s="83">
        <f>IF(T86=0,"0.00%",(X86-T86)/T86)</f>
        <v>-0.14615444800876301</v>
      </c>
      <c r="X86" s="3">
        <f>X11-X84</f>
        <v>-21826</v>
      </c>
      <c r="Y86" s="73"/>
      <c r="AA86" s="83">
        <f>IF(X86=0,"0.00%",(AB86-X86)/X86)</f>
        <v>3.608311188490791</v>
      </c>
      <c r="AB86" s="3">
        <f>AB11-AB84</f>
        <v>-100581</v>
      </c>
      <c r="AC86" s="73"/>
    </row>
    <row r="87" spans="1:29" x14ac:dyDescent="0.25">
      <c r="B87" s="936"/>
      <c r="C87" s="930"/>
      <c r="D87" s="3"/>
      <c r="H87" s="3"/>
      <c r="I87" s="871"/>
      <c r="J87" s="66"/>
      <c r="L87" s="3"/>
      <c r="M87" s="948"/>
      <c r="P87" s="3"/>
      <c r="Q87" s="948"/>
      <c r="T87" s="44"/>
      <c r="U87" s="73"/>
      <c r="X87" s="44"/>
      <c r="Y87" s="73"/>
      <c r="AB87" s="44"/>
      <c r="AC87" s="73"/>
    </row>
    <row r="88" spans="1:29" x14ac:dyDescent="0.25">
      <c r="B88" s="936" t="s">
        <v>136</v>
      </c>
      <c r="C88" s="932"/>
      <c r="D88" s="3">
        <f>D7+D86</f>
        <v>0</v>
      </c>
      <c r="G88" s="83" t="str">
        <f>IF(D88=0,"0.00%",(H88-D88)/D88)</f>
        <v>0.00%</v>
      </c>
      <c r="H88" s="3">
        <f>H7+H86</f>
        <v>0</v>
      </c>
      <c r="I88" s="871"/>
      <c r="J88" s="66"/>
      <c r="K88" s="83" t="str">
        <f>IF(H88=0,"0.00%",(L88-H88)/H88)</f>
        <v>0.00%</v>
      </c>
      <c r="L88" s="3">
        <f>L7+L86</f>
        <v>0</v>
      </c>
      <c r="M88" s="948">
        <f>+L88/1.0444</f>
        <v>0</v>
      </c>
      <c r="O88" s="83" t="str">
        <f>IF(L88=0,"0.00%",(P88-L88)/L88)</f>
        <v>0.00%</v>
      </c>
      <c r="P88" s="3">
        <f>P7+P86</f>
        <v>0</v>
      </c>
      <c r="Q88" s="948"/>
      <c r="S88" s="83" t="str">
        <f>IF(P88=0,"0.00%",(T88-P88)/P88)</f>
        <v>0.00%</v>
      </c>
      <c r="T88" s="49">
        <f>T7+T86</f>
        <v>-25562</v>
      </c>
      <c r="U88" s="73"/>
      <c r="W88" s="83">
        <f>IF(T88=0,"0.00%",(X88-T88)/T88)</f>
        <v>0.85384555199123702</v>
      </c>
      <c r="X88" s="49">
        <f>X7+X86</f>
        <v>-47388</v>
      </c>
      <c r="Y88" s="73"/>
      <c r="AA88" s="83">
        <f>IF(X88=0,"0.00%",(AB88-X88)/X88)</f>
        <v>2.1224993669283361</v>
      </c>
      <c r="AB88" s="49">
        <f>AB7+AB86</f>
        <v>-147969</v>
      </c>
      <c r="AC88" s="73"/>
    </row>
    <row r="89" spans="1:29" x14ac:dyDescent="0.25">
      <c r="C89" s="873"/>
      <c r="G89" s="374"/>
      <c r="H89" s="2"/>
      <c r="I89" s="872"/>
      <c r="J89" s="29"/>
      <c r="L89" s="2"/>
      <c r="M89" s="948"/>
      <c r="Q89" s="948"/>
      <c r="U89" s="73"/>
      <c r="Y89" s="73"/>
      <c r="AC89" s="73"/>
    </row>
    <row r="90" spans="1:29" x14ac:dyDescent="0.25">
      <c r="C90" s="868"/>
      <c r="G90" s="374"/>
      <c r="H90" s="36"/>
      <c r="I90" s="871"/>
      <c r="J90" s="66"/>
      <c r="L90" s="2"/>
      <c r="M90" s="948"/>
      <c r="Q90" s="948"/>
      <c r="T90" s="2"/>
      <c r="U90" s="73"/>
      <c r="X90" s="2"/>
      <c r="Y90" s="73"/>
      <c r="AB90" s="2"/>
      <c r="AC90" s="73"/>
    </row>
    <row r="91" spans="1:29" x14ac:dyDescent="0.25">
      <c r="C91" s="868"/>
      <c r="G91" s="374"/>
      <c r="H91" s="36"/>
      <c r="I91" s="871"/>
      <c r="J91" s="66"/>
      <c r="L91" s="2"/>
      <c r="M91" s="948"/>
      <c r="Q91" s="948"/>
      <c r="T91" s="2"/>
      <c r="U91" s="73"/>
      <c r="X91" s="2"/>
      <c r="Y91" s="73"/>
      <c r="AB91" s="2"/>
      <c r="AC91" s="73"/>
    </row>
    <row r="92" spans="1:29" x14ac:dyDescent="0.25">
      <c r="C92" s="868"/>
      <c r="G92" s="374"/>
      <c r="H92" s="36"/>
      <c r="I92" s="871"/>
      <c r="J92" s="66"/>
      <c r="L92" s="2"/>
      <c r="M92" s="948"/>
      <c r="Q92" s="948"/>
      <c r="T92" s="2"/>
      <c r="U92" s="73"/>
      <c r="X92" s="2"/>
      <c r="Y92" s="73"/>
      <c r="AB92" s="2"/>
      <c r="AC92" s="73"/>
    </row>
    <row r="93" spans="1:29" x14ac:dyDescent="0.25">
      <c r="C93" s="868"/>
      <c r="G93" s="374"/>
      <c r="H93" s="36"/>
      <c r="I93" s="871"/>
      <c r="J93" s="66"/>
      <c r="L93" s="2"/>
      <c r="M93" s="948"/>
      <c r="Q93" s="948"/>
      <c r="T93" s="2"/>
      <c r="U93" s="73"/>
      <c r="X93" s="2"/>
      <c r="Y93" s="73"/>
      <c r="AB93" s="2"/>
      <c r="AC93" s="73"/>
    </row>
    <row r="94" spans="1:29" s="137" customFormat="1" ht="11.25" x14ac:dyDescent="0.2">
      <c r="A94" s="131"/>
      <c r="B94" s="942"/>
      <c r="C94" s="943" t="s">
        <v>223</v>
      </c>
      <c r="D94" s="134">
        <f>+D81+D65+D52+D40+D29</f>
        <v>202434.7</v>
      </c>
      <c r="E94" s="865"/>
      <c r="G94" s="133" t="s">
        <v>223</v>
      </c>
      <c r="H94" s="134">
        <f>+H81+H65+H52+H40+H29</f>
        <v>244275</v>
      </c>
      <c r="I94" s="874"/>
      <c r="J94" s="135"/>
      <c r="K94" s="133" t="s">
        <v>223</v>
      </c>
      <c r="L94" s="134">
        <f>+L81+L65+L52+L40+L29</f>
        <v>252656</v>
      </c>
      <c r="M94" s="951"/>
      <c r="O94" s="133" t="s">
        <v>223</v>
      </c>
      <c r="P94" s="134">
        <f>+P81+P65+P52+P40+P29</f>
        <v>261749</v>
      </c>
      <c r="Q94" s="951"/>
      <c r="R94" s="139"/>
      <c r="S94" s="133" t="s">
        <v>223</v>
      </c>
      <c r="T94" s="134">
        <f>+T81+T65+T52+T40+T29</f>
        <v>269486</v>
      </c>
      <c r="U94" s="138"/>
      <c r="W94" s="133" t="s">
        <v>223</v>
      </c>
      <c r="X94" s="134">
        <f>+X81+X65+X52+X40+X29</f>
        <v>275596</v>
      </c>
      <c r="Y94" s="138"/>
      <c r="AA94" s="133" t="s">
        <v>223</v>
      </c>
      <c r="AB94" s="134">
        <f>+AB81+AB65+AB52+AB40+AB29</f>
        <v>282315</v>
      </c>
      <c r="AC94" s="138"/>
    </row>
    <row r="95" spans="1:29" s="137" customFormat="1" ht="11.25" x14ac:dyDescent="0.2">
      <c r="A95" s="140"/>
      <c r="B95" s="942"/>
      <c r="C95" s="944" t="s">
        <v>224</v>
      </c>
      <c r="D95" s="142">
        <f>+D13</f>
        <v>7490.08</v>
      </c>
      <c r="E95" s="866"/>
      <c r="F95" s="144"/>
      <c r="G95" s="375" t="s">
        <v>224</v>
      </c>
      <c r="H95" s="142">
        <f>+H13</f>
        <v>10846</v>
      </c>
      <c r="I95" s="951"/>
      <c r="J95" s="143"/>
      <c r="K95" s="375" t="s">
        <v>224</v>
      </c>
      <c r="L95" s="142">
        <f>+L13</f>
        <v>11218</v>
      </c>
      <c r="M95" s="951"/>
      <c r="O95" s="375" t="s">
        <v>224</v>
      </c>
      <c r="P95" s="142">
        <f>+P13</f>
        <v>11622</v>
      </c>
      <c r="Q95" s="951"/>
      <c r="R95" s="139"/>
      <c r="S95" s="141" t="s">
        <v>224</v>
      </c>
      <c r="T95" s="142">
        <f>+T13</f>
        <v>9025</v>
      </c>
      <c r="W95" s="141" t="s">
        <v>224</v>
      </c>
      <c r="X95" s="142">
        <f>+X13</f>
        <v>9390</v>
      </c>
      <c r="AA95" s="141" t="s">
        <v>224</v>
      </c>
      <c r="AB95" s="142">
        <f>+AB13</f>
        <v>81426</v>
      </c>
    </row>
    <row r="96" spans="1:29" s="137" customFormat="1" ht="11.25" x14ac:dyDescent="0.2">
      <c r="A96" s="140"/>
      <c r="B96" s="942"/>
      <c r="C96" s="944"/>
      <c r="D96" s="145">
        <f>+D94+D95</f>
        <v>209924.78</v>
      </c>
      <c r="E96" s="866"/>
      <c r="F96" s="144"/>
      <c r="G96" s="375"/>
      <c r="H96" s="145">
        <f>+H94+H95</f>
        <v>255121</v>
      </c>
      <c r="I96" s="875"/>
      <c r="J96" s="143"/>
      <c r="K96" s="375"/>
      <c r="L96" s="145">
        <f>+L94+L95</f>
        <v>263874</v>
      </c>
      <c r="M96" s="865"/>
      <c r="O96" s="375"/>
      <c r="P96" s="145">
        <f>+P94+P95</f>
        <v>273371</v>
      </c>
      <c r="Q96" s="865"/>
      <c r="R96" s="139"/>
      <c r="S96" s="141"/>
      <c r="T96" s="145">
        <f>+T94+T95</f>
        <v>278511</v>
      </c>
      <c r="W96" s="141"/>
      <c r="X96" s="145">
        <f>+X94+X95</f>
        <v>284986</v>
      </c>
      <c r="AA96" s="141"/>
      <c r="AB96" s="145">
        <f>+AB94+AB95</f>
        <v>363741</v>
      </c>
    </row>
    <row r="97" spans="1:28" ht="15" customHeight="1" x14ac:dyDescent="0.25">
      <c r="A97" s="66"/>
      <c r="B97" s="945"/>
      <c r="C97" s="945"/>
      <c r="D97" s="5">
        <f>+D84-D96</f>
        <v>0</v>
      </c>
      <c r="E97" s="863"/>
      <c r="F97" s="2"/>
      <c r="G97" s="376"/>
      <c r="H97" s="5">
        <f>+H84-H96</f>
        <v>0</v>
      </c>
      <c r="K97" s="376"/>
      <c r="L97" s="5">
        <f>+L84-L96</f>
        <v>0</v>
      </c>
      <c r="O97" s="376"/>
      <c r="P97" s="5">
        <f>+P84-P96</f>
        <v>0</v>
      </c>
      <c r="S97" s="103"/>
      <c r="T97" s="5">
        <f>+T84-T96</f>
        <v>0</v>
      </c>
      <c r="W97" s="103"/>
      <c r="X97" s="5">
        <f>+X84-X96</f>
        <v>0</v>
      </c>
      <c r="AA97" s="103"/>
      <c r="AB97" s="5">
        <f>+AB84-AB96</f>
        <v>0</v>
      </c>
    </row>
    <row r="98" spans="1:28" x14ac:dyDescent="0.25">
      <c r="A98" s="66"/>
      <c r="B98" s="945"/>
      <c r="C98" s="945"/>
      <c r="D98" s="36"/>
      <c r="E98" s="863"/>
      <c r="F98" s="2"/>
    </row>
    <row r="99" spans="1:28" x14ac:dyDescent="0.25">
      <c r="A99" s="66"/>
      <c r="B99" s="932"/>
      <c r="C99" s="868"/>
      <c r="D99" s="25"/>
      <c r="E99" s="863"/>
      <c r="F99" s="2"/>
    </row>
    <row r="100" spans="1:28" x14ac:dyDescent="0.25">
      <c r="B100" s="932"/>
      <c r="C100" s="868"/>
      <c r="D100" s="36"/>
    </row>
    <row r="101" spans="1:28" x14ac:dyDescent="0.25">
      <c r="B101" s="932"/>
      <c r="C101" s="868"/>
      <c r="D101" s="36"/>
    </row>
    <row r="102" spans="1:28" ht="15" customHeight="1" x14ac:dyDescent="0.25">
      <c r="B102" s="932"/>
      <c r="C102" s="868"/>
      <c r="D102" s="36"/>
    </row>
    <row r="103" spans="1:28" x14ac:dyDescent="0.25">
      <c r="B103" s="932"/>
      <c r="C103" s="868"/>
      <c r="D103" s="36"/>
    </row>
    <row r="104" spans="1:28" x14ac:dyDescent="0.25">
      <c r="B104" s="932"/>
      <c r="C104" s="868"/>
      <c r="D104" s="36"/>
    </row>
    <row r="105" spans="1:28" ht="15" customHeight="1" x14ac:dyDescent="0.25">
      <c r="B105" s="2209"/>
      <c r="C105" s="2209"/>
      <c r="D105" s="36"/>
    </row>
    <row r="106" spans="1:28" x14ac:dyDescent="0.25">
      <c r="B106" s="2209"/>
      <c r="C106" s="2209"/>
      <c r="D106" s="36"/>
    </row>
    <row r="107" spans="1:28" x14ac:dyDescent="0.25">
      <c r="B107" s="932"/>
      <c r="C107" s="868"/>
      <c r="D107" s="6"/>
    </row>
    <row r="108" spans="1:28" x14ac:dyDescent="0.25">
      <c r="B108" s="932"/>
      <c r="C108" s="868"/>
      <c r="D108" s="36"/>
    </row>
    <row r="109" spans="1:28" x14ac:dyDescent="0.25">
      <c r="B109" s="932"/>
      <c r="C109" s="868"/>
      <c r="D109" s="36"/>
    </row>
    <row r="110" spans="1:28" ht="28.5" customHeight="1" x14ac:dyDescent="0.25">
      <c r="B110" s="932"/>
      <c r="C110" s="868"/>
      <c r="D110" s="25"/>
    </row>
    <row r="111" spans="1:28" x14ac:dyDescent="0.25">
      <c r="B111" s="932"/>
      <c r="C111" s="868"/>
      <c r="D111" s="36"/>
    </row>
    <row r="112" spans="1:28" x14ac:dyDescent="0.25">
      <c r="B112" s="932"/>
      <c r="C112" s="868"/>
      <c r="D112" s="36"/>
    </row>
    <row r="113" spans="2:4" x14ac:dyDescent="0.25">
      <c r="B113" s="932"/>
      <c r="C113" s="868"/>
      <c r="D113" s="36"/>
    </row>
    <row r="114" spans="2:4" x14ac:dyDescent="0.25">
      <c r="B114" s="932"/>
      <c r="C114" s="868"/>
      <c r="D114" s="36"/>
    </row>
    <row r="115" spans="2:4" x14ac:dyDescent="0.25">
      <c r="B115" s="932"/>
      <c r="C115" s="868"/>
      <c r="D115" s="36"/>
    </row>
    <row r="116" spans="2:4" x14ac:dyDescent="0.25">
      <c r="B116" s="932"/>
      <c r="C116" s="868"/>
      <c r="D116" s="36"/>
    </row>
    <row r="117" spans="2:4" x14ac:dyDescent="0.25">
      <c r="B117" s="932"/>
      <c r="C117" s="868"/>
      <c r="D117" s="36"/>
    </row>
    <row r="118" spans="2:4" x14ac:dyDescent="0.25">
      <c r="B118" s="932"/>
      <c r="C118" s="868"/>
      <c r="D118" s="36"/>
    </row>
    <row r="119" spans="2:4" x14ac:dyDescent="0.25">
      <c r="B119" s="932"/>
      <c r="C119" s="868"/>
      <c r="D119" s="36"/>
    </row>
    <row r="120" spans="2:4" x14ac:dyDescent="0.25">
      <c r="B120" s="932"/>
      <c r="C120" s="868"/>
      <c r="D120" s="36"/>
    </row>
    <row r="121" spans="2:4" x14ac:dyDescent="0.25">
      <c r="B121" s="932"/>
      <c r="C121" s="868"/>
      <c r="D121" s="36"/>
    </row>
    <row r="122" spans="2:4" x14ac:dyDescent="0.25">
      <c r="B122" s="932"/>
      <c r="C122" s="868"/>
      <c r="D122" s="36"/>
    </row>
    <row r="123" spans="2:4" x14ac:dyDescent="0.25">
      <c r="B123" s="932"/>
      <c r="C123" s="868"/>
      <c r="D123" s="36"/>
    </row>
    <row r="124" spans="2:4" x14ac:dyDescent="0.25">
      <c r="B124" s="932"/>
      <c r="C124" s="868"/>
      <c r="D124" s="36"/>
    </row>
    <row r="125" spans="2:4" x14ac:dyDescent="0.25">
      <c r="B125" s="932"/>
      <c r="C125" s="868"/>
      <c r="D125" s="36"/>
    </row>
  </sheetData>
  <sheetProtection password="B79F" sheet="1" objects="1" scenarios="1"/>
  <mergeCells count="1">
    <mergeCell ref="B105:C106"/>
  </mergeCells>
  <pageMargins left="0.25" right="0.25" top="0.5" bottom="0.5" header="0.25" footer="0.25"/>
  <pageSetup paperSize="5" scale="71" orientation="portrait" r:id="rId1"/>
  <headerFooter>
    <oddHeader>&amp;L&amp;F</oddHeader>
    <oddFooter>&amp;R&amp;A</oddFooter>
  </headerFooter>
  <ignoredErrors>
    <ignoredError sqref="B21"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26"/>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1.7109375" style="56" customWidth="1"/>
    <col min="2" max="2" width="8.5703125" style="930" customWidth="1"/>
    <col min="3" max="3" width="18.28515625" style="857" customWidth="1"/>
    <col min="4" max="4" width="16" style="2" customWidth="1"/>
    <col min="5" max="5" width="17.7109375" style="857" hidden="1" customWidth="1"/>
    <col min="6" max="6" width="6" style="39" customWidth="1"/>
    <col min="7" max="7" width="9.7109375" style="52" bestFit="1" customWidth="1"/>
    <col min="8" max="8" width="13.85546875" style="122" bestFit="1" customWidth="1"/>
    <col min="9" max="9" width="26" style="868" hidden="1" customWidth="1"/>
    <col min="10" max="10" width="5.7109375" style="59" customWidth="1"/>
    <col min="11" max="11" width="8.7109375" style="377" bestFit="1" customWidth="1"/>
    <col min="12" max="12" width="14" style="123" bestFit="1" customWidth="1"/>
    <col min="13" max="13" width="26" style="857" hidden="1" customWidth="1"/>
    <col min="14" max="14" width="5.7109375" style="39" customWidth="1"/>
    <col min="15" max="15" width="9.42578125" style="377" bestFit="1" customWidth="1"/>
    <col min="16" max="16" width="14" style="2" bestFit="1" customWidth="1"/>
    <col min="17" max="17" width="24.85546875" style="857" hidden="1" customWidth="1"/>
    <col min="18" max="18" width="5.7109375" style="109" customWidth="1"/>
    <col min="19" max="19" width="16"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930" t="s">
        <v>61</v>
      </c>
      <c r="C1" s="931" t="s">
        <v>221</v>
      </c>
      <c r="D1" s="97">
        <v>20112</v>
      </c>
      <c r="E1" s="855" t="s">
        <v>956</v>
      </c>
      <c r="F1" s="98"/>
      <c r="G1" s="369"/>
      <c r="H1" s="97">
        <v>22535</v>
      </c>
      <c r="I1" s="855" t="s">
        <v>957</v>
      </c>
      <c r="K1" s="382"/>
      <c r="L1" s="97">
        <f>+H1</f>
        <v>22535</v>
      </c>
      <c r="M1" s="855" t="s">
        <v>957</v>
      </c>
      <c r="N1" s="51"/>
      <c r="O1" s="382"/>
      <c r="P1" s="97">
        <f>+L1</f>
        <v>22535</v>
      </c>
      <c r="Q1" s="855" t="s">
        <v>957</v>
      </c>
      <c r="T1" s="86">
        <f>P1</f>
        <v>22535</v>
      </c>
      <c r="U1" s="98"/>
      <c r="X1" s="86">
        <f>T1</f>
        <v>22535</v>
      </c>
      <c r="Y1" s="98"/>
      <c r="AB1" s="86">
        <f>X1</f>
        <v>22535</v>
      </c>
      <c r="AC1" s="98"/>
    </row>
    <row r="2" spans="1:29" ht="17.25" x14ac:dyDescent="0.4">
      <c r="B2" s="932" t="s">
        <v>59</v>
      </c>
      <c r="C2" s="933" t="s">
        <v>696</v>
      </c>
      <c r="D2" s="2">
        <f>-23528.3+13755.59</f>
        <v>-9772.7099999999991</v>
      </c>
      <c r="E2" s="855" t="s">
        <v>954</v>
      </c>
      <c r="F2" s="98"/>
      <c r="G2" s="370"/>
      <c r="H2" s="2">
        <v>11186.71</v>
      </c>
      <c r="I2" s="855" t="s">
        <v>216</v>
      </c>
      <c r="K2" s="382"/>
      <c r="L2" s="2">
        <f>-H3</f>
        <v>11186.71</v>
      </c>
      <c r="M2" s="855" t="s">
        <v>216</v>
      </c>
      <c r="N2" s="51"/>
      <c r="O2" s="382"/>
      <c r="P2" s="2">
        <f>-L3</f>
        <v>11186.71</v>
      </c>
      <c r="Q2" s="855" t="s">
        <v>216</v>
      </c>
      <c r="T2" s="87">
        <v>0</v>
      </c>
      <c r="U2" s="98"/>
      <c r="X2" s="87">
        <v>0</v>
      </c>
      <c r="Y2" s="98"/>
      <c r="AB2" s="87">
        <v>0</v>
      </c>
      <c r="AC2" s="98"/>
    </row>
    <row r="3" spans="1:29" x14ac:dyDescent="0.25">
      <c r="D3" s="99">
        <v>3416.3</v>
      </c>
      <c r="E3" s="856" t="s">
        <v>175</v>
      </c>
      <c r="F3" s="100"/>
      <c r="G3" s="83"/>
      <c r="H3" s="99">
        <v>-11186.71</v>
      </c>
      <c r="I3" s="856" t="s">
        <v>217</v>
      </c>
      <c r="K3" s="382"/>
      <c r="L3" s="99">
        <f>-L2</f>
        <v>-11186.71</v>
      </c>
      <c r="M3" s="856" t="s">
        <v>217</v>
      </c>
      <c r="N3" s="51"/>
      <c r="O3" s="382"/>
      <c r="P3" s="99">
        <f>-P2</f>
        <v>-11186.71</v>
      </c>
      <c r="Q3" s="856" t="s">
        <v>217</v>
      </c>
      <c r="T3" s="86">
        <f>SUM(T1:T2)</f>
        <v>22535</v>
      </c>
      <c r="U3" s="51"/>
      <c r="X3" s="86">
        <f>SUM(X1:X2)</f>
        <v>22535</v>
      </c>
      <c r="Y3" s="51"/>
      <c r="AB3" s="86">
        <f>SUM(AB1:AB2)</f>
        <v>22535</v>
      </c>
      <c r="AC3" s="51"/>
    </row>
    <row r="4" spans="1:29" x14ac:dyDescent="0.25">
      <c r="D4" s="323">
        <f>+SUM(D1:D3)</f>
        <v>13755.59</v>
      </c>
      <c r="H4" s="323">
        <f>+SUM(H1:H3)</f>
        <v>22535</v>
      </c>
      <c r="I4" s="857"/>
      <c r="K4" s="382"/>
      <c r="L4" s="323">
        <f>+SUM(L1:L3)</f>
        <v>22535</v>
      </c>
      <c r="N4" s="51"/>
      <c r="O4" s="382"/>
      <c r="P4" s="323">
        <f>+SUM(P1:P3)</f>
        <v>22535</v>
      </c>
      <c r="T4" s="86"/>
      <c r="U4" s="51"/>
      <c r="X4" s="86"/>
      <c r="Y4" s="51"/>
      <c r="AB4" s="86"/>
      <c r="AC4" s="51"/>
    </row>
    <row r="5" spans="1:29" ht="15.75" x14ac:dyDescent="0.25">
      <c r="B5" s="934" t="s">
        <v>56</v>
      </c>
      <c r="P5" s="123"/>
      <c r="T5" s="73"/>
      <c r="X5" s="73"/>
      <c r="AB5" s="73"/>
    </row>
    <row r="6" spans="1:29" s="89" customFormat="1" ht="15.75" x14ac:dyDescent="0.25">
      <c r="A6" s="88"/>
      <c r="B6" s="935"/>
      <c r="C6" s="935"/>
      <c r="D6" s="284" t="s">
        <v>55</v>
      </c>
      <c r="E6" s="858"/>
      <c r="G6" s="371"/>
      <c r="H6" s="324" t="str">
        <f>LEFT(D6,4)+1&amp;"-"&amp;RIGHT(D6,4)+1</f>
        <v>2017-2018</v>
      </c>
      <c r="I6" s="869"/>
      <c r="J6" s="93"/>
      <c r="K6" s="378"/>
      <c r="L6" s="124" t="str">
        <f>LEFT(H6,4)+1&amp;"-"&amp;RIGHT(H6,4)+1</f>
        <v>2018-2019</v>
      </c>
      <c r="M6" s="946"/>
      <c r="N6" s="96"/>
      <c r="O6" s="381"/>
      <c r="P6" s="124" t="str">
        <f>LEFT(L6,4)+1&amp;"-"&amp;RIGHT(L6,4)+1</f>
        <v>2019-2020</v>
      </c>
      <c r="Q6" s="94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936" t="s">
        <v>54</v>
      </c>
      <c r="D7" s="2">
        <v>0</v>
      </c>
      <c r="E7" s="928"/>
      <c r="H7" s="2">
        <f>D89</f>
        <v>0</v>
      </c>
      <c r="I7" s="928"/>
      <c r="J7" s="60"/>
      <c r="L7" s="2">
        <f>H89</f>
        <v>0</v>
      </c>
      <c r="M7" s="928"/>
      <c r="P7" s="2">
        <f>L89</f>
        <v>0</v>
      </c>
      <c r="Q7" s="928"/>
      <c r="T7" s="2">
        <f>P89</f>
        <v>0</v>
      </c>
      <c r="U7" s="105"/>
      <c r="X7" s="2">
        <f>T89</f>
        <v>-11222.71</v>
      </c>
      <c r="Y7" s="105"/>
      <c r="AB7" s="2">
        <f>X89</f>
        <v>-12263.71</v>
      </c>
      <c r="AC7" s="105"/>
    </row>
    <row r="8" spans="1:29" x14ac:dyDescent="0.25">
      <c r="E8" s="928"/>
      <c r="H8" s="2"/>
      <c r="I8" s="928"/>
      <c r="L8" s="2"/>
      <c r="M8" s="928"/>
      <c r="Q8" s="928"/>
      <c r="U8" s="105"/>
      <c r="Y8" s="105"/>
      <c r="AC8" s="105"/>
    </row>
    <row r="9" spans="1:29" x14ac:dyDescent="0.25">
      <c r="B9" s="930" t="s">
        <v>52</v>
      </c>
      <c r="C9" s="857" t="s">
        <v>53</v>
      </c>
      <c r="D9" s="2">
        <f>+D1+D2</f>
        <v>10339.290000000001</v>
      </c>
      <c r="E9" s="928" t="s">
        <v>955</v>
      </c>
      <c r="G9" s="83">
        <f>IF(D9=0,"0.00%",(H9-D9)/D9)</f>
        <v>1.1795500464732103</v>
      </c>
      <c r="H9" s="3">
        <v>22535</v>
      </c>
      <c r="I9" s="928" t="s">
        <v>174</v>
      </c>
      <c r="J9" s="61"/>
      <c r="K9" s="83">
        <f>IF(H9=0,"0.00%",(L9-H9)/H9)</f>
        <v>0</v>
      </c>
      <c r="L9" s="3">
        <f>+H9</f>
        <v>22535</v>
      </c>
      <c r="M9" s="928" t="s">
        <v>174</v>
      </c>
      <c r="O9" s="83">
        <f>IF(L9=0,"0.00%",(P9-L9)/L9)</f>
        <v>0</v>
      </c>
      <c r="P9" s="3">
        <f>+L9</f>
        <v>22535</v>
      </c>
      <c r="Q9" s="928" t="s">
        <v>174</v>
      </c>
      <c r="S9" s="83">
        <f>IF(P9=0,"0.00%",(T9-P9)/P9)</f>
        <v>0</v>
      </c>
      <c r="T9" s="3">
        <f>T3</f>
        <v>22535</v>
      </c>
      <c r="U9" s="105"/>
      <c r="W9" s="83">
        <f>IF(T9=0,"0.00%",(X9-T9)/T9)</f>
        <v>0</v>
      </c>
      <c r="X9" s="3">
        <f>X3</f>
        <v>22535</v>
      </c>
      <c r="Y9" s="105"/>
      <c r="AA9" s="83">
        <f>IF(X9=0,"0.00%",(AB9-X9)/X9)</f>
        <v>0</v>
      </c>
      <c r="AB9" s="3">
        <f>AB3</f>
        <v>22535</v>
      </c>
      <c r="AC9" s="105"/>
    </row>
    <row r="10" spans="1:29" x14ac:dyDescent="0.25">
      <c r="C10" s="857" t="s">
        <v>51</v>
      </c>
      <c r="D10" s="2">
        <f>+D3</f>
        <v>3416.3</v>
      </c>
      <c r="E10" s="928" t="str">
        <f>+E3</f>
        <v>15-16 c/o</v>
      </c>
      <c r="G10" s="83">
        <f t="shared" ref="G10:G15" si="0">IF(D10=0,"0.00%",(H10-D10)/D10)</f>
        <v>-1</v>
      </c>
      <c r="H10" s="3">
        <v>0</v>
      </c>
      <c r="I10" s="928"/>
      <c r="J10" s="61"/>
      <c r="K10" s="83" t="str">
        <f>IF(H10=0,"0.00%",(L10-H10)/H10)</f>
        <v>0.00%</v>
      </c>
      <c r="L10" s="3"/>
      <c r="M10" s="928"/>
      <c r="O10" s="83" t="str">
        <f>IF(L10=0,"0.00%",(P10-L10)/L10)</f>
        <v>0.00%</v>
      </c>
      <c r="P10" s="3"/>
      <c r="Q10" s="928"/>
      <c r="S10" s="83" t="str">
        <f>IF(P10=0,"0.00%",(T10-P10)/P10)</f>
        <v>0.00%</v>
      </c>
      <c r="T10" s="3">
        <f>-P2</f>
        <v>-11186.71</v>
      </c>
      <c r="U10" s="105"/>
      <c r="W10" s="83">
        <f>IF(T10=0,"0.00%",(X10-T10)/T10)</f>
        <v>-1</v>
      </c>
      <c r="X10" s="3">
        <f>-T2</f>
        <v>0</v>
      </c>
      <c r="Y10" s="105"/>
      <c r="AA10" s="83" t="str">
        <f>IF(X10=0,"0.00%",(AB10-X10)/X10)</f>
        <v>0.00%</v>
      </c>
      <c r="AB10" s="3">
        <f>-X2</f>
        <v>0</v>
      </c>
      <c r="AC10" s="105"/>
    </row>
    <row r="11" spans="1:29" x14ac:dyDescent="0.25">
      <c r="B11" s="936" t="s">
        <v>137</v>
      </c>
      <c r="D11" s="8">
        <f>SUM(D9:D10)</f>
        <v>13755.59</v>
      </c>
      <c r="E11" s="928"/>
      <c r="G11" s="83">
        <f t="shared" si="0"/>
        <v>0.63824307063528352</v>
      </c>
      <c r="H11" s="8">
        <f>SUM(H9:H10)</f>
        <v>22535</v>
      </c>
      <c r="I11" s="1292">
        <f>+H11-D11</f>
        <v>8779.41</v>
      </c>
      <c r="J11" s="62"/>
      <c r="K11" s="83">
        <f>IF(H11=0,"0.00%",(L11-H11)/H11)</f>
        <v>0</v>
      </c>
      <c r="L11" s="8">
        <f>SUM(L9:L10)</f>
        <v>22535</v>
      </c>
      <c r="M11" s="1292">
        <f>+L11-H11</f>
        <v>0</v>
      </c>
      <c r="O11" s="83">
        <f>IF(L11=0,"0.00%",(P11-L11)/L11)</f>
        <v>0</v>
      </c>
      <c r="P11" s="8">
        <f>SUM(P9:P10)</f>
        <v>22535</v>
      </c>
      <c r="Q11" s="1292">
        <f>+P11-L11</f>
        <v>0</v>
      </c>
      <c r="S11" s="83">
        <f>IF(P11=0,"0.00%",(T11-P11)/P11)</f>
        <v>-0.49641491013978251</v>
      </c>
      <c r="T11" s="78">
        <f>SUM(T9:T10)</f>
        <v>11348.29</v>
      </c>
      <c r="U11" s="105"/>
      <c r="W11" s="83">
        <f>IF(T11=0,"0.00%",(X11-T11)/T11)</f>
        <v>0.98576173150316027</v>
      </c>
      <c r="X11" s="78">
        <f>SUM(X9:X10)</f>
        <v>22535</v>
      </c>
      <c r="Y11" s="105"/>
      <c r="AA11" s="83">
        <f>IF(X11=0,"0.00%",(AB11-X11)/X11)</f>
        <v>0</v>
      </c>
      <c r="AB11" s="78">
        <f>SUM(AB9:AB10)</f>
        <v>22535</v>
      </c>
      <c r="AC11" s="105"/>
    </row>
    <row r="12" spans="1:29" x14ac:dyDescent="0.25">
      <c r="E12" s="928"/>
      <c r="H12" s="3"/>
      <c r="I12" s="928"/>
      <c r="J12" s="63"/>
      <c r="K12" s="52"/>
      <c r="L12" s="3"/>
      <c r="M12" s="928"/>
      <c r="O12" s="52"/>
      <c r="P12" s="3"/>
      <c r="Q12" s="928"/>
      <c r="S12" s="46"/>
      <c r="T12" s="44"/>
      <c r="U12" s="105"/>
      <c r="W12" s="46"/>
      <c r="X12" s="44"/>
      <c r="Y12" s="105"/>
      <c r="AA12" s="46"/>
      <c r="AB12" s="44"/>
      <c r="AC12" s="105"/>
    </row>
    <row r="13" spans="1:29" x14ac:dyDescent="0.25">
      <c r="C13" s="938" t="s">
        <v>64</v>
      </c>
      <c r="D13" s="9">
        <f>ROUNDUP(D11-(D11/(1+E13)),2)</f>
        <v>490.8</v>
      </c>
      <c r="E13" s="1032">
        <v>3.6999999999999998E-2</v>
      </c>
      <c r="G13" s="83">
        <f t="shared" si="0"/>
        <v>0.95191524042379783</v>
      </c>
      <c r="H13" s="9">
        <f>ROUND(H11-(H11/(1+I13)),0)</f>
        <v>958</v>
      </c>
      <c r="I13" s="1051">
        <v>4.4400000000000002E-2</v>
      </c>
      <c r="J13" s="64"/>
      <c r="K13" s="83">
        <f>IF(H13=0,"0.00%",(L13-H13)/H13)</f>
        <v>0</v>
      </c>
      <c r="L13" s="9">
        <f>ROUND(L11-(L11/(1+M13)),0)</f>
        <v>958</v>
      </c>
      <c r="M13" s="1051">
        <v>4.4400000000000002E-2</v>
      </c>
      <c r="O13" s="83">
        <f>IF(L13=0,"0.00%",(P13-L13)/L13)</f>
        <v>0</v>
      </c>
      <c r="P13" s="9">
        <f>ROUND(P11-(P11/(1+Q13)),0)</f>
        <v>958</v>
      </c>
      <c r="Q13" s="1051">
        <v>4.4400000000000002E-2</v>
      </c>
      <c r="S13" s="83">
        <f>IF(P13=0,"0.00%",(T13-P13)/P13)</f>
        <v>-0.57724425887265141</v>
      </c>
      <c r="T13" s="77">
        <f>ROUND(T11-(T11/(1+E13)),0)</f>
        <v>405</v>
      </c>
      <c r="U13" s="105"/>
      <c r="W13" s="83">
        <f>IF(T13=0,"0.00%",(X13-T13)/T13)</f>
        <v>0.98518518518518516</v>
      </c>
      <c r="X13" s="77">
        <f>ROUND(X11-(X11/(1+E13)),0)</f>
        <v>804</v>
      </c>
      <c r="Y13" s="105"/>
      <c r="AA13" s="83">
        <f>IF(X13=0,"0.00%",(AB13-X13)/X13)</f>
        <v>12.669154228855721</v>
      </c>
      <c r="AB13" s="77">
        <f>ROUND(AB11-(AB11/(1+G13)),0)</f>
        <v>10990</v>
      </c>
      <c r="AC13" s="105"/>
    </row>
    <row r="14" spans="1:29" x14ac:dyDescent="0.25">
      <c r="E14" s="928"/>
      <c r="H14" s="3"/>
      <c r="I14" s="928"/>
      <c r="J14" s="63"/>
      <c r="K14" s="52"/>
      <c r="L14" s="3"/>
      <c r="M14" s="928"/>
      <c r="O14" s="52"/>
      <c r="P14" s="3"/>
      <c r="Q14" s="928"/>
      <c r="S14" s="46"/>
      <c r="T14" s="44"/>
      <c r="U14" s="105"/>
      <c r="W14" s="46"/>
      <c r="X14" s="44"/>
      <c r="Y14" s="105"/>
      <c r="AA14" s="46"/>
      <c r="AB14" s="44"/>
      <c r="AC14" s="105"/>
    </row>
    <row r="15" spans="1:29" x14ac:dyDescent="0.25">
      <c r="B15" s="936" t="s">
        <v>50</v>
      </c>
      <c r="D15" s="10">
        <f>D11-D13</f>
        <v>13264.79</v>
      </c>
      <c r="E15" s="928"/>
      <c r="G15" s="83">
        <f t="shared" si="0"/>
        <v>0.62663713485098504</v>
      </c>
      <c r="H15" s="9">
        <f>H11-H13</f>
        <v>21577</v>
      </c>
      <c r="I15" s="928"/>
      <c r="J15" s="62"/>
      <c r="K15" s="83">
        <f>IF(H15=0,"0.00%",(L15-H15)/H15)</f>
        <v>0</v>
      </c>
      <c r="L15" s="9">
        <f>L11-L13</f>
        <v>21577</v>
      </c>
      <c r="M15" s="1292">
        <f>+L15-H15</f>
        <v>0</v>
      </c>
      <c r="O15" s="83">
        <f>IF(L15=0,"0.00%",(P15-L15)/L15)</f>
        <v>0</v>
      </c>
      <c r="P15" s="9">
        <f>P11-P13</f>
        <v>21577</v>
      </c>
      <c r="Q15" s="1292">
        <f>+P15-L15</f>
        <v>0</v>
      </c>
      <c r="S15" s="83">
        <f>IF(P15=0,"0.00%",(T15-P15)/P15)</f>
        <v>-0.49282615748250447</v>
      </c>
      <c r="T15" s="19">
        <f>T11-T13</f>
        <v>10943.29</v>
      </c>
      <c r="U15" s="105"/>
      <c r="W15" s="83">
        <f>IF(T15=0,"0.00%",(X15-T15)/T15)</f>
        <v>0.98578306889427203</v>
      </c>
      <c r="X15" s="19">
        <f>X11-X13</f>
        <v>21731</v>
      </c>
      <c r="Y15" s="105"/>
      <c r="AA15" s="83">
        <f>IF(X15=0,"0.00%",(AB15-X15)/X15)</f>
        <v>-0.46873130550826009</v>
      </c>
      <c r="AB15" s="19">
        <f>AB11-AB13</f>
        <v>11545</v>
      </c>
      <c r="AC15" s="105"/>
    </row>
    <row r="16" spans="1:29" x14ac:dyDescent="0.25">
      <c r="E16" s="928"/>
      <c r="H16" s="3"/>
      <c r="I16" s="1292">
        <f>+H16-D16</f>
        <v>0</v>
      </c>
      <c r="J16" s="62"/>
      <c r="L16" s="3"/>
      <c r="M16" s="928"/>
      <c r="P16" s="3"/>
      <c r="Q16" s="928"/>
      <c r="T16" s="49"/>
      <c r="U16" s="105"/>
      <c r="X16" s="49"/>
      <c r="Y16" s="105"/>
      <c r="AB16" s="49"/>
      <c r="AC16" s="105"/>
    </row>
    <row r="17" spans="1:29" x14ac:dyDescent="0.25">
      <c r="C17" s="930"/>
      <c r="E17" s="928"/>
      <c r="H17" s="3"/>
      <c r="I17" s="928"/>
      <c r="J17" s="63"/>
      <c r="L17" s="3"/>
      <c r="M17" s="928"/>
      <c r="P17" s="3"/>
      <c r="Q17" s="928"/>
      <c r="T17" s="44"/>
      <c r="U17" s="105"/>
      <c r="X17" s="44"/>
      <c r="Y17" s="105"/>
      <c r="AB17" s="44"/>
      <c r="AC17" s="105"/>
    </row>
    <row r="18" spans="1:29" x14ac:dyDescent="0.25">
      <c r="A18" s="32"/>
      <c r="D18" s="29" t="s">
        <v>826</v>
      </c>
      <c r="E18" s="929"/>
      <c r="F18" s="32"/>
      <c r="H18" s="29" t="s">
        <v>177</v>
      </c>
      <c r="I18" s="929"/>
      <c r="J18" s="65"/>
      <c r="M18" s="929"/>
      <c r="Q18" s="929"/>
      <c r="U18" s="106"/>
      <c r="Y18" s="106"/>
      <c r="AC18" s="106"/>
    </row>
    <row r="19" spans="1:29" ht="17.25" x14ac:dyDescent="0.4">
      <c r="A19" s="79"/>
      <c r="D19" s="35" t="s">
        <v>827</v>
      </c>
      <c r="E19" s="860"/>
      <c r="F19" s="34"/>
      <c r="H19" s="35" t="s">
        <v>48</v>
      </c>
      <c r="I19" s="870"/>
      <c r="J19" s="29"/>
      <c r="L19" s="14" t="s">
        <v>48</v>
      </c>
      <c r="M19" s="870"/>
      <c r="P19" s="14" t="s">
        <v>48</v>
      </c>
      <c r="Q19" s="870"/>
      <c r="T19" s="14" t="s">
        <v>48</v>
      </c>
      <c r="U19" s="104">
        <v>0.02</v>
      </c>
      <c r="X19" s="14" t="s">
        <v>48</v>
      </c>
      <c r="Y19" s="104">
        <v>0.02</v>
      </c>
      <c r="AB19" s="14" t="s">
        <v>48</v>
      </c>
      <c r="AC19" s="104">
        <v>0.02</v>
      </c>
    </row>
    <row r="20" spans="1:29" s="13" customFormat="1" hidden="1" x14ac:dyDescent="0.25">
      <c r="A20" s="58"/>
      <c r="B20" s="936" t="s">
        <v>46</v>
      </c>
      <c r="C20" s="938"/>
      <c r="D20" s="10"/>
      <c r="E20" s="861"/>
      <c r="F20" s="10"/>
      <c r="G20" s="372"/>
      <c r="H20" s="10"/>
      <c r="I20" s="864"/>
      <c r="J20" s="57"/>
      <c r="K20" s="379"/>
      <c r="L20" s="10"/>
      <c r="M20" s="947"/>
      <c r="O20" s="379"/>
      <c r="P20" s="10"/>
      <c r="Q20" s="947"/>
      <c r="R20" s="111"/>
      <c r="T20" s="10"/>
      <c r="U20" s="74"/>
      <c r="X20" s="10"/>
      <c r="Y20" s="74"/>
      <c r="AB20" s="10"/>
      <c r="AC20" s="74"/>
    </row>
    <row r="21" spans="1:29" hidden="1" x14ac:dyDescent="0.25">
      <c r="A21" s="61"/>
      <c r="B21" s="939" t="s">
        <v>65</v>
      </c>
      <c r="C21" s="857" t="s">
        <v>66</v>
      </c>
      <c r="D21" s="2">
        <v>0</v>
      </c>
      <c r="E21" s="863"/>
      <c r="F21" s="2"/>
      <c r="G21" s="83" t="str">
        <f t="shared" ref="G21:G30" si="1">IF(D21=0,"0.00%",(H21-D21)/D21)</f>
        <v>0.00%</v>
      </c>
      <c r="H21" s="2">
        <f t="shared" ref="H21:H27" si="2">ROUND(D21*(1+$I$19),0)</f>
        <v>0</v>
      </c>
      <c r="I21" s="854" t="str">
        <f t="shared" ref="I21:I28" si="3">TEXT($I$19,"0.0%")&amp;" = Est. S &amp; C"</f>
        <v>0.0% = Est. S &amp; C</v>
      </c>
      <c r="J21" s="66"/>
      <c r="K21" s="83" t="str">
        <f t="shared" ref="K21:K27" si="4">IF(H21=0,"0.00%",(L21-H21)/H21)</f>
        <v>0.00%</v>
      </c>
      <c r="L21" s="2">
        <f>ROUND(H21*(1+M19),0)</f>
        <v>0</v>
      </c>
      <c r="M21" s="871" t="str">
        <f>TEXT(M19,"0.0%")&amp;" = Est. S &amp; C"</f>
        <v>0.0% = Est. S &amp; C</v>
      </c>
      <c r="O21" s="83" t="str">
        <f t="shared" ref="O21:O27" si="5">IF(L21=0,"0.00%",(P21-L21)/L21)</f>
        <v>0.00%</v>
      </c>
      <c r="P21" s="2">
        <f>ROUND(L21*(1+Q19),0)</f>
        <v>0</v>
      </c>
      <c r="Q21" s="871" t="str">
        <f>TEXT(Q19,"0.0%")&amp;" = Est. S &amp; C"</f>
        <v>0.0%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66"/>
      <c r="B22" s="939" t="s">
        <v>45</v>
      </c>
      <c r="C22" s="857" t="s">
        <v>44</v>
      </c>
      <c r="D22" s="2">
        <v>0</v>
      </c>
      <c r="E22" s="863"/>
      <c r="F22" s="2"/>
      <c r="G22" s="83" t="str">
        <f t="shared" si="1"/>
        <v>0.00%</v>
      </c>
      <c r="H22" s="2">
        <f t="shared" si="2"/>
        <v>0</v>
      </c>
      <c r="I22" s="871" t="str">
        <f t="shared" si="3"/>
        <v>0.0% = Est. S &amp; C</v>
      </c>
      <c r="J22" s="66"/>
      <c r="K22" s="83" t="str">
        <f t="shared" si="4"/>
        <v>0.00%</v>
      </c>
      <c r="L22" s="2">
        <f>ROUND(H22*(1+M19),0)</f>
        <v>0</v>
      </c>
      <c r="M22" s="871" t="str">
        <f>TEXT(M19,"0.0%")&amp;" = Est. S &amp; C"</f>
        <v>0.0% = Est. S &amp; C</v>
      </c>
      <c r="O22" s="83" t="str">
        <f t="shared" si="5"/>
        <v>0.00%</v>
      </c>
      <c r="P22" s="2">
        <f>ROUND(L22*(1+Q19),0)</f>
        <v>0</v>
      </c>
      <c r="Q22" s="871" t="str">
        <f>TEXT(Q19,"0.0%")&amp;" = Est. S &amp; C"</f>
        <v>0.0%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66"/>
      <c r="B23" s="939" t="s">
        <v>43</v>
      </c>
      <c r="C23" s="857" t="s">
        <v>42</v>
      </c>
      <c r="D23" s="2">
        <v>0</v>
      </c>
      <c r="E23" s="863"/>
      <c r="F23" s="2"/>
      <c r="G23" s="83" t="str">
        <f t="shared" si="1"/>
        <v>0.00%</v>
      </c>
      <c r="H23" s="2">
        <f t="shared" si="2"/>
        <v>0</v>
      </c>
      <c r="I23" s="871" t="str">
        <f t="shared" si="3"/>
        <v>0.0% = Est. S &amp; C</v>
      </c>
      <c r="J23" s="66"/>
      <c r="K23" s="83" t="str">
        <f t="shared" si="4"/>
        <v>0.00%</v>
      </c>
      <c r="L23" s="2">
        <f>ROUND(H23*(1+M19),0)</f>
        <v>0</v>
      </c>
      <c r="M23" s="871" t="str">
        <f>TEXT(M19,"0.0%")&amp;" = Est. S &amp; C"</f>
        <v>0.0% = Est. S &amp; C</v>
      </c>
      <c r="O23" s="83" t="str">
        <f t="shared" si="5"/>
        <v>0.00%</v>
      </c>
      <c r="P23" s="2">
        <f>ROUND(L23*(1+Q19),0)</f>
        <v>0</v>
      </c>
      <c r="Q23" s="871" t="str">
        <f>TEXT(Q19,"0.0%")&amp;" = Est. S &amp; C"</f>
        <v>0.0%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66"/>
      <c r="B24" s="939" t="s">
        <v>41</v>
      </c>
      <c r="C24" s="857" t="s">
        <v>40</v>
      </c>
      <c r="D24" s="2">
        <v>0</v>
      </c>
      <c r="E24" s="863"/>
      <c r="F24" s="2"/>
      <c r="G24" s="83" t="str">
        <f t="shared" si="1"/>
        <v>0.00%</v>
      </c>
      <c r="H24" s="2">
        <f t="shared" si="2"/>
        <v>0</v>
      </c>
      <c r="I24" s="871" t="str">
        <f t="shared" si="3"/>
        <v>0.0% = Est. S &amp; C</v>
      </c>
      <c r="J24" s="66"/>
      <c r="K24" s="83" t="str">
        <f t="shared" si="4"/>
        <v>0.00%</v>
      </c>
      <c r="L24" s="2">
        <f>ROUND(H24*(1+M19),0)</f>
        <v>0</v>
      </c>
      <c r="M24" s="871" t="str">
        <f>TEXT(M19,"0.0%")&amp;" = Est. S &amp; C"</f>
        <v>0.0% = Est. S &amp; C</v>
      </c>
      <c r="O24" s="83" t="str">
        <f t="shared" si="5"/>
        <v>0.00%</v>
      </c>
      <c r="P24" s="2">
        <f>ROUND(L24*(1+Q19),0)</f>
        <v>0</v>
      </c>
      <c r="Q24" s="871" t="str">
        <f>TEXT(Q19,"0.0%")&amp;" = Est. S &amp; C"</f>
        <v>0.0%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66"/>
      <c r="B25" s="939" t="s">
        <v>67</v>
      </c>
      <c r="C25" s="857" t="s">
        <v>68</v>
      </c>
      <c r="D25" s="2">
        <v>0</v>
      </c>
      <c r="E25" s="863"/>
      <c r="F25" s="2"/>
      <c r="G25" s="83" t="str">
        <f t="shared" si="1"/>
        <v>0.00%</v>
      </c>
      <c r="H25" s="2">
        <f t="shared" si="2"/>
        <v>0</v>
      </c>
      <c r="I25" s="871" t="str">
        <f t="shared" si="3"/>
        <v>0.0% = Est. S &amp; C</v>
      </c>
      <c r="J25" s="66"/>
      <c r="K25" s="83" t="str">
        <f t="shared" si="4"/>
        <v>0.00%</v>
      </c>
      <c r="L25" s="2">
        <f>ROUND(H25*(1+M19),0)</f>
        <v>0</v>
      </c>
      <c r="M25" s="871" t="str">
        <f>TEXT(M19,"0.0%")&amp;" = Est. S &amp; C"</f>
        <v>0.0% = Est. S &amp; C</v>
      </c>
      <c r="O25" s="83" t="str">
        <f t="shared" si="5"/>
        <v>0.00%</v>
      </c>
      <c r="P25" s="2">
        <f>ROUND(L25*(1+Q19),0)</f>
        <v>0</v>
      </c>
      <c r="Q25" s="871" t="str">
        <f>TEXT(Q19,"0.0%")&amp;" = Est. S &amp; C"</f>
        <v>0.0%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66"/>
      <c r="B26" s="939" t="s">
        <v>39</v>
      </c>
      <c r="C26" s="857" t="s">
        <v>38</v>
      </c>
      <c r="D26" s="2">
        <v>0</v>
      </c>
      <c r="E26" s="863"/>
      <c r="F26" s="2"/>
      <c r="G26" s="83" t="str">
        <f t="shared" si="1"/>
        <v>0.00%</v>
      </c>
      <c r="H26" s="2">
        <f t="shared" si="2"/>
        <v>0</v>
      </c>
      <c r="I26" s="871" t="str">
        <f t="shared" si="3"/>
        <v>0.0% = Est. S &amp; C</v>
      </c>
      <c r="J26" s="66"/>
      <c r="K26" s="83" t="str">
        <f t="shared" si="4"/>
        <v>0.00%</v>
      </c>
      <c r="L26" s="2">
        <f>ROUND(H26*(1+M19),0)</f>
        <v>0</v>
      </c>
      <c r="M26" s="382" t="str">
        <f>TEXT(M19,"0.0%")&amp;" = Est. S &amp; C"</f>
        <v>0.0% = Est. S &amp; C</v>
      </c>
      <c r="O26" s="83" t="str">
        <f t="shared" si="5"/>
        <v>0.00%</v>
      </c>
      <c r="P26" s="2">
        <f>ROUND(L26*(1+Q19),0)</f>
        <v>0</v>
      </c>
      <c r="Q26" s="871" t="str">
        <f>TEXT(Q19,"0.0%")&amp;" = Est. S &amp; C"</f>
        <v>0.0%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66"/>
      <c r="B27" s="939" t="s">
        <v>37</v>
      </c>
      <c r="C27" s="857" t="s">
        <v>36</v>
      </c>
      <c r="D27" s="2">
        <v>0</v>
      </c>
      <c r="E27" s="863"/>
      <c r="F27" s="2"/>
      <c r="G27" s="83" t="str">
        <f t="shared" si="1"/>
        <v>0.00%</v>
      </c>
      <c r="H27" s="2">
        <f t="shared" si="2"/>
        <v>0</v>
      </c>
      <c r="I27" s="871" t="str">
        <f t="shared" si="3"/>
        <v>0.0% = Est. S &amp; C</v>
      </c>
      <c r="J27" s="66"/>
      <c r="K27" s="83" t="str">
        <f t="shared" si="4"/>
        <v>0.00%</v>
      </c>
      <c r="L27" s="2">
        <f>ROUND(H27*(1+M19),0)</f>
        <v>0</v>
      </c>
      <c r="M27" s="871" t="str">
        <f>TEXT(M19,"0.0%")&amp;" = Est. S &amp; C"</f>
        <v>0.0% = Est. S &amp; C</v>
      </c>
      <c r="O27" s="83" t="str">
        <f t="shared" si="5"/>
        <v>0.00%</v>
      </c>
      <c r="P27" s="2">
        <f>ROUND(L27*(1+Q19),0)</f>
        <v>0</v>
      </c>
      <c r="Q27" s="871" t="str">
        <f>TEXT(Q19,"0.0%")&amp;" = Est. S &amp; C"</f>
        <v>0.0%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66"/>
      <c r="B28" s="939" t="s">
        <v>208</v>
      </c>
      <c r="D28" s="2">
        <v>0</v>
      </c>
      <c r="E28" s="863"/>
      <c r="F28" s="2"/>
      <c r="G28" s="83" t="str">
        <f>IF(D28=0,"0.00%",(H28-D28)/D28)</f>
        <v>0.00%</v>
      </c>
      <c r="H28" s="2">
        <f>ROUND(D28*(1+$I$19),0)</f>
        <v>0</v>
      </c>
      <c r="I28" s="871" t="str">
        <f t="shared" si="3"/>
        <v>0.0% = Est. S &amp; C</v>
      </c>
      <c r="J28" s="66"/>
      <c r="K28" s="83" t="str">
        <f>IF(H28=0,"0.00%",(L28-H28)/H28)</f>
        <v>0.00%</v>
      </c>
      <c r="L28" s="2">
        <f>ROUND(H28*(1+M20),0)</f>
        <v>0</v>
      </c>
      <c r="M28" s="871" t="str">
        <f>TEXT(M20,"0.0%")&amp;" = Est. S &amp; C"</f>
        <v>0.0% = Est. S &amp; C</v>
      </c>
      <c r="O28" s="83" t="str">
        <f>IF(L28=0,"0.00%",(P28-L28)/L28)</f>
        <v>0.00%</v>
      </c>
      <c r="P28" s="2">
        <f>ROUND(L28*(1+Q20),0)</f>
        <v>0</v>
      </c>
      <c r="Q28" s="871"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66"/>
      <c r="B29" s="939"/>
      <c r="E29" s="863"/>
      <c r="F29" s="2"/>
      <c r="G29" s="83"/>
      <c r="H29" s="2"/>
      <c r="I29" s="871"/>
      <c r="J29" s="66"/>
      <c r="L29" s="2"/>
      <c r="M29" s="948"/>
      <c r="Q29" s="948"/>
      <c r="T29" s="2"/>
      <c r="U29" s="73"/>
      <c r="X29" s="2"/>
      <c r="Y29" s="73"/>
      <c r="AB29" s="2"/>
      <c r="AC29" s="73"/>
    </row>
    <row r="30" spans="1:29" hidden="1" x14ac:dyDescent="0.25">
      <c r="A30" s="29"/>
      <c r="B30" s="939"/>
      <c r="D30" s="8">
        <f>SUM(D21:D29)</f>
        <v>0</v>
      </c>
      <c r="E30" s="863"/>
      <c r="F30" s="2"/>
      <c r="G30" s="83" t="str">
        <f t="shared" si="1"/>
        <v>0.00%</v>
      </c>
      <c r="H30" s="8">
        <f>SUM(H21:H29)</f>
        <v>0</v>
      </c>
      <c r="I30" s="872"/>
      <c r="J30" s="29"/>
      <c r="K30" s="83" t="str">
        <f>IF(H30=0,"0.00%",(L30-H30)/H30)</f>
        <v>0.00%</v>
      </c>
      <c r="L30" s="8">
        <f>SUM(L21:L29)</f>
        <v>0</v>
      </c>
      <c r="M30" s="948"/>
      <c r="O30" s="83" t="str">
        <f>IF(L30=0,"0.00%",(P30-L30)/L30)</f>
        <v>0.00%</v>
      </c>
      <c r="P30" s="8">
        <f>SUM(P21:P29)</f>
        <v>0</v>
      </c>
      <c r="Q30" s="948"/>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66"/>
      <c r="E31" s="863"/>
      <c r="F31" s="2"/>
      <c r="H31" s="2"/>
      <c r="I31" s="854"/>
      <c r="J31" s="66"/>
      <c r="L31" s="2"/>
      <c r="M31" s="949"/>
      <c r="Q31" s="949"/>
      <c r="T31" s="2"/>
      <c r="U31" s="73"/>
      <c r="X31" s="2"/>
      <c r="Y31" s="73"/>
      <c r="AB31" s="2"/>
      <c r="AC31" s="73"/>
    </row>
    <row r="32" spans="1:29" s="4" customFormat="1" hidden="1" x14ac:dyDescent="0.25">
      <c r="A32" s="58"/>
      <c r="B32" s="940" t="s">
        <v>35</v>
      </c>
      <c r="C32" s="873"/>
      <c r="D32" s="6"/>
      <c r="E32" s="864"/>
      <c r="F32" s="6"/>
      <c r="G32" s="373"/>
      <c r="H32" s="6"/>
      <c r="I32" s="864"/>
      <c r="J32" s="57"/>
      <c r="K32" s="380"/>
      <c r="L32" s="6"/>
      <c r="M32" s="950"/>
      <c r="O32" s="380"/>
      <c r="P32" s="6"/>
      <c r="Q32" s="950"/>
      <c r="R32" s="111"/>
      <c r="T32" s="6"/>
      <c r="U32" s="71"/>
      <c r="X32" s="6"/>
      <c r="Y32" s="71"/>
      <c r="AB32" s="6"/>
      <c r="AC32" s="71"/>
    </row>
    <row r="33" spans="1:29" hidden="1" x14ac:dyDescent="0.25">
      <c r="A33" s="66"/>
      <c r="B33" s="939" t="s">
        <v>69</v>
      </c>
      <c r="C33" s="857" t="s">
        <v>70</v>
      </c>
      <c r="D33" s="2">
        <v>0</v>
      </c>
      <c r="E33" s="863"/>
      <c r="F33" s="2"/>
      <c r="G33" s="83" t="str">
        <f t="shared" ref="G33:G39" si="9">IF(D33=0,"0.00%",(H33-D33)/D33)</f>
        <v>0.00%</v>
      </c>
      <c r="H33" s="2">
        <f t="shared" ref="H33:H39" si="10">ROUND(D33*(1+$I$19),0)</f>
        <v>0</v>
      </c>
      <c r="I33" s="871" t="str">
        <f t="shared" ref="I33:I39" si="11">TEXT($I$19,"0.0%")&amp;" = Est. S &amp; C"</f>
        <v>0.0% = Est. S &amp; C</v>
      </c>
      <c r="J33" s="66"/>
      <c r="K33" s="83" t="str">
        <f t="shared" ref="K33:K39" si="12">IF(H33=0,"0.00%",(L33-H33)/H33)</f>
        <v>0.00%</v>
      </c>
      <c r="L33" s="2">
        <f>ROUND(H33*(1+M19),0)</f>
        <v>0</v>
      </c>
      <c r="M33" s="871" t="str">
        <f>TEXT(M19,"0.0%")&amp;" = Est. S &amp; C"</f>
        <v>0.0% = Est. S &amp; C</v>
      </c>
      <c r="O33" s="83" t="str">
        <f t="shared" ref="O33:O39" si="13">IF(L33=0,"0.00%",(P33-L33)/L33)</f>
        <v>0.00%</v>
      </c>
      <c r="P33" s="2">
        <f>ROUND(L33*(1+Q19),0)</f>
        <v>0</v>
      </c>
      <c r="Q33" s="871" t="str">
        <f>TEXT(Q19,"0.0%")&amp;" = Est. S &amp; C"</f>
        <v>0.0%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66"/>
      <c r="B34" s="939" t="s">
        <v>34</v>
      </c>
      <c r="C34" s="857" t="s">
        <v>33</v>
      </c>
      <c r="D34" s="2">
        <v>0</v>
      </c>
      <c r="E34" s="863"/>
      <c r="F34" s="2"/>
      <c r="G34" s="83" t="str">
        <f t="shared" si="9"/>
        <v>0.00%</v>
      </c>
      <c r="H34" s="2">
        <f t="shared" si="10"/>
        <v>0</v>
      </c>
      <c r="I34" s="871" t="str">
        <f t="shared" si="11"/>
        <v>0.0% = Est. S &amp; C</v>
      </c>
      <c r="J34" s="66"/>
      <c r="K34" s="83" t="str">
        <f t="shared" si="12"/>
        <v>0.00%</v>
      </c>
      <c r="L34" s="2">
        <f>ROUND(H34*(1+M19),0)</f>
        <v>0</v>
      </c>
      <c r="M34" s="871" t="str">
        <f>TEXT(M19,"0.0%")&amp;" = Est. S &amp; C"</f>
        <v>0.0% = Est. S &amp; C</v>
      </c>
      <c r="O34" s="83" t="str">
        <f t="shared" si="13"/>
        <v>0.00%</v>
      </c>
      <c r="P34" s="2">
        <f>ROUND(L34*(1+Q19),0)</f>
        <v>0</v>
      </c>
      <c r="Q34" s="871" t="str">
        <f>TEXT(Q19,"0.0%")&amp;" = Est. S &amp; C"</f>
        <v>0.0%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66"/>
      <c r="B35" s="939" t="s">
        <v>32</v>
      </c>
      <c r="C35" s="857" t="s">
        <v>31</v>
      </c>
      <c r="D35" s="2">
        <v>0</v>
      </c>
      <c r="E35" s="863"/>
      <c r="F35" s="2"/>
      <c r="G35" s="83" t="str">
        <f t="shared" si="9"/>
        <v>0.00%</v>
      </c>
      <c r="H35" s="2">
        <f t="shared" si="10"/>
        <v>0</v>
      </c>
      <c r="I35" s="871" t="str">
        <f t="shared" si="11"/>
        <v>0.0% = Est. S &amp; C</v>
      </c>
      <c r="J35" s="66"/>
      <c r="K35" s="83" t="str">
        <f t="shared" si="12"/>
        <v>0.00%</v>
      </c>
      <c r="L35" s="2">
        <f>ROUND(H35*(1+M19),0)</f>
        <v>0</v>
      </c>
      <c r="M35" s="871" t="str">
        <f>TEXT(M19,"0.0%")&amp;" = Est. S &amp; C"</f>
        <v>0.0% = Est. S &amp; C</v>
      </c>
      <c r="O35" s="83" t="str">
        <f t="shared" si="13"/>
        <v>0.00%</v>
      </c>
      <c r="P35" s="2">
        <f>ROUND(L35*(1+Q19),0)</f>
        <v>0</v>
      </c>
      <c r="Q35" s="871" t="str">
        <f>TEXT(Q19,"0.0%")&amp;" = Est. S &amp; C"</f>
        <v>0.0%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66"/>
      <c r="B36" s="939" t="s">
        <v>30</v>
      </c>
      <c r="C36" s="857" t="s">
        <v>29</v>
      </c>
      <c r="D36" s="2">
        <v>0</v>
      </c>
      <c r="E36" s="863"/>
      <c r="F36" s="2"/>
      <c r="G36" s="83" t="str">
        <f t="shared" si="9"/>
        <v>0.00%</v>
      </c>
      <c r="H36" s="2">
        <f t="shared" si="10"/>
        <v>0</v>
      </c>
      <c r="I36" s="871" t="str">
        <f t="shared" si="11"/>
        <v>0.0% = Est. S &amp; C</v>
      </c>
      <c r="J36" s="66"/>
      <c r="K36" s="83" t="str">
        <f t="shared" si="12"/>
        <v>0.00%</v>
      </c>
      <c r="L36" s="2">
        <f>ROUND(H36*(1+M19),0)</f>
        <v>0</v>
      </c>
      <c r="M36" s="871" t="str">
        <f>TEXT(M19,"0.0%")&amp;" = Est. S &amp; C"</f>
        <v>0.0% = Est. S &amp; C</v>
      </c>
      <c r="O36" s="83" t="str">
        <f t="shared" si="13"/>
        <v>0.00%</v>
      </c>
      <c r="P36" s="2">
        <f>ROUND(L36*(1+Q19),0)</f>
        <v>0</v>
      </c>
      <c r="Q36" s="871" t="str">
        <f>TEXT(Q19,"0.0%")&amp;" = Est. S &amp; C"</f>
        <v>0.0%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66"/>
      <c r="B37" s="939" t="s">
        <v>72</v>
      </c>
      <c r="C37" s="857" t="s">
        <v>71</v>
      </c>
      <c r="D37" s="2">
        <v>0</v>
      </c>
      <c r="E37" s="863"/>
      <c r="F37" s="2"/>
      <c r="G37" s="83" t="str">
        <f t="shared" si="9"/>
        <v>0.00%</v>
      </c>
      <c r="H37" s="2">
        <f t="shared" si="10"/>
        <v>0</v>
      </c>
      <c r="I37" s="871" t="str">
        <f t="shared" si="11"/>
        <v>0.0% = Est. S &amp; C</v>
      </c>
      <c r="J37" s="66"/>
      <c r="K37" s="83" t="str">
        <f t="shared" si="12"/>
        <v>0.00%</v>
      </c>
      <c r="L37" s="2">
        <f>ROUND(H37*(1+M19),0)</f>
        <v>0</v>
      </c>
      <c r="M37" s="871" t="str">
        <f>TEXT(M19,"0.0%")&amp;" = Est. S &amp; C"</f>
        <v>0.0% = Est. S &amp; C</v>
      </c>
      <c r="O37" s="83" t="str">
        <f t="shared" si="13"/>
        <v>0.00%</v>
      </c>
      <c r="P37" s="2">
        <f>ROUND(L37*(1+Q19),0)</f>
        <v>0</v>
      </c>
      <c r="Q37" s="871" t="str">
        <f>TEXT(Q19,"0.0%")&amp;" = Est. S &amp; C"</f>
        <v>0.0%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66"/>
      <c r="B38" s="939" t="s">
        <v>114</v>
      </c>
      <c r="C38" s="857" t="s">
        <v>117</v>
      </c>
      <c r="D38" s="2">
        <v>0</v>
      </c>
      <c r="E38" s="863"/>
      <c r="F38" s="2"/>
      <c r="G38" s="83" t="str">
        <f t="shared" si="9"/>
        <v>0.00%</v>
      </c>
      <c r="H38" s="2">
        <f t="shared" si="10"/>
        <v>0</v>
      </c>
      <c r="I38" s="871" t="str">
        <f t="shared" si="11"/>
        <v>0.0% = Est. S &amp; C</v>
      </c>
      <c r="J38" s="66"/>
      <c r="K38" s="83" t="str">
        <f t="shared" si="12"/>
        <v>0.00%</v>
      </c>
      <c r="L38" s="2">
        <f>ROUND(H38*(1+M19),0)</f>
        <v>0</v>
      </c>
      <c r="M38" s="871" t="str">
        <f>TEXT(M19,"0.0%")&amp;" = Est. S &amp; C"</f>
        <v>0.0% = Est. S &amp; C</v>
      </c>
      <c r="O38" s="83" t="str">
        <f t="shared" si="13"/>
        <v>0.00%</v>
      </c>
      <c r="P38" s="2">
        <f>ROUND(L38*(1+Q19),0)</f>
        <v>0</v>
      </c>
      <c r="Q38" s="871" t="str">
        <f>TEXT(Q19,"0.0%")&amp;" = Est. S &amp; C"</f>
        <v>0.0%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66"/>
      <c r="B39" s="939" t="s">
        <v>73</v>
      </c>
      <c r="C39" s="857" t="s">
        <v>74</v>
      </c>
      <c r="D39" s="2">
        <v>0</v>
      </c>
      <c r="E39" s="863"/>
      <c r="F39" s="2"/>
      <c r="G39" s="83" t="str">
        <f t="shared" si="9"/>
        <v>0.00%</v>
      </c>
      <c r="H39" s="2">
        <f t="shared" si="10"/>
        <v>0</v>
      </c>
      <c r="I39" s="871" t="str">
        <f t="shared" si="11"/>
        <v>0.0% = Est. S &amp; C</v>
      </c>
      <c r="J39" s="66"/>
      <c r="K39" s="83" t="str">
        <f t="shared" si="12"/>
        <v>0.00%</v>
      </c>
      <c r="L39" s="2">
        <f>ROUND(H39*(1+M19),0)</f>
        <v>0</v>
      </c>
      <c r="M39" s="871" t="str">
        <f>TEXT(M19,"0.0%")&amp;" = Est. S &amp; C"</f>
        <v>0.0% = Est. S &amp; C</v>
      </c>
      <c r="O39" s="83" t="str">
        <f t="shared" si="13"/>
        <v>0.00%</v>
      </c>
      <c r="P39" s="2">
        <f>ROUND(L39*(1+Q19),0)</f>
        <v>0</v>
      </c>
      <c r="Q39" s="871" t="str">
        <f>TEXT(Q19,"0.0%")&amp;" = Est. S &amp; C"</f>
        <v>0.0%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66"/>
      <c r="B40" s="939"/>
      <c r="E40" s="863"/>
      <c r="F40" s="2"/>
      <c r="H40" s="2"/>
      <c r="I40" s="871"/>
      <c r="J40" s="66"/>
      <c r="L40" s="2"/>
      <c r="M40" s="948"/>
      <c r="Q40" s="948"/>
      <c r="T40" s="2"/>
      <c r="U40" s="73"/>
      <c r="X40" s="2"/>
      <c r="Y40" s="73"/>
      <c r="AB40" s="2"/>
      <c r="AC40" s="73"/>
    </row>
    <row r="41" spans="1:29" hidden="1" x14ac:dyDescent="0.25">
      <c r="A41" s="29"/>
      <c r="B41" s="939"/>
      <c r="D41" s="8">
        <f>SUM(D33:D40)</f>
        <v>0</v>
      </c>
      <c r="E41" s="863"/>
      <c r="F41" s="2"/>
      <c r="G41" s="83" t="str">
        <f>IF(D41=0,"0.00%",(H41-D41)/D41)</f>
        <v>0.00%</v>
      </c>
      <c r="H41" s="8">
        <f>SUM(H33:H40)</f>
        <v>0</v>
      </c>
      <c r="I41" s="872"/>
      <c r="J41" s="29"/>
      <c r="K41" s="83" t="str">
        <f>IF(H41=0,"0.00%",(L41-H41)/H41)</f>
        <v>0.00%</v>
      </c>
      <c r="L41" s="8">
        <f>SUM(L33:L40)</f>
        <v>0</v>
      </c>
      <c r="M41" s="948"/>
      <c r="O41" s="83" t="str">
        <f>IF(L41=0,"0.00%",(P41-L41)/L41)</f>
        <v>0.00%</v>
      </c>
      <c r="P41" s="8">
        <f>SUM(P33:P40)</f>
        <v>0</v>
      </c>
      <c r="Q41" s="948"/>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66"/>
      <c r="B42" s="930" t="s">
        <v>28</v>
      </c>
      <c r="E42" s="863"/>
      <c r="F42" s="2"/>
      <c r="H42" s="2"/>
      <c r="I42" s="871"/>
      <c r="J42" s="66"/>
      <c r="L42" s="2"/>
      <c r="M42" s="948"/>
      <c r="Q42" s="948"/>
      <c r="T42" s="2"/>
      <c r="U42" s="73"/>
      <c r="X42" s="2"/>
      <c r="Y42" s="73"/>
      <c r="AB42" s="2"/>
      <c r="AC42" s="73"/>
    </row>
    <row r="43" spans="1:29" hidden="1" x14ac:dyDescent="0.25">
      <c r="A43" s="57"/>
      <c r="B43" s="936" t="s">
        <v>27</v>
      </c>
      <c r="E43" s="863"/>
      <c r="F43" s="2"/>
      <c r="H43" s="2"/>
      <c r="I43" s="871"/>
      <c r="J43" s="66"/>
      <c r="L43" s="2"/>
      <c r="M43" s="948"/>
      <c r="Q43" s="948"/>
      <c r="T43" s="2"/>
      <c r="U43" s="73"/>
      <c r="X43" s="2"/>
      <c r="Y43" s="73"/>
      <c r="AB43" s="2"/>
      <c r="AC43" s="73"/>
    </row>
    <row r="44" spans="1:29" hidden="1" x14ac:dyDescent="0.25">
      <c r="A44" s="66"/>
      <c r="B44" s="939" t="s">
        <v>83</v>
      </c>
      <c r="C44" s="857" t="s">
        <v>76</v>
      </c>
      <c r="D44" s="2">
        <v>0</v>
      </c>
      <c r="E44" s="854" t="str">
        <f>TEXT('MYP Assumptions'!$D$55,"0.00%")&amp;", STRS rate"</f>
        <v>12.58%, STRS rate</v>
      </c>
      <c r="F44" s="2"/>
      <c r="G44" s="83" t="str">
        <f t="shared" ref="G44:G53" si="17">IF(D44=0,"0.00%",(H44-D44)/D44)</f>
        <v>0.00%</v>
      </c>
      <c r="H44" s="2">
        <f>ROUND(H30*LEFT(I44,6),0)</f>
        <v>0</v>
      </c>
      <c r="I44" s="854" t="str">
        <f>TEXT('MYP Assumptions'!E55,"0.00%")&amp;", projected STRS rate"</f>
        <v>14.43%, projected STRS rate</v>
      </c>
      <c r="J44" s="66"/>
      <c r="K44" s="83" t="str">
        <f t="shared" ref="K44:K53" si="18">IF(H44=0,"0.00%",(L44-H44)/H44)</f>
        <v>0.00%</v>
      </c>
      <c r="L44" s="2">
        <f>ROUND(L30*LEFT(M44,6),0)</f>
        <v>0</v>
      </c>
      <c r="M44" s="854" t="str">
        <f>TEXT('MYP Assumptions'!F55,"0.00%")&amp;", projected STRS rate"</f>
        <v>16.28%, projected STRS rate</v>
      </c>
      <c r="O44" s="83" t="str">
        <f t="shared" ref="O44:O53" si="19">IF(L44=0,"0.00%",(P44-L44)/L44)</f>
        <v>0.00%</v>
      </c>
      <c r="P44" s="2">
        <f>ROUND(P30*LEFT(Q44,6),0)</f>
        <v>0</v>
      </c>
      <c r="Q44" s="854" t="str">
        <f>TEXT('MYP Assumptions'!G55,"0.00%")&amp;", projected STRS rate"</f>
        <v>18.13%, projected STRS rate</v>
      </c>
      <c r="S44" s="83" t="str">
        <f t="shared" ref="S44:S53" si="20">IF(P44=0,"0.00%",(T44-P44)/P44)</f>
        <v>0.00%</v>
      </c>
      <c r="T44" s="2">
        <f>ROUND(T30*LEFT(U44,6),0)</f>
        <v>0</v>
      </c>
      <c r="U44" s="81" t="str">
        <f>TEXT('MYP Assumptions'!H55,"0.00%")&amp;", projected STRS rate"</f>
        <v>19.10%, projected STRS rate</v>
      </c>
      <c r="W44" s="83" t="str">
        <f t="shared" ref="W44:W53" si="21">IF(T44=0,"0.00%",(X44-T44)/T44)</f>
        <v>0.00%</v>
      </c>
      <c r="X44" s="2">
        <f>ROUND(X30*LEFT(Y44,6),0)</f>
        <v>0</v>
      </c>
      <c r="Y44" s="81" t="str">
        <f>TEXT('MYP Assumptions'!I55,"0.00%")&amp;", projected STRS rate"</f>
        <v>19.10%, projected STRS rate</v>
      </c>
      <c r="AA44" s="83" t="str">
        <f t="shared" ref="AA44:AA53" si="22">IF(X44=0,"0.00%",(AB44-X44)/X44)</f>
        <v>0.00%</v>
      </c>
      <c r="AB44" s="2">
        <f>ROUND(AB30*LEFT(AC44,6),0)</f>
        <v>0</v>
      </c>
      <c r="AC44" s="81" t="str">
        <f>TEXT('MYP Assumptions'!J55,"0.00%")&amp;", projected STRS rate"</f>
        <v>19.10%, projected STRS rate</v>
      </c>
    </row>
    <row r="45" spans="1:29" hidden="1" x14ac:dyDescent="0.25">
      <c r="A45" s="66"/>
      <c r="B45" s="939" t="s">
        <v>84</v>
      </c>
      <c r="C45" s="857" t="s">
        <v>77</v>
      </c>
      <c r="D45" s="2">
        <v>0</v>
      </c>
      <c r="E45" s="854" t="str">
        <f>TEXT('MYP Assumptions'!$D$56,"0.00%")&amp;", PERS rate"</f>
        <v>13.89%, PERS rate</v>
      </c>
      <c r="F45" s="2"/>
      <c r="G45" s="83" t="str">
        <f t="shared" si="17"/>
        <v>0.00%</v>
      </c>
      <c r="H45" s="2">
        <f>ROUND(H41*LEFT(I45,6),0)</f>
        <v>0</v>
      </c>
      <c r="I45" s="854" t="str">
        <f>TEXT('MYP Assumptions'!E56,"0.00%")&amp;", projected PERS rate"</f>
        <v>15.53%, projected PERS rate</v>
      </c>
      <c r="J45" s="66"/>
      <c r="K45" s="83" t="str">
        <f t="shared" si="18"/>
        <v>0.00%</v>
      </c>
      <c r="L45" s="2">
        <f>ROUND(L41*LEFT(M45,6),0)</f>
        <v>0</v>
      </c>
      <c r="M45" s="854" t="str">
        <f>TEXT('MYP Assumptions'!F56,"0.00%")&amp;", projected PERS rate"</f>
        <v>18.10%, projected PERS rate</v>
      </c>
      <c r="O45" s="83" t="str">
        <f t="shared" si="19"/>
        <v>0.00%</v>
      </c>
      <c r="P45" s="2">
        <f>ROUND(P41*LEFT(Q45,6),0)</f>
        <v>0</v>
      </c>
      <c r="Q45" s="854" t="str">
        <f>TEXT('MYP Assumptions'!G56,"0.00%")&amp;", projected PERS rate"</f>
        <v>20.80%, projected PERS rate</v>
      </c>
      <c r="S45" s="83" t="str">
        <f t="shared" si="20"/>
        <v>0.00%</v>
      </c>
      <c r="T45" s="2">
        <f>ROUND(T41*LEFT(U45,6),0)</f>
        <v>0</v>
      </c>
      <c r="U45" s="81" t="str">
        <f>TEXT('MYP Assumptions'!H56,"0.00%")&amp;", projected PERS rate"</f>
        <v>23.80%, projected PERS rate</v>
      </c>
      <c r="W45" s="83" t="str">
        <f t="shared" si="21"/>
        <v>0.00%</v>
      </c>
      <c r="X45" s="2">
        <f>ROUND(X41*LEFT(Y45,6),0)</f>
        <v>0</v>
      </c>
      <c r="Y45" s="81" t="str">
        <f>TEXT('MYP Assumptions'!I56,"0.00%")&amp;", projected PERS rate"</f>
        <v>25.20%, projected PERS rate</v>
      </c>
      <c r="AA45" s="83" t="str">
        <f t="shared" si="22"/>
        <v>0.00%</v>
      </c>
      <c r="AB45" s="2">
        <f>ROUND(AB41*LEFT(AC45,6),0)</f>
        <v>0</v>
      </c>
      <c r="AC45" s="81" t="str">
        <f>TEXT('MYP Assumptions'!J56,"0.00%")&amp;", projected PERS rate"</f>
        <v>26.10%, projected PERS rate</v>
      </c>
    </row>
    <row r="46" spans="1:29" hidden="1" x14ac:dyDescent="0.25">
      <c r="A46" s="66"/>
      <c r="B46" s="939" t="s">
        <v>85</v>
      </c>
      <c r="C46" s="857" t="s">
        <v>78</v>
      </c>
      <c r="D46" s="2">
        <v>0</v>
      </c>
      <c r="E46" s="854" t="str">
        <f>TEXT('MYP Assumptions'!$D$57,"0.00%")&amp;", SS rate"</f>
        <v>6.20%, SS rate</v>
      </c>
      <c r="F46" s="2"/>
      <c r="G46" s="83" t="str">
        <f t="shared" si="17"/>
        <v>0.00%</v>
      </c>
      <c r="H46" s="2">
        <f>ROUND(H41*LEFT(I46,5),0)</f>
        <v>0</v>
      </c>
      <c r="I46" s="854" t="str">
        <f>TEXT('MYP Assumptions'!E57,"0.00%")&amp;", no rate change"</f>
        <v>6.20%, no rate change</v>
      </c>
      <c r="J46" s="66"/>
      <c r="K46" s="83" t="str">
        <f t="shared" si="18"/>
        <v>0.00%</v>
      </c>
      <c r="L46" s="2">
        <f>ROUND(L41*LEFT(M46,5),0)</f>
        <v>0</v>
      </c>
      <c r="M46" s="854" t="str">
        <f>TEXT('MYP Assumptions'!F57,"0.00%")&amp;", no rate change"</f>
        <v>6.20%, no rate change</v>
      </c>
      <c r="O46" s="83" t="str">
        <f t="shared" si="19"/>
        <v>0.00%</v>
      </c>
      <c r="P46" s="2">
        <f>ROUND(P41*LEFT(Q46,5),0)</f>
        <v>0</v>
      </c>
      <c r="Q46" s="854" t="str">
        <f>TEXT('MYP Assumptions'!G57,"0.00%")&amp;", no rate change"</f>
        <v>6.20%, no rate change</v>
      </c>
      <c r="S46" s="83" t="str">
        <f t="shared" si="20"/>
        <v>0.00%</v>
      </c>
      <c r="T46" s="2">
        <f>ROUND(T41*LEFT(U46,5),0)</f>
        <v>0</v>
      </c>
      <c r="U46" s="81" t="str">
        <f>TEXT('MYP Assumptions'!H57,"0.00%")&amp;", no rate change"</f>
        <v>6.20%, no rate change</v>
      </c>
      <c r="W46" s="83" t="str">
        <f t="shared" si="21"/>
        <v>0.00%</v>
      </c>
      <c r="X46" s="2">
        <f>ROUND(X41*LEFT(Y46,5),0)</f>
        <v>0</v>
      </c>
      <c r="Y46" s="81" t="str">
        <f>TEXT('MYP Assumptions'!I57,"0.00%")&amp;", no rate change"</f>
        <v>6.20%, no rate change</v>
      </c>
      <c r="AA46" s="83" t="str">
        <f t="shared" si="22"/>
        <v>0.00%</v>
      </c>
      <c r="AB46" s="2">
        <f>ROUND(AB41*LEFT(AC46,5),0)</f>
        <v>0</v>
      </c>
      <c r="AC46" s="81" t="str">
        <f>TEXT('MYP Assumptions'!J57,"0.00%")&amp;", no rate change"</f>
        <v>6.20%, no rate change</v>
      </c>
    </row>
    <row r="47" spans="1:29" hidden="1" x14ac:dyDescent="0.25">
      <c r="A47" s="66"/>
      <c r="B47" s="939" t="s">
        <v>86</v>
      </c>
      <c r="C47" s="857" t="s">
        <v>79</v>
      </c>
      <c r="D47" s="2">
        <v>0</v>
      </c>
      <c r="E47" s="854" t="str">
        <f>TEXT('MYP Assumptions'!$D$58,"0.00%")&amp;", Medicare rate"</f>
        <v>1.45%, Medicare rate</v>
      </c>
      <c r="F47" s="2"/>
      <c r="G47" s="83" t="str">
        <f t="shared" si="17"/>
        <v>0.00%</v>
      </c>
      <c r="H47" s="2">
        <f>ROUND((H41+H30)*LEFT(I47,5),0)</f>
        <v>0</v>
      </c>
      <c r="I47" s="854" t="str">
        <f>TEXT('MYP Assumptions'!E58,"0.00%")&amp;", no rate change"</f>
        <v>1.45%, no rate change</v>
      </c>
      <c r="J47" s="66"/>
      <c r="K47" s="83" t="str">
        <f t="shared" si="18"/>
        <v>0.00%</v>
      </c>
      <c r="L47" s="2">
        <f>ROUND((L41+L30)*LEFT(M47,5),0)</f>
        <v>0</v>
      </c>
      <c r="M47" s="854" t="str">
        <f>TEXT('MYP Assumptions'!F58,"0.00%")&amp;", no rate change"</f>
        <v>1.45%, no rate change</v>
      </c>
      <c r="O47" s="83" t="str">
        <f t="shared" si="19"/>
        <v>0.00%</v>
      </c>
      <c r="P47" s="2">
        <f>ROUND((P41+P30)*LEFT(Q47,5),0)</f>
        <v>0</v>
      </c>
      <c r="Q47" s="854" t="str">
        <f>TEXT('MYP Assumptions'!G58,"0.00%")&amp;", no rate change"</f>
        <v>1.45%, no rate change</v>
      </c>
      <c r="S47" s="83" t="str">
        <f t="shared" si="20"/>
        <v>0.00%</v>
      </c>
      <c r="T47" s="2">
        <f>ROUND((T41+T30)*LEFT(U47,5),0)</f>
        <v>0</v>
      </c>
      <c r="U47" s="81" t="str">
        <f>TEXT('MYP Assumptions'!H58,"0.00%")&amp;", no rate change"</f>
        <v>1.45%, no rate change</v>
      </c>
      <c r="W47" s="83" t="str">
        <f t="shared" si="21"/>
        <v>0.00%</v>
      </c>
      <c r="X47" s="2">
        <f>ROUND((X41+X30)*LEFT(Y47,5),0)</f>
        <v>0</v>
      </c>
      <c r="Y47" s="81" t="str">
        <f>TEXT('MYP Assumptions'!I58,"0.00%")&amp;", no rate change"</f>
        <v>1.45%, no rate change</v>
      </c>
      <c r="AA47" s="83" t="str">
        <f t="shared" si="22"/>
        <v>0.00%</v>
      </c>
      <c r="AB47" s="2">
        <f>ROUND((AB41+AB30)*LEFT(AC47,5),0)</f>
        <v>0</v>
      </c>
      <c r="AC47" s="81" t="str">
        <f>TEXT('MYP Assumptions'!J58,"0.00%")&amp;", no rate change"</f>
        <v>1.45%, no rate change</v>
      </c>
    </row>
    <row r="48" spans="1:29" hidden="1" x14ac:dyDescent="0.25">
      <c r="A48" s="66"/>
      <c r="B48" s="939" t="s">
        <v>87</v>
      </c>
      <c r="C48" s="857" t="s">
        <v>80</v>
      </c>
      <c r="D48" s="2">
        <v>0</v>
      </c>
      <c r="E48" s="854"/>
      <c r="F48" s="2"/>
      <c r="G48" s="83" t="str">
        <f t="shared" si="17"/>
        <v>0.00%</v>
      </c>
      <c r="H48" s="2">
        <f>ROUND((D48)*(LEFT(I48,5)+1),0)</f>
        <v>0</v>
      </c>
      <c r="I48" s="854" t="str">
        <f>TEXT('MYP Assumptions'!$M$65,"0.00%")&amp;", projected increase"</f>
        <v>7.00%, projected increase</v>
      </c>
      <c r="J48" s="66"/>
      <c r="K48" s="83" t="str">
        <f t="shared" si="18"/>
        <v>0.00%</v>
      </c>
      <c r="L48" s="2">
        <f>ROUND((H48)*(LEFT(M48,5)+1),0)</f>
        <v>0</v>
      </c>
      <c r="M48" s="854" t="str">
        <f>TEXT('MYP Assumptions'!$M$65,"0.00%")&amp;", projected increase"</f>
        <v>7.00%, projected increase</v>
      </c>
      <c r="O48" s="83" t="str">
        <f t="shared" si="19"/>
        <v>0.00%</v>
      </c>
      <c r="P48" s="2">
        <f>ROUND((L48)*(LEFT(Q48,5)+1),0)</f>
        <v>0</v>
      </c>
      <c r="Q48" s="854" t="str">
        <f>TEXT('MYP Assumptions'!$M$65,"0.00%")&amp;", projected increase"</f>
        <v>7.00%, projected increase</v>
      </c>
      <c r="S48" s="83" t="str">
        <f t="shared" si="20"/>
        <v>0.00%</v>
      </c>
      <c r="T48" s="2">
        <f>ROUND((P48)*(LEFT(U48,5)+1),0)</f>
        <v>0</v>
      </c>
      <c r="U48" s="81" t="str">
        <f>TEXT('MYP Assumptions'!$M$65,"0.00%")&amp;", projected increase"</f>
        <v>7.00%, projected increase</v>
      </c>
      <c r="W48" s="83" t="str">
        <f t="shared" si="21"/>
        <v>0.00%</v>
      </c>
      <c r="X48" s="2">
        <f>ROUND((T48)*(LEFT(Y48,5)+1),0)</f>
        <v>0</v>
      </c>
      <c r="Y48" s="81" t="str">
        <f>TEXT('MYP Assumptions'!$M$65,"0.00%")&amp;", projected increase"</f>
        <v>7.00%, projected increase</v>
      </c>
      <c r="AA48" s="83" t="str">
        <f t="shared" si="22"/>
        <v>0.00%</v>
      </c>
      <c r="AB48" s="2">
        <f>ROUND((X48)*(LEFT(AC48,5)+1),0)</f>
        <v>0</v>
      </c>
      <c r="AC48" s="81" t="str">
        <f>TEXT('MYP Assumptions'!$M$65,"0.00%")&amp;", projected increase"</f>
        <v>7.00%, projected increase</v>
      </c>
    </row>
    <row r="49" spans="1:29" hidden="1" x14ac:dyDescent="0.25">
      <c r="A49" s="66"/>
      <c r="B49" s="939" t="s">
        <v>88</v>
      </c>
      <c r="C49" s="857" t="s">
        <v>81</v>
      </c>
      <c r="D49" s="2">
        <v>0</v>
      </c>
      <c r="E49" s="854" t="str">
        <f>TEXT('MYP Assumptions'!$D$59,"0.00%")&amp;", SUI rate"</f>
        <v>0.05%, SUI rate</v>
      </c>
      <c r="F49" s="2"/>
      <c r="G49" s="83" t="str">
        <f t="shared" si="17"/>
        <v>0.00%</v>
      </c>
      <c r="H49" s="2">
        <f>ROUND((H41+H30)*LEFT(I49,5),0)</f>
        <v>0</v>
      </c>
      <c r="I49" s="854" t="str">
        <f>TEXT('MYP Assumptions'!E59,"0.00%")&amp;", no rate change"</f>
        <v>0.05%, no rate change</v>
      </c>
      <c r="J49" s="66"/>
      <c r="K49" s="83" t="str">
        <f t="shared" si="18"/>
        <v>0.00%</v>
      </c>
      <c r="L49" s="2">
        <f>ROUND((L41+L30)*LEFT(M49,5),0)</f>
        <v>0</v>
      </c>
      <c r="M49" s="854" t="str">
        <f>TEXT('MYP Assumptions'!F59,"0.00%")&amp;", no rate change"</f>
        <v>0.05%, no rate change</v>
      </c>
      <c r="O49" s="83" t="str">
        <f t="shared" si="19"/>
        <v>0.00%</v>
      </c>
      <c r="P49" s="2">
        <f>ROUND((P41+P30)*LEFT(Q49,5),0)</f>
        <v>0</v>
      </c>
      <c r="Q49" s="854" t="str">
        <f>TEXT('MYP Assumptions'!G59,"0.00%")&amp;", no rate change"</f>
        <v>0.05%, no rate change</v>
      </c>
      <c r="S49" s="83" t="str">
        <f t="shared" si="20"/>
        <v>0.00%</v>
      </c>
      <c r="T49" s="2">
        <f>ROUND((T41+T30)*LEFT(U49,5),0)</f>
        <v>0</v>
      </c>
      <c r="U49" s="81" t="str">
        <f>TEXT('MYP Assumptions'!H59,"0.00%")&amp;", no rate change"</f>
        <v>0.05%, no rate change</v>
      </c>
      <c r="W49" s="83" t="str">
        <f t="shared" si="21"/>
        <v>0.00%</v>
      </c>
      <c r="X49" s="2">
        <f>ROUND((X41+X30)*LEFT(Y49,5),0)</f>
        <v>0</v>
      </c>
      <c r="Y49" s="81" t="str">
        <f>TEXT('MYP Assumptions'!I59,"0.00%")&amp;", no rate change"</f>
        <v>0.05%, no rate change</v>
      </c>
      <c r="AA49" s="83" t="str">
        <f t="shared" si="22"/>
        <v>0.00%</v>
      </c>
      <c r="AB49" s="2">
        <f>ROUND((AB41+AB30)*LEFT(AC49,5),0)</f>
        <v>0</v>
      </c>
      <c r="AC49" s="81" t="str">
        <f>TEXT('MYP Assumptions'!J59,"0.00%")&amp;", no rate change"</f>
        <v>0.05%, no rate change</v>
      </c>
    </row>
    <row r="50" spans="1:29" hidden="1" x14ac:dyDescent="0.25">
      <c r="A50" s="66"/>
      <c r="B50" s="939" t="s">
        <v>89</v>
      </c>
      <c r="C50" s="857" t="s">
        <v>82</v>
      </c>
      <c r="D50" s="2">
        <v>0</v>
      </c>
      <c r="E50" s="854" t="str">
        <f>TEXT('MYP Assumptions'!$D$60,"0.00%")&amp;", W/C rate"</f>
        <v>1.10%, W/C rate</v>
      </c>
      <c r="F50" s="2"/>
      <c r="G50" s="83" t="str">
        <f t="shared" si="17"/>
        <v>0.00%</v>
      </c>
      <c r="H50" s="2">
        <f>ROUND((H41+H30)*LEFT(I50,5),0)</f>
        <v>0</v>
      </c>
      <c r="I50" s="854" t="str">
        <f>TEXT('MYP Assumptions'!E60,"0.00%")&amp;", no rate change"</f>
        <v>0.80%, no rate change</v>
      </c>
      <c r="J50" s="66"/>
      <c r="K50" s="83" t="str">
        <f t="shared" si="18"/>
        <v>0.00%</v>
      </c>
      <c r="L50" s="2">
        <f>ROUND((L41+L30)*LEFT(M50,5),0)</f>
        <v>0</v>
      </c>
      <c r="M50" s="854" t="str">
        <f>TEXT('MYP Assumptions'!F60,"0.00%")&amp;", no rate change"</f>
        <v>0.80%, no rate change</v>
      </c>
      <c r="O50" s="83" t="str">
        <f t="shared" si="19"/>
        <v>0.00%</v>
      </c>
      <c r="P50" s="2">
        <f>ROUND((P41+P30)*LEFT(Q50,5),0)</f>
        <v>0</v>
      </c>
      <c r="Q50" s="854" t="str">
        <f>TEXT('MYP Assumptions'!G60,"0.00%")&amp;", no rate change"</f>
        <v>0.80%, no rate change</v>
      </c>
      <c r="S50" s="83" t="str">
        <f t="shared" si="20"/>
        <v>0.00%</v>
      </c>
      <c r="T50" s="2">
        <f>ROUND((T41+T30)*LEFT(U50,5),0)</f>
        <v>0</v>
      </c>
      <c r="U50" s="81" t="str">
        <f>TEXT('MYP Assumptions'!H60,"0.00%")&amp;", no rate change"</f>
        <v>0.80%, no rate change</v>
      </c>
      <c r="W50" s="83" t="str">
        <f t="shared" si="21"/>
        <v>0.00%</v>
      </c>
      <c r="X50" s="2">
        <f>ROUND((X41+X30)*LEFT(Y50,5),0)</f>
        <v>0</v>
      </c>
      <c r="Y50" s="81" t="str">
        <f>TEXT('MYP Assumptions'!I60,"0.00%")&amp;", no rate change"</f>
        <v>0.80%, no rate change</v>
      </c>
      <c r="AA50" s="83" t="str">
        <f t="shared" si="22"/>
        <v>0.00%</v>
      </c>
      <c r="AB50" s="2">
        <f>ROUND((AB41+AB30)*LEFT(AC50,5),0)</f>
        <v>0</v>
      </c>
      <c r="AC50" s="81" t="str">
        <f>TEXT('MYP Assumptions'!J60,"0.00%")&amp;", no rate change"</f>
        <v>0.80%, no rate change</v>
      </c>
    </row>
    <row r="51" spans="1:29" hidden="1" x14ac:dyDescent="0.25">
      <c r="A51" s="66"/>
      <c r="B51" s="939" t="s">
        <v>90</v>
      </c>
      <c r="C51" s="857" t="s">
        <v>92</v>
      </c>
      <c r="D51" s="2">
        <v>0</v>
      </c>
      <c r="E51" s="863"/>
      <c r="F51" s="2"/>
      <c r="G51" s="83" t="str">
        <f t="shared" si="17"/>
        <v>0.00%</v>
      </c>
      <c r="H51" s="2">
        <f>D51</f>
        <v>0</v>
      </c>
      <c r="I51" s="854" t="s">
        <v>166</v>
      </c>
      <c r="J51" s="66"/>
      <c r="K51" s="83" t="str">
        <f t="shared" si="18"/>
        <v>0.00%</v>
      </c>
      <c r="L51" s="2">
        <f>H51</f>
        <v>0</v>
      </c>
      <c r="M51" s="854" t="s">
        <v>166</v>
      </c>
      <c r="O51" s="83" t="str">
        <f t="shared" si="19"/>
        <v>0.00%</v>
      </c>
      <c r="P51" s="2">
        <f>L51</f>
        <v>0</v>
      </c>
      <c r="Q51" s="854" t="s">
        <v>166</v>
      </c>
      <c r="S51" s="83" t="str">
        <f t="shared" si="20"/>
        <v>0.00%</v>
      </c>
      <c r="T51" s="2">
        <f>P51</f>
        <v>0</v>
      </c>
      <c r="U51" s="81" t="s">
        <v>166</v>
      </c>
      <c r="W51" s="83" t="str">
        <f t="shared" si="21"/>
        <v>0.00%</v>
      </c>
      <c r="X51" s="2">
        <f>T51</f>
        <v>0</v>
      </c>
      <c r="Y51" s="81" t="s">
        <v>166</v>
      </c>
      <c r="AA51" s="83" t="str">
        <f t="shared" si="22"/>
        <v>0.00%</v>
      </c>
      <c r="AB51" s="2">
        <f>X51</f>
        <v>0</v>
      </c>
      <c r="AC51" s="81" t="s">
        <v>166</v>
      </c>
    </row>
    <row r="52" spans="1:29" hidden="1" x14ac:dyDescent="0.25">
      <c r="A52" s="66"/>
      <c r="B52" s="939" t="s">
        <v>91</v>
      </c>
      <c r="C52" s="857" t="s">
        <v>93</v>
      </c>
      <c r="D52" s="2">
        <v>0</v>
      </c>
      <c r="E52" s="863"/>
      <c r="F52" s="2"/>
      <c r="G52" s="83" t="str">
        <f t="shared" si="17"/>
        <v>0.00%</v>
      </c>
      <c r="H52" s="2">
        <f>D52</f>
        <v>0</v>
      </c>
      <c r="I52" s="854" t="s">
        <v>166</v>
      </c>
      <c r="J52" s="66"/>
      <c r="K52" s="83" t="str">
        <f t="shared" si="18"/>
        <v>0.00%</v>
      </c>
      <c r="L52" s="2">
        <f>H52</f>
        <v>0</v>
      </c>
      <c r="M52" s="854" t="s">
        <v>166</v>
      </c>
      <c r="O52" s="83" t="str">
        <f t="shared" si="19"/>
        <v>0.00%</v>
      </c>
      <c r="P52" s="2">
        <f>L52</f>
        <v>0</v>
      </c>
      <c r="Q52" s="854" t="s">
        <v>166</v>
      </c>
      <c r="S52" s="83" t="str">
        <f t="shared" si="20"/>
        <v>0.00%</v>
      </c>
      <c r="T52" s="2">
        <f>P52</f>
        <v>0</v>
      </c>
      <c r="U52" s="81" t="s">
        <v>166</v>
      </c>
      <c r="W52" s="83" t="str">
        <f t="shared" si="21"/>
        <v>0.00%</v>
      </c>
      <c r="X52" s="2">
        <f>T52</f>
        <v>0</v>
      </c>
      <c r="Y52" s="81" t="s">
        <v>166</v>
      </c>
      <c r="AA52" s="83" t="str">
        <f t="shared" si="22"/>
        <v>0.00%</v>
      </c>
      <c r="AB52" s="2">
        <f>X52</f>
        <v>0</v>
      </c>
      <c r="AC52" s="81" t="s">
        <v>166</v>
      </c>
    </row>
    <row r="53" spans="1:29" hidden="1" x14ac:dyDescent="0.25">
      <c r="A53" s="29"/>
      <c r="B53" s="939"/>
      <c r="D53" s="8">
        <f>SUM(D44:D52)</f>
        <v>0</v>
      </c>
      <c r="E53" s="863"/>
      <c r="F53" s="2"/>
      <c r="G53" s="83" t="str">
        <f t="shared" si="17"/>
        <v>0.00%</v>
      </c>
      <c r="H53" s="8">
        <f>SUM(H44:H52)</f>
        <v>0</v>
      </c>
      <c r="I53" s="872"/>
      <c r="J53" s="29"/>
      <c r="K53" s="83" t="str">
        <f t="shared" si="18"/>
        <v>0.00%</v>
      </c>
      <c r="L53" s="8">
        <f>SUM(L44:L52)</f>
        <v>0</v>
      </c>
      <c r="M53" s="948"/>
      <c r="O53" s="83" t="str">
        <f t="shared" si="19"/>
        <v>0.00%</v>
      </c>
      <c r="P53" s="8">
        <f>SUM(P44:P52)</f>
        <v>0</v>
      </c>
      <c r="Q53" s="948"/>
      <c r="S53" s="83" t="str">
        <f t="shared" si="20"/>
        <v>0.00%</v>
      </c>
      <c r="T53" s="8">
        <f>SUM(T44:T52)</f>
        <v>0</v>
      </c>
      <c r="U53" s="73"/>
      <c r="W53" s="83" t="str">
        <f t="shared" si="21"/>
        <v>0.00%</v>
      </c>
      <c r="X53" s="8">
        <f>SUM(X44:X52)</f>
        <v>0</v>
      </c>
      <c r="Y53" s="73"/>
      <c r="AA53" s="83" t="str">
        <f t="shared" si="22"/>
        <v>0.00%</v>
      </c>
      <c r="AB53" s="8">
        <f>SUM(AB44:AB52)</f>
        <v>0</v>
      </c>
      <c r="AC53" s="73"/>
    </row>
    <row r="54" spans="1:29" hidden="1" x14ac:dyDescent="0.25">
      <c r="A54" s="57"/>
      <c r="B54" s="939"/>
      <c r="E54" s="863"/>
      <c r="F54" s="2"/>
      <c r="H54" s="2"/>
      <c r="I54" s="871"/>
      <c r="J54" s="66"/>
      <c r="L54" s="2"/>
      <c r="M54" s="948"/>
      <c r="Q54" s="948"/>
      <c r="T54" s="2"/>
      <c r="U54" s="73"/>
      <c r="X54" s="2"/>
      <c r="Y54" s="73"/>
      <c r="AB54" s="2"/>
      <c r="AC54" s="73"/>
    </row>
    <row r="55" spans="1:29" hidden="1" x14ac:dyDescent="0.25">
      <c r="A55" s="29"/>
      <c r="B55" s="936" t="s">
        <v>26</v>
      </c>
      <c r="D55" s="8">
        <f>SUM(D53,D41,D30)</f>
        <v>0</v>
      </c>
      <c r="E55" s="863"/>
      <c r="F55" s="2"/>
      <c r="G55" s="83" t="str">
        <f>IF(D55=0,"0.00%",(H55-D55)/D55)</f>
        <v>0.00%</v>
      </c>
      <c r="H55" s="8">
        <f>SUM(H53,H41,H30)</f>
        <v>0</v>
      </c>
      <c r="I55" s="872"/>
      <c r="J55" s="29"/>
      <c r="K55" s="83" t="str">
        <f>IF(H55=0,"0.00%",(L55-H55)/H55)</f>
        <v>0.00%</v>
      </c>
      <c r="L55" s="8">
        <f>SUM(L53,L41,L30)</f>
        <v>0</v>
      </c>
      <c r="M55" s="948"/>
      <c r="O55" s="83" t="str">
        <f>IF(L55=0,"0.00%",(P55-L55)/L55)</f>
        <v>0.00%</v>
      </c>
      <c r="P55" s="8">
        <f>SUM(P53,P41,P30)</f>
        <v>0</v>
      </c>
      <c r="Q55" s="948"/>
      <c r="S55" s="83" t="str">
        <f>IF(P55=0,"0.00%",(T55-P55)/P55)</f>
        <v>0.00%</v>
      </c>
      <c r="T55" s="8">
        <f>SUM(T53,T41,T30)</f>
        <v>0</v>
      </c>
      <c r="U55" s="73"/>
      <c r="W55" s="83" t="str">
        <f>IF(T55=0,"0.00%",(X55-T55)/T55)</f>
        <v>0.00%</v>
      </c>
      <c r="X55" s="8">
        <f>SUM(X53,X41,X30)</f>
        <v>0</v>
      </c>
      <c r="Y55" s="73"/>
      <c r="AA55" s="83" t="str">
        <f>IF(X55=0,"0.00%",(AB55-X55)/X55)</f>
        <v>0.00%</v>
      </c>
      <c r="AB55" s="8">
        <f>SUM(AB53,AB41,AB30)</f>
        <v>0</v>
      </c>
      <c r="AC55" s="73"/>
    </row>
    <row r="56" spans="1:29" hidden="1" x14ac:dyDescent="0.25">
      <c r="A56" s="59"/>
      <c r="E56" s="863"/>
      <c r="F56" s="2"/>
      <c r="H56" s="2"/>
      <c r="I56" s="871"/>
      <c r="J56" s="66"/>
      <c r="L56" s="2"/>
      <c r="M56" s="948"/>
      <c r="Q56" s="948"/>
      <c r="T56" s="2"/>
      <c r="U56" s="73"/>
      <c r="X56" s="2"/>
      <c r="Y56" s="73"/>
      <c r="AB56" s="2"/>
      <c r="AC56" s="73"/>
    </row>
    <row r="57" spans="1:29" x14ac:dyDescent="0.25">
      <c r="A57" s="66"/>
      <c r="E57" s="863"/>
      <c r="F57" s="2"/>
      <c r="H57" s="2"/>
      <c r="I57" s="871"/>
      <c r="J57" s="66"/>
      <c r="L57" s="2"/>
      <c r="M57" s="948"/>
      <c r="Q57" s="948"/>
      <c r="T57" s="2"/>
      <c r="U57" s="73"/>
      <c r="X57" s="2"/>
      <c r="Y57" s="73"/>
      <c r="AB57" s="2"/>
      <c r="AC57" s="73"/>
    </row>
    <row r="58" spans="1:29" x14ac:dyDescent="0.25">
      <c r="A58" s="59"/>
      <c r="B58" s="940" t="s">
        <v>25</v>
      </c>
      <c r="C58" s="873"/>
      <c r="E58" s="863"/>
      <c r="F58" s="2"/>
      <c r="H58" s="2"/>
      <c r="I58" s="871"/>
      <c r="J58" s="66"/>
      <c r="L58" s="2"/>
      <c r="M58" s="948"/>
      <c r="Q58" s="948"/>
      <c r="T58" s="2"/>
      <c r="U58" s="73"/>
      <c r="X58" s="2"/>
      <c r="Y58" s="73"/>
      <c r="AB58" s="2"/>
      <c r="AC58" s="73"/>
    </row>
    <row r="59" spans="1:29" hidden="1" x14ac:dyDescent="0.25">
      <c r="A59" s="66"/>
      <c r="B59" s="939" t="s">
        <v>24</v>
      </c>
      <c r="C59" s="857" t="s">
        <v>23</v>
      </c>
      <c r="D59" s="2">
        <v>0</v>
      </c>
      <c r="E59" s="863"/>
      <c r="F59" s="2"/>
      <c r="G59" s="83" t="str">
        <f t="shared" ref="G59:G66" si="23">IF(D59=0,"0.00%",(H59-D59)/D59)</f>
        <v>0.00%</v>
      </c>
      <c r="H59" s="2">
        <f t="shared" ref="H59:H65" si="24">ROUND(D59*(LEFT(I59,5)+1),0)</f>
        <v>0</v>
      </c>
      <c r="I59" s="854" t="str">
        <f>TEXT('MYP Assumptions'!E75,"0.00%")&amp;", CPI"</f>
        <v>3.42%, CPI</v>
      </c>
      <c r="J59" s="66"/>
      <c r="K59" s="83" t="str">
        <f t="shared" ref="K59:K66" si="25">IF(H59=0,"0.00%",(L59-H59)/H59)</f>
        <v>0.00%</v>
      </c>
      <c r="L59" s="2">
        <f>ROUND(H59*(LEFT(M59,5)+1),0)</f>
        <v>0</v>
      </c>
      <c r="M59" s="854" t="str">
        <f>TEXT('MYP Assumptions'!F75,"0.00%")&amp;", CPI"</f>
        <v>3.35%, CPI</v>
      </c>
      <c r="O59" s="83" t="str">
        <f t="shared" ref="O59:O66" si="26">IF(L59=0,"0.00%",(P59-L59)/L59)</f>
        <v>0.00%</v>
      </c>
      <c r="P59" s="2">
        <f>ROUND(L59*(LEFT(Q59,5)+1),0)</f>
        <v>0</v>
      </c>
      <c r="Q59" s="854" t="str">
        <f>TEXT('MYP Assumptions'!G75,"0.00%")&amp;", CPI"</f>
        <v>3.02%, CPI</v>
      </c>
      <c r="S59" s="83" t="str">
        <f t="shared" ref="S59:S66" si="27">IF(P59=0,"0.00%",(T59-P59)/P59)</f>
        <v>0.00%</v>
      </c>
      <c r="T59" s="2">
        <f>ROUND(P59*(LEFT(U59,5)+1),0)</f>
        <v>0</v>
      </c>
      <c r="U59" s="81" t="str">
        <f>TEXT('MYP Assumptions'!H75,"0.00%")&amp;", CPI"</f>
        <v>2.73%, CPI</v>
      </c>
      <c r="W59" s="83" t="str">
        <f t="shared" ref="W59:W66" si="28">IF(T59=0,"0.00%",(X59-T59)/T59)</f>
        <v>0.00%</v>
      </c>
      <c r="X59" s="2">
        <f>ROUND(T59*(LEFT(Y59,5)+1),0)</f>
        <v>0</v>
      </c>
      <c r="Y59" s="81" t="str">
        <f>TEXT('MYP Assumptions'!I75,"0.00%")&amp;", CPI"</f>
        <v>2.73%, CPI</v>
      </c>
      <c r="AA59" s="83" t="str">
        <f t="shared" ref="AA59:AA66" si="29">IF(X59=0,"0.00%",(AB59-X59)/X59)</f>
        <v>0.00%</v>
      </c>
      <c r="AB59" s="2">
        <f>ROUND(X59*(LEFT(AC59,5)+1),0)</f>
        <v>0</v>
      </c>
      <c r="AC59" s="81" t="str">
        <f>TEXT('MYP Assumptions'!J75,"0.00%")&amp;", CPI"</f>
        <v>2.73%, CPI</v>
      </c>
    </row>
    <row r="60" spans="1:29" hidden="1" x14ac:dyDescent="0.25">
      <c r="A60" s="66"/>
      <c r="B60" s="939" t="s">
        <v>94</v>
      </c>
      <c r="C60" s="857" t="s">
        <v>96</v>
      </c>
      <c r="D60" s="2">
        <v>0</v>
      </c>
      <c r="E60" s="863"/>
      <c r="F60" s="2"/>
      <c r="G60" s="83" t="str">
        <f t="shared" si="23"/>
        <v>0.00%</v>
      </c>
      <c r="H60" s="2">
        <f t="shared" si="24"/>
        <v>0</v>
      </c>
      <c r="I60" s="854" t="str">
        <f>TEXT('MYP Assumptions'!E75,"0.00%")&amp;", CPI"</f>
        <v>3.42%, CPI</v>
      </c>
      <c r="J60" s="66"/>
      <c r="K60" s="83" t="str">
        <f t="shared" si="25"/>
        <v>0.00%</v>
      </c>
      <c r="L60" s="2">
        <f t="shared" ref="L60:L65" si="30">ROUND(H60*(LEFT(M60,5)+1),0)</f>
        <v>0</v>
      </c>
      <c r="M60" s="854" t="str">
        <f>TEXT('MYP Assumptions'!F75,"0.00%")&amp;", CPI"</f>
        <v>3.35%, CPI</v>
      </c>
      <c r="O60" s="83" t="str">
        <f t="shared" si="26"/>
        <v>0.00%</v>
      </c>
      <c r="P60" s="2">
        <f t="shared" ref="P60:P65" si="31">ROUND(L60*(LEFT(Q60,5)+1),0)</f>
        <v>0</v>
      </c>
      <c r="Q60" s="854" t="str">
        <f>TEXT('MYP Assumptions'!G75,"0.00%")&amp;", CPI"</f>
        <v>3.02%, CPI</v>
      </c>
      <c r="S60" s="83" t="str">
        <f t="shared" si="27"/>
        <v>0.00%</v>
      </c>
      <c r="T60" s="2">
        <f t="shared" ref="T60:T65" si="32">ROUND(P60*(LEFT(U60,5)+1),0)</f>
        <v>0</v>
      </c>
      <c r="U60" s="81" t="str">
        <f>TEXT('MYP Assumptions'!H75,"0.00%")&amp;", CPI"</f>
        <v>2.73%, CPI</v>
      </c>
      <c r="W60" s="83" t="str">
        <f t="shared" si="28"/>
        <v>0.00%</v>
      </c>
      <c r="X60" s="2">
        <f t="shared" ref="X60:X65" si="33">ROUND(T60*(LEFT(Y60,5)+1),0)</f>
        <v>0</v>
      </c>
      <c r="Y60" s="81" t="str">
        <f>TEXT('MYP Assumptions'!I75,"0.00%")&amp;", CPI"</f>
        <v>2.73%, CPI</v>
      </c>
      <c r="AA60" s="83" t="str">
        <f t="shared" si="29"/>
        <v>0.00%</v>
      </c>
      <c r="AB60" s="2">
        <f t="shared" ref="AB60:AB65" si="34">ROUND(X60*(LEFT(AC60,5)+1),0)</f>
        <v>0</v>
      </c>
      <c r="AC60" s="81" t="str">
        <f>TEXT('MYP Assumptions'!J75,"0.00%")&amp;", CPI"</f>
        <v>2.73%, CPI</v>
      </c>
    </row>
    <row r="61" spans="1:29" hidden="1" x14ac:dyDescent="0.25">
      <c r="A61" s="66"/>
      <c r="B61" s="939" t="s">
        <v>95</v>
      </c>
      <c r="C61" s="857" t="s">
        <v>97</v>
      </c>
      <c r="D61" s="2">
        <v>0</v>
      </c>
      <c r="E61" s="863"/>
      <c r="F61" s="2"/>
      <c r="G61" s="83" t="str">
        <f t="shared" si="23"/>
        <v>0.00%</v>
      </c>
      <c r="H61" s="2">
        <f t="shared" si="24"/>
        <v>0</v>
      </c>
      <c r="I61" s="854" t="str">
        <f>TEXT('MYP Assumptions'!E75,"0.00%")&amp;", CPI"</f>
        <v>3.42%, CPI</v>
      </c>
      <c r="J61" s="66"/>
      <c r="K61" s="83" t="str">
        <f t="shared" si="25"/>
        <v>0.00%</v>
      </c>
      <c r="L61" s="2">
        <f t="shared" si="30"/>
        <v>0</v>
      </c>
      <c r="M61" s="854" t="str">
        <f>TEXT('MYP Assumptions'!F75,"0.00%")&amp;", CPI"</f>
        <v>3.35%, CPI</v>
      </c>
      <c r="O61" s="83" t="str">
        <f t="shared" si="26"/>
        <v>0.00%</v>
      </c>
      <c r="P61" s="2">
        <f t="shared" si="31"/>
        <v>0</v>
      </c>
      <c r="Q61" s="854" t="str">
        <f>TEXT('MYP Assumptions'!G75,"0.00%")&amp;", CPI"</f>
        <v>3.02%, CPI</v>
      </c>
      <c r="S61" s="83" t="str">
        <f t="shared" si="27"/>
        <v>0.00%</v>
      </c>
      <c r="T61" s="2">
        <f t="shared" si="32"/>
        <v>0</v>
      </c>
      <c r="U61" s="81" t="str">
        <f>TEXT('MYP Assumptions'!H75,"0.00%")&amp;", CPI"</f>
        <v>2.73%, CPI</v>
      </c>
      <c r="W61" s="83" t="str">
        <f t="shared" si="28"/>
        <v>0.00%</v>
      </c>
      <c r="X61" s="2">
        <f t="shared" si="33"/>
        <v>0</v>
      </c>
      <c r="Y61" s="81" t="str">
        <f>TEXT('MYP Assumptions'!I75,"0.00%")&amp;", CPI"</f>
        <v>2.73%, CPI</v>
      </c>
      <c r="AA61" s="83" t="str">
        <f t="shared" si="29"/>
        <v>0.00%</v>
      </c>
      <c r="AB61" s="2">
        <f t="shared" si="34"/>
        <v>0</v>
      </c>
      <c r="AC61" s="81" t="str">
        <f>TEXT('MYP Assumptions'!J75,"0.00%")&amp;", CPI"</f>
        <v>2.73%, CPI</v>
      </c>
    </row>
    <row r="62" spans="1:29" x14ac:dyDescent="0.25">
      <c r="A62" s="66"/>
      <c r="B62" s="939" t="s">
        <v>22</v>
      </c>
      <c r="C62" s="857" t="s">
        <v>21</v>
      </c>
      <c r="D62" s="2">
        <v>674.79</v>
      </c>
      <c r="E62" s="863"/>
      <c r="F62" s="2"/>
      <c r="G62" s="83">
        <f t="shared" si="23"/>
        <v>13.933534877517449</v>
      </c>
      <c r="H62" s="2">
        <v>10077</v>
      </c>
      <c r="I62" s="854"/>
      <c r="J62" s="66"/>
      <c r="K62" s="83">
        <f t="shared" si="25"/>
        <v>-4.9617941847772157E-2</v>
      </c>
      <c r="L62" s="2">
        <v>9577</v>
      </c>
      <c r="M62" s="854"/>
      <c r="O62" s="83">
        <f t="shared" si="26"/>
        <v>-5.2208415996658659E-2</v>
      </c>
      <c r="P62" s="2">
        <v>9077</v>
      </c>
      <c r="Q62" s="854"/>
      <c r="S62" s="83">
        <f t="shared" si="27"/>
        <v>2.7321802357607138E-2</v>
      </c>
      <c r="T62" s="2">
        <f t="shared" si="32"/>
        <v>9325</v>
      </c>
      <c r="U62" s="81" t="str">
        <f>TEXT('MYP Assumptions'!H75,"0.00%")&amp;", CPI"</f>
        <v>2.73%, CPI</v>
      </c>
      <c r="W62" s="83">
        <f t="shared" si="28"/>
        <v>2.7345844504021447E-2</v>
      </c>
      <c r="X62" s="2">
        <f t="shared" si="33"/>
        <v>9580</v>
      </c>
      <c r="Y62" s="81" t="str">
        <f>TEXT('MYP Assumptions'!I75,"0.00%")&amp;", CPI"</f>
        <v>2.73%, CPI</v>
      </c>
      <c r="AA62" s="83">
        <f t="shared" si="29"/>
        <v>2.7348643006263048E-2</v>
      </c>
      <c r="AB62" s="2">
        <f t="shared" si="34"/>
        <v>9842</v>
      </c>
      <c r="AC62" s="81" t="str">
        <f>TEXT('MYP Assumptions'!J75,"0.00%")&amp;", CPI"</f>
        <v>2.73%, CPI</v>
      </c>
    </row>
    <row r="63" spans="1:29" hidden="1" x14ac:dyDescent="0.25">
      <c r="A63" s="66"/>
      <c r="B63" s="939" t="s">
        <v>20</v>
      </c>
      <c r="C63" s="857" t="s">
        <v>19</v>
      </c>
      <c r="D63" s="2">
        <v>0</v>
      </c>
      <c r="E63" s="863"/>
      <c r="F63" s="2"/>
      <c r="G63" s="83" t="str">
        <f t="shared" si="23"/>
        <v>0.00%</v>
      </c>
      <c r="H63" s="2">
        <f t="shared" si="24"/>
        <v>0</v>
      </c>
      <c r="I63" s="854" t="str">
        <f>TEXT('MYP Assumptions'!E75,"0.00%")&amp;", CPI"</f>
        <v>3.42%, CPI</v>
      </c>
      <c r="J63" s="66"/>
      <c r="K63" s="83" t="str">
        <f t="shared" si="25"/>
        <v>0.00%</v>
      </c>
      <c r="L63" s="2">
        <f t="shared" si="30"/>
        <v>0</v>
      </c>
      <c r="M63" s="854" t="str">
        <f>TEXT('MYP Assumptions'!F75,"0.00%")&amp;", CPI"</f>
        <v>3.35%, CPI</v>
      </c>
      <c r="O63" s="83" t="str">
        <f t="shared" si="26"/>
        <v>0.00%</v>
      </c>
      <c r="P63" s="2">
        <f t="shared" si="31"/>
        <v>0</v>
      </c>
      <c r="Q63" s="854" t="str">
        <f>TEXT('MYP Assumptions'!G75,"0.00%")&amp;", CPI"</f>
        <v>3.02%, CPI</v>
      </c>
      <c r="S63" s="83" t="str">
        <f t="shared" si="27"/>
        <v>0.00%</v>
      </c>
      <c r="T63" s="2">
        <f t="shared" si="32"/>
        <v>0</v>
      </c>
      <c r="U63" s="81" t="str">
        <f>TEXT('MYP Assumptions'!H75,"0.00%")&amp;", CPI"</f>
        <v>2.73%, CPI</v>
      </c>
      <c r="W63" s="83" t="str">
        <f t="shared" si="28"/>
        <v>0.00%</v>
      </c>
      <c r="X63" s="2">
        <f t="shared" si="33"/>
        <v>0</v>
      </c>
      <c r="Y63" s="81" t="str">
        <f>TEXT('MYP Assumptions'!I75,"0.00%")&amp;", CPI"</f>
        <v>2.73%, CPI</v>
      </c>
      <c r="AA63" s="83" t="str">
        <f t="shared" si="29"/>
        <v>0.00%</v>
      </c>
      <c r="AB63" s="2">
        <f t="shared" si="34"/>
        <v>0</v>
      </c>
      <c r="AC63" s="81" t="str">
        <f>TEXT('MYP Assumptions'!J75,"0.00%")&amp;", CPI"</f>
        <v>2.73%, CPI</v>
      </c>
    </row>
    <row r="64" spans="1:29" hidden="1" x14ac:dyDescent="0.25">
      <c r="A64" s="66"/>
      <c r="B64" s="939" t="s">
        <v>18</v>
      </c>
      <c r="C64" s="857" t="s">
        <v>17</v>
      </c>
      <c r="D64" s="2">
        <v>0</v>
      </c>
      <c r="E64" s="863"/>
      <c r="F64" s="2"/>
      <c r="G64" s="83" t="str">
        <f t="shared" si="23"/>
        <v>0.00%</v>
      </c>
      <c r="H64" s="2">
        <f t="shared" si="24"/>
        <v>0</v>
      </c>
      <c r="I64" s="854" t="str">
        <f>TEXT('MYP Assumptions'!E75,"0.00%")&amp;", CPI"</f>
        <v>3.42%, CPI</v>
      </c>
      <c r="J64" s="66"/>
      <c r="K64" s="83" t="str">
        <f t="shared" si="25"/>
        <v>0.00%</v>
      </c>
      <c r="L64" s="2">
        <f t="shared" si="30"/>
        <v>0</v>
      </c>
      <c r="M64" s="854" t="str">
        <f>TEXT('MYP Assumptions'!F75,"0.00%")&amp;", CPI"</f>
        <v>3.35%, CPI</v>
      </c>
      <c r="O64" s="83" t="str">
        <f t="shared" si="26"/>
        <v>0.00%</v>
      </c>
      <c r="P64" s="2">
        <f t="shared" si="31"/>
        <v>0</v>
      </c>
      <c r="Q64" s="854" t="str">
        <f>TEXT('MYP Assumptions'!G75,"0.00%")&amp;", CPI"</f>
        <v>3.02%, CPI</v>
      </c>
      <c r="S64" s="83" t="str">
        <f t="shared" si="27"/>
        <v>0.00%</v>
      </c>
      <c r="T64" s="2">
        <f t="shared" si="32"/>
        <v>0</v>
      </c>
      <c r="U64" s="81" t="str">
        <f>TEXT('MYP Assumptions'!H75,"0.00%")&amp;", CPI"</f>
        <v>2.73%, CPI</v>
      </c>
      <c r="W64" s="83" t="str">
        <f t="shared" si="28"/>
        <v>0.00%</v>
      </c>
      <c r="X64" s="2">
        <f t="shared" si="33"/>
        <v>0</v>
      </c>
      <c r="Y64" s="81" t="str">
        <f>TEXT('MYP Assumptions'!I75,"0.00%")&amp;", CPI"</f>
        <v>2.73%, CPI</v>
      </c>
      <c r="AA64" s="83" t="str">
        <f t="shared" si="29"/>
        <v>0.00%</v>
      </c>
      <c r="AB64" s="2">
        <f t="shared" si="34"/>
        <v>0</v>
      </c>
      <c r="AC64" s="81" t="str">
        <f>TEXT('MYP Assumptions'!J75,"0.00%")&amp;", CPI"</f>
        <v>2.73%, CPI</v>
      </c>
    </row>
    <row r="65" spans="1:29" hidden="1" x14ac:dyDescent="0.25">
      <c r="A65" s="66"/>
      <c r="B65" s="939">
        <v>4000</v>
      </c>
      <c r="C65" s="941">
        <v>0</v>
      </c>
      <c r="D65" s="2">
        <v>0</v>
      </c>
      <c r="E65" s="863"/>
      <c r="F65" s="2"/>
      <c r="G65" s="83" t="str">
        <f t="shared" si="23"/>
        <v>0.00%</v>
      </c>
      <c r="H65" s="2">
        <f t="shared" si="24"/>
        <v>0</v>
      </c>
      <c r="I65" s="854" t="str">
        <f>TEXT('MYP Assumptions'!E75,"0.00%")&amp;", CPI"</f>
        <v>3.42%, CPI</v>
      </c>
      <c r="J65" s="66"/>
      <c r="K65" s="83" t="str">
        <f t="shared" si="25"/>
        <v>0.00%</v>
      </c>
      <c r="L65" s="2">
        <f t="shared" si="30"/>
        <v>0</v>
      </c>
      <c r="M65" s="854" t="str">
        <f>TEXT('MYP Assumptions'!F75,"0.00%")&amp;", CPI"</f>
        <v>3.35%, CPI</v>
      </c>
      <c r="O65" s="83" t="str">
        <f t="shared" si="26"/>
        <v>0.00%</v>
      </c>
      <c r="P65" s="2">
        <f t="shared" si="31"/>
        <v>0</v>
      </c>
      <c r="Q65" s="854" t="str">
        <f>TEXT('MYP Assumptions'!G75,"0.00%")&amp;", CPI"</f>
        <v>3.02%, CPI</v>
      </c>
      <c r="S65" s="83" t="str">
        <f t="shared" si="27"/>
        <v>0.00%</v>
      </c>
      <c r="T65" s="2">
        <f t="shared" si="32"/>
        <v>0</v>
      </c>
      <c r="U65" s="81" t="str">
        <f>TEXT('MYP Assumptions'!H75,"0.00%")&amp;", CPI"</f>
        <v>2.73%, CPI</v>
      </c>
      <c r="W65" s="83" t="str">
        <f t="shared" si="28"/>
        <v>0.00%</v>
      </c>
      <c r="X65" s="2">
        <f t="shared" si="33"/>
        <v>0</v>
      </c>
      <c r="Y65" s="81" t="str">
        <f>TEXT('MYP Assumptions'!I75,"0.00%")&amp;", CPI"</f>
        <v>2.73%, CPI</v>
      </c>
      <c r="AA65" s="83" t="str">
        <f t="shared" si="29"/>
        <v>0.00%</v>
      </c>
      <c r="AB65" s="2">
        <f t="shared" si="34"/>
        <v>0</v>
      </c>
      <c r="AC65" s="81" t="str">
        <f>TEXT('MYP Assumptions'!J75,"0.00%")&amp;", CPI"</f>
        <v>2.73%, CPI</v>
      </c>
    </row>
    <row r="66" spans="1:29" x14ac:dyDescent="0.25">
      <c r="A66" s="29"/>
      <c r="B66" s="857"/>
      <c r="D66" s="8">
        <f>SUM(D59:D65)</f>
        <v>674.79</v>
      </c>
      <c r="E66" s="863"/>
      <c r="F66" s="2"/>
      <c r="G66" s="83">
        <f t="shared" si="23"/>
        <v>13.933534877517449</v>
      </c>
      <c r="H66" s="8">
        <f>SUM(H59:H65)</f>
        <v>10077</v>
      </c>
      <c r="I66" s="1292">
        <f>+H66-D66</f>
        <v>9402.2099999999991</v>
      </c>
      <c r="J66" s="29"/>
      <c r="K66" s="83">
        <f t="shared" si="25"/>
        <v>-4.9617941847772157E-2</v>
      </c>
      <c r="L66" s="8">
        <f>SUM(L59:L65)</f>
        <v>9577</v>
      </c>
      <c r="M66" s="1292">
        <f>+L66-H66</f>
        <v>-500</v>
      </c>
      <c r="O66" s="83">
        <f t="shared" si="26"/>
        <v>-5.2208415996658659E-2</v>
      </c>
      <c r="P66" s="8">
        <f>SUM(P59:P65)</f>
        <v>9077</v>
      </c>
      <c r="Q66" s="1292">
        <f>+P66-L66</f>
        <v>-500</v>
      </c>
      <c r="S66" s="83">
        <f t="shared" si="27"/>
        <v>2.7321802357607138E-2</v>
      </c>
      <c r="T66" s="8">
        <f>SUM(T59:T65)</f>
        <v>9325</v>
      </c>
      <c r="U66" s="73"/>
      <c r="W66" s="83">
        <f t="shared" si="28"/>
        <v>2.7345844504021447E-2</v>
      </c>
      <c r="X66" s="8">
        <f>SUM(X59:X65)</f>
        <v>9580</v>
      </c>
      <c r="Y66" s="73"/>
      <c r="AA66" s="83">
        <f t="shared" si="29"/>
        <v>2.7348643006263048E-2</v>
      </c>
      <c r="AB66" s="8">
        <f>SUM(AB59:AB65)</f>
        <v>9842</v>
      </c>
      <c r="AC66" s="73"/>
    </row>
    <row r="67" spans="1:29" x14ac:dyDescent="0.25">
      <c r="A67" s="66"/>
      <c r="E67" s="863"/>
      <c r="F67" s="2"/>
      <c r="H67" s="2"/>
      <c r="I67" s="871"/>
      <c r="J67" s="66"/>
      <c r="L67" s="2"/>
      <c r="M67" s="948"/>
      <c r="Q67" s="948"/>
      <c r="T67" s="2"/>
      <c r="U67" s="73"/>
      <c r="X67" s="2"/>
      <c r="Y67" s="73"/>
      <c r="AB67" s="2"/>
      <c r="AC67" s="73"/>
    </row>
    <row r="68" spans="1:29" s="4" customFormat="1" x14ac:dyDescent="0.25">
      <c r="A68" s="58"/>
      <c r="B68" s="936" t="s">
        <v>16</v>
      </c>
      <c r="C68" s="873"/>
      <c r="D68" s="6"/>
      <c r="E68" s="864"/>
      <c r="F68" s="6"/>
      <c r="G68" s="373"/>
      <c r="H68" s="6"/>
      <c r="I68" s="873"/>
      <c r="J68" s="58"/>
      <c r="K68" s="380"/>
      <c r="L68" s="6"/>
      <c r="M68" s="950"/>
      <c r="O68" s="380"/>
      <c r="P68" s="6"/>
      <c r="Q68" s="950"/>
      <c r="R68" s="111"/>
      <c r="U68" s="71"/>
      <c r="Y68" s="71"/>
      <c r="AC68" s="71"/>
    </row>
    <row r="69" spans="1:29" hidden="1" x14ac:dyDescent="0.25">
      <c r="A69" s="66"/>
      <c r="B69" s="939" t="s">
        <v>15</v>
      </c>
      <c r="C69" s="857" t="s">
        <v>14</v>
      </c>
      <c r="D69" s="2">
        <v>0</v>
      </c>
      <c r="E69" s="863"/>
      <c r="F69" s="2"/>
      <c r="G69" s="83" t="str">
        <f t="shared" ref="G69:G74" si="35">IF(D69=0,"0.00%",(H69-D69)/D69)</f>
        <v>0.00%</v>
      </c>
      <c r="H69" s="2">
        <f>ROUND(D69*(LEFT(I69,5)+1),0)</f>
        <v>0</v>
      </c>
      <c r="I69" s="854" t="str">
        <f>TEXT('MYP Assumptions'!E75,"0.00%")&amp;", CPI"</f>
        <v>3.42%, CPI</v>
      </c>
      <c r="J69" s="66"/>
      <c r="K69" s="83" t="str">
        <f t="shared" ref="K69:K82" si="36">IF(H69=0,"0.00%",(L69-H69)/H69)</f>
        <v>0.00%</v>
      </c>
      <c r="L69" s="2">
        <f>ROUND(H69*(LEFT(M69,5)+1),0)</f>
        <v>0</v>
      </c>
      <c r="M69" s="854" t="str">
        <f>TEXT('MYP Assumptions'!F75,"0.00%")&amp;", CPI"</f>
        <v>3.35%, CPI</v>
      </c>
      <c r="O69" s="83" t="str">
        <f t="shared" ref="O69:O82" si="37">IF(L69=0,"0.00%",(P69-L69)/L69)</f>
        <v>0.00%</v>
      </c>
      <c r="P69" s="2">
        <f>ROUND(L69*(LEFT(Q69,5)+1),0)</f>
        <v>0</v>
      </c>
      <c r="Q69" s="854" t="str">
        <f>TEXT('MYP Assumptions'!G75,"0.00%")&amp;", CPI"</f>
        <v>3.02%, CPI</v>
      </c>
      <c r="S69" s="83" t="str">
        <f t="shared" ref="S69:S82" si="38">IF(P69=0,"0.00%",(T69-P69)/P69)</f>
        <v>0.00%</v>
      </c>
      <c r="T69" s="2">
        <f>ROUND(P69*(LEFT(U69,5)+1),0)</f>
        <v>0</v>
      </c>
      <c r="U69" s="81" t="str">
        <f>TEXT('MYP Assumptions'!H75,"0.00%")&amp;", CPI"</f>
        <v>2.73%, CPI</v>
      </c>
      <c r="W69" s="83" t="str">
        <f t="shared" ref="W69:W82" si="39">IF(T69=0,"0.00%",(X69-T69)/T69)</f>
        <v>0.00%</v>
      </c>
      <c r="X69" s="2">
        <f>ROUND(T69*(LEFT(Y69,5)+1),0)</f>
        <v>0</v>
      </c>
      <c r="Y69" s="81" t="str">
        <f>TEXT('MYP Assumptions'!I75,"0.00%")&amp;", CPI"</f>
        <v>2.73%, CPI</v>
      </c>
      <c r="AA69" s="83" t="str">
        <f t="shared" ref="AA69:AA82" si="40">IF(X69=0,"0.00%",(AB69-X69)/X69)</f>
        <v>0.00%</v>
      </c>
      <c r="AB69" s="2">
        <f>ROUND(X69*(LEFT(AC69,5)+1),0)</f>
        <v>0</v>
      </c>
      <c r="AC69" s="81" t="str">
        <f>TEXT('MYP Assumptions'!J75,"0.00%")&amp;", CPI"</f>
        <v>2.73%, CPI</v>
      </c>
    </row>
    <row r="70" spans="1:29" hidden="1" x14ac:dyDescent="0.25">
      <c r="A70" s="66"/>
      <c r="B70" s="939" t="s">
        <v>13</v>
      </c>
      <c r="C70" s="857" t="s">
        <v>12</v>
      </c>
      <c r="D70" s="2">
        <v>0</v>
      </c>
      <c r="E70" s="863"/>
      <c r="F70" s="2"/>
      <c r="G70" s="83" t="str">
        <f t="shared" si="35"/>
        <v>0.00%</v>
      </c>
      <c r="H70" s="2">
        <f>ROUND(D70*(LEFT(I70,5)+1),0)</f>
        <v>0</v>
      </c>
      <c r="I70" s="854" t="str">
        <f>TEXT('MYP Assumptions'!E75,"0.00%")&amp;", CPI"</f>
        <v>3.42%, CPI</v>
      </c>
      <c r="J70" s="66"/>
      <c r="K70" s="83" t="str">
        <f t="shared" si="36"/>
        <v>0.00%</v>
      </c>
      <c r="L70" s="2">
        <f t="shared" ref="L70:L81" si="41">ROUND(H70*(LEFT(M70,5)+1),0)</f>
        <v>0</v>
      </c>
      <c r="M70" s="854" t="str">
        <f>TEXT('MYP Assumptions'!F75,"0.00%")&amp;", CPI"</f>
        <v>3.35%, CPI</v>
      </c>
      <c r="O70" s="83" t="str">
        <f t="shared" si="37"/>
        <v>0.00%</v>
      </c>
      <c r="P70" s="2">
        <f t="shared" ref="P70:P81" si="42">ROUND(L70*(LEFT(Q70,5)+1),0)</f>
        <v>0</v>
      </c>
      <c r="Q70" s="854" t="str">
        <f>TEXT('MYP Assumptions'!G75,"0.00%")&amp;", CPI"</f>
        <v>3.02%, CPI</v>
      </c>
      <c r="S70" s="83" t="str">
        <f t="shared" si="38"/>
        <v>0.00%</v>
      </c>
      <c r="T70" s="2">
        <f t="shared" ref="T70:T81" si="43">ROUND(P70*(LEFT(U70,5)+1),0)</f>
        <v>0</v>
      </c>
      <c r="U70" s="81" t="str">
        <f>TEXT('MYP Assumptions'!H75,"0.00%")&amp;", CPI"</f>
        <v>2.73%, CPI</v>
      </c>
      <c r="W70" s="83" t="str">
        <f t="shared" si="39"/>
        <v>0.00%</v>
      </c>
      <c r="X70" s="2">
        <f t="shared" ref="X70:X81" si="44">ROUND(T70*(LEFT(Y70,5)+1),0)</f>
        <v>0</v>
      </c>
      <c r="Y70" s="81" t="str">
        <f>TEXT('MYP Assumptions'!I75,"0.00%")&amp;", CPI"</f>
        <v>2.73%, CPI</v>
      </c>
      <c r="AA70" s="83" t="str">
        <f t="shared" si="40"/>
        <v>0.00%</v>
      </c>
      <c r="AB70" s="2">
        <f t="shared" ref="AB70:AB81" si="45">ROUND(X70*(LEFT(AC70,5)+1),0)</f>
        <v>0</v>
      </c>
      <c r="AC70" s="81" t="str">
        <f>TEXT('MYP Assumptions'!J75,"0.00%")&amp;", CPI"</f>
        <v>2.73%, CPI</v>
      </c>
    </row>
    <row r="71" spans="1:29" hidden="1" x14ac:dyDescent="0.25">
      <c r="A71" s="66"/>
      <c r="B71" s="939" t="s">
        <v>128</v>
      </c>
      <c r="C71" s="857" t="s">
        <v>129</v>
      </c>
      <c r="D71" s="2">
        <v>0</v>
      </c>
      <c r="E71" s="863"/>
      <c r="F71" s="2"/>
      <c r="G71" s="83" t="str">
        <f t="shared" si="35"/>
        <v>0.00%</v>
      </c>
      <c r="H71" s="2">
        <f t="shared" ref="H71:H76" si="46">ROUND(D71*(LEFT(I71,5)+1),0)</f>
        <v>0</v>
      </c>
      <c r="I71" s="854" t="str">
        <f>TEXT('MYP Assumptions'!E75,"0.00%")&amp;", CPI"</f>
        <v>3.42%, CPI</v>
      </c>
      <c r="J71" s="66"/>
      <c r="K71" s="83" t="str">
        <f t="shared" si="36"/>
        <v>0.00%</v>
      </c>
      <c r="L71" s="2">
        <f t="shared" si="41"/>
        <v>0</v>
      </c>
      <c r="M71" s="854" t="str">
        <f>TEXT('MYP Assumptions'!F75,"0.00%")&amp;", CPI"</f>
        <v>3.35%, CPI</v>
      </c>
      <c r="O71" s="83" t="str">
        <f t="shared" si="37"/>
        <v>0.00%</v>
      </c>
      <c r="P71" s="2">
        <f t="shared" si="42"/>
        <v>0</v>
      </c>
      <c r="Q71" s="854" t="str">
        <f>TEXT('MYP Assumptions'!G75,"0.00%")&amp;", CPI"</f>
        <v>3.02%, CPI</v>
      </c>
      <c r="S71" s="83" t="str">
        <f t="shared" si="38"/>
        <v>0.00%</v>
      </c>
      <c r="T71" s="2">
        <f t="shared" si="43"/>
        <v>0</v>
      </c>
      <c r="U71" s="81" t="str">
        <f>TEXT('MYP Assumptions'!H75,"0.00%")&amp;", CPI"</f>
        <v>2.73%, CPI</v>
      </c>
      <c r="W71" s="83" t="str">
        <f t="shared" si="39"/>
        <v>0.00%</v>
      </c>
      <c r="X71" s="2">
        <f t="shared" si="44"/>
        <v>0</v>
      </c>
      <c r="Y71" s="81" t="str">
        <f>TEXT('MYP Assumptions'!I75,"0.00%")&amp;", CPI"</f>
        <v>2.73%, CPI</v>
      </c>
      <c r="AA71" s="83" t="str">
        <f t="shared" si="40"/>
        <v>0.00%</v>
      </c>
      <c r="AB71" s="2">
        <f t="shared" si="45"/>
        <v>0</v>
      </c>
      <c r="AC71" s="81" t="str">
        <f>TEXT('MYP Assumptions'!J75,"0.00%")&amp;", CPI"</f>
        <v>2.73%, CPI</v>
      </c>
    </row>
    <row r="72" spans="1:29" hidden="1" x14ac:dyDescent="0.25">
      <c r="A72" s="66"/>
      <c r="B72" s="939" t="s">
        <v>11</v>
      </c>
      <c r="C72" s="857" t="s">
        <v>10</v>
      </c>
      <c r="D72" s="2">
        <v>0</v>
      </c>
      <c r="E72" s="863"/>
      <c r="F72" s="2"/>
      <c r="G72" s="83" t="str">
        <f t="shared" si="35"/>
        <v>0.00%</v>
      </c>
      <c r="H72" s="2">
        <f t="shared" si="46"/>
        <v>0</v>
      </c>
      <c r="I72" s="854" t="str">
        <f>TEXT('MYP Assumptions'!E75,"0.00%")&amp;", CPI"</f>
        <v>3.42%, CPI</v>
      </c>
      <c r="J72" s="66"/>
      <c r="K72" s="83" t="str">
        <f t="shared" si="36"/>
        <v>0.00%</v>
      </c>
      <c r="L72" s="2">
        <f t="shared" si="41"/>
        <v>0</v>
      </c>
      <c r="M72" s="854" t="str">
        <f>TEXT('MYP Assumptions'!F75,"0.00%")&amp;", CPI"</f>
        <v>3.35%, CPI</v>
      </c>
      <c r="O72" s="83" t="str">
        <f t="shared" si="37"/>
        <v>0.00%</v>
      </c>
      <c r="P72" s="2">
        <f t="shared" si="42"/>
        <v>0</v>
      </c>
      <c r="Q72" s="854" t="str">
        <f>TEXT('MYP Assumptions'!G75,"0.00%")&amp;", CPI"</f>
        <v>3.02%, CPI</v>
      </c>
      <c r="S72" s="83" t="str">
        <f t="shared" si="38"/>
        <v>0.00%</v>
      </c>
      <c r="T72" s="2">
        <f t="shared" si="43"/>
        <v>0</v>
      </c>
      <c r="U72" s="81" t="str">
        <f>TEXT('MYP Assumptions'!H75,"0.00%")&amp;", CPI"</f>
        <v>2.73%, CPI</v>
      </c>
      <c r="W72" s="83" t="str">
        <f t="shared" si="39"/>
        <v>0.00%</v>
      </c>
      <c r="X72" s="2">
        <f t="shared" si="44"/>
        <v>0</v>
      </c>
      <c r="Y72" s="81" t="str">
        <f>TEXT('MYP Assumptions'!I75,"0.00%")&amp;", CPI"</f>
        <v>2.73%, CPI</v>
      </c>
      <c r="AA72" s="83" t="str">
        <f t="shared" si="40"/>
        <v>0.00%</v>
      </c>
      <c r="AB72" s="2">
        <f t="shared" si="45"/>
        <v>0</v>
      </c>
      <c r="AC72" s="81" t="str">
        <f>TEXT('MYP Assumptions'!J75,"0.00%")&amp;", CPI"</f>
        <v>2.73%, CPI</v>
      </c>
    </row>
    <row r="73" spans="1:29" hidden="1" x14ac:dyDescent="0.25">
      <c r="A73" s="66"/>
      <c r="B73" s="939" t="s">
        <v>120</v>
      </c>
      <c r="C73" s="857" t="s">
        <v>121</v>
      </c>
      <c r="D73" s="2">
        <v>0</v>
      </c>
      <c r="E73" s="863"/>
      <c r="F73" s="2"/>
      <c r="G73" s="83" t="str">
        <f t="shared" si="35"/>
        <v>0.00%</v>
      </c>
      <c r="H73" s="2">
        <f t="shared" si="46"/>
        <v>0</v>
      </c>
      <c r="I73" s="854" t="str">
        <f>TEXT('MYP Assumptions'!E75,"0.00%")&amp;", CPI"</f>
        <v>3.42%, CPI</v>
      </c>
      <c r="J73" s="66"/>
      <c r="K73" s="83" t="str">
        <f t="shared" si="36"/>
        <v>0.00%</v>
      </c>
      <c r="L73" s="2">
        <f t="shared" si="41"/>
        <v>0</v>
      </c>
      <c r="M73" s="854" t="str">
        <f>TEXT('MYP Assumptions'!F75,"0.00%")&amp;", CPI"</f>
        <v>3.35%, CPI</v>
      </c>
      <c r="O73" s="83" t="str">
        <f t="shared" si="37"/>
        <v>0.00%</v>
      </c>
      <c r="P73" s="2">
        <f t="shared" si="42"/>
        <v>0</v>
      </c>
      <c r="Q73" s="854" t="str">
        <f>TEXT('MYP Assumptions'!G75,"0.00%")&amp;", CPI"</f>
        <v>3.02%, CPI</v>
      </c>
      <c r="S73" s="83" t="str">
        <f t="shared" si="38"/>
        <v>0.00%</v>
      </c>
      <c r="T73" s="2">
        <f t="shared" si="43"/>
        <v>0</v>
      </c>
      <c r="U73" s="81" t="str">
        <f>TEXT('MYP Assumptions'!H75,"0.00%")&amp;", CPI"</f>
        <v>2.73%, CPI</v>
      </c>
      <c r="W73" s="83" t="str">
        <f t="shared" si="39"/>
        <v>0.00%</v>
      </c>
      <c r="X73" s="2">
        <f t="shared" si="44"/>
        <v>0</v>
      </c>
      <c r="Y73" s="81" t="str">
        <f>TEXT('MYP Assumptions'!I75,"0.00%")&amp;", CPI"</f>
        <v>2.73%, CPI</v>
      </c>
      <c r="AA73" s="83" t="str">
        <f t="shared" si="40"/>
        <v>0.00%</v>
      </c>
      <c r="AB73" s="2">
        <f t="shared" si="45"/>
        <v>0</v>
      </c>
      <c r="AC73" s="81" t="str">
        <f>TEXT('MYP Assumptions'!J75,"0.00%")&amp;", CPI"</f>
        <v>2.73%, CPI</v>
      </c>
    </row>
    <row r="74" spans="1:29" hidden="1" x14ac:dyDescent="0.25">
      <c r="A74" s="66"/>
      <c r="B74" s="939" t="s">
        <v>126</v>
      </c>
      <c r="C74" s="857" t="s">
        <v>127</v>
      </c>
      <c r="D74" s="2">
        <v>0</v>
      </c>
      <c r="E74" s="863"/>
      <c r="F74" s="2"/>
      <c r="G74" s="83" t="str">
        <f t="shared" si="35"/>
        <v>0.00%</v>
      </c>
      <c r="H74" s="2">
        <f t="shared" si="46"/>
        <v>0</v>
      </c>
      <c r="I74" s="854" t="str">
        <f>TEXT('MYP Assumptions'!E75,"0.00%")&amp;", CPI"</f>
        <v>3.42%, CPI</v>
      </c>
      <c r="J74" s="66"/>
      <c r="K74" s="83" t="str">
        <f t="shared" si="36"/>
        <v>0.00%</v>
      </c>
      <c r="L74" s="2">
        <f t="shared" si="41"/>
        <v>0</v>
      </c>
      <c r="M74" s="854" t="str">
        <f>TEXT('MYP Assumptions'!F75,"0.00%")&amp;", CPI"</f>
        <v>3.35%, CPI</v>
      </c>
      <c r="O74" s="83" t="str">
        <f t="shared" si="37"/>
        <v>0.00%</v>
      </c>
      <c r="P74" s="2">
        <f t="shared" si="42"/>
        <v>0</v>
      </c>
      <c r="Q74" s="854" t="str">
        <f>TEXT('MYP Assumptions'!G75,"0.00%")&amp;", CPI"</f>
        <v>3.02%, CPI</v>
      </c>
      <c r="S74" s="83" t="str">
        <f t="shared" si="38"/>
        <v>0.00%</v>
      </c>
      <c r="T74" s="2">
        <f t="shared" si="43"/>
        <v>0</v>
      </c>
      <c r="U74" s="81" t="str">
        <f>TEXT('MYP Assumptions'!H75,"0.00%")&amp;", CPI"</f>
        <v>2.73%, CPI</v>
      </c>
      <c r="W74" s="83" t="str">
        <f t="shared" si="39"/>
        <v>0.00%</v>
      </c>
      <c r="X74" s="2">
        <f t="shared" si="44"/>
        <v>0</v>
      </c>
      <c r="Y74" s="81" t="str">
        <f>TEXT('MYP Assumptions'!I75,"0.00%")&amp;", CPI"</f>
        <v>2.73%, CPI</v>
      </c>
      <c r="AA74" s="83" t="str">
        <f t="shared" si="40"/>
        <v>0.00%</v>
      </c>
      <c r="AB74" s="2">
        <f t="shared" si="45"/>
        <v>0</v>
      </c>
      <c r="AC74" s="81" t="str">
        <f>TEXT('MYP Assumptions'!J75,"0.00%")&amp;", CPI"</f>
        <v>2.73%, CPI</v>
      </c>
    </row>
    <row r="75" spans="1:29" hidden="1" x14ac:dyDescent="0.25">
      <c r="A75" s="66"/>
      <c r="B75" s="939" t="s">
        <v>9</v>
      </c>
      <c r="C75" s="857" t="s">
        <v>8</v>
      </c>
      <c r="D75" s="2">
        <v>0</v>
      </c>
      <c r="E75" s="863"/>
      <c r="F75" s="2"/>
      <c r="G75" s="83" t="str">
        <f>IF(D75=0,"0.00%",(H75-D75)/D75)</f>
        <v>0.00%</v>
      </c>
      <c r="H75" s="2">
        <f t="shared" si="46"/>
        <v>0</v>
      </c>
      <c r="I75" s="854" t="str">
        <f>TEXT('MYP Assumptions'!E75,"0.00%")&amp;", CPI"</f>
        <v>3.42%, CPI</v>
      </c>
      <c r="J75" s="66"/>
      <c r="K75" s="83" t="str">
        <f t="shared" si="36"/>
        <v>0.00%</v>
      </c>
      <c r="L75" s="2">
        <f t="shared" si="41"/>
        <v>0</v>
      </c>
      <c r="M75" s="854" t="str">
        <f>TEXT('MYP Assumptions'!F75,"0.00%")&amp;", CPI"</f>
        <v>3.35%, CPI</v>
      </c>
      <c r="O75" s="83" t="str">
        <f t="shared" si="37"/>
        <v>0.00%</v>
      </c>
      <c r="P75" s="2">
        <f t="shared" si="42"/>
        <v>0</v>
      </c>
      <c r="Q75" s="854" t="str">
        <f>TEXT('MYP Assumptions'!G75,"0.00%")&amp;", CPI"</f>
        <v>3.02%, CPI</v>
      </c>
      <c r="S75" s="83" t="str">
        <f t="shared" si="38"/>
        <v>0.00%</v>
      </c>
      <c r="T75" s="2">
        <f t="shared" si="43"/>
        <v>0</v>
      </c>
      <c r="U75" s="81" t="str">
        <f>TEXT('MYP Assumptions'!H75,"0.00%")&amp;", CPI"</f>
        <v>2.73%, CPI</v>
      </c>
      <c r="W75" s="83" t="str">
        <f t="shared" si="39"/>
        <v>0.00%</v>
      </c>
      <c r="X75" s="2">
        <f t="shared" si="44"/>
        <v>0</v>
      </c>
      <c r="Y75" s="81" t="str">
        <f>TEXT('MYP Assumptions'!I75,"0.00%")&amp;", CPI"</f>
        <v>2.73%, CPI</v>
      </c>
      <c r="AA75" s="83" t="str">
        <f t="shared" si="40"/>
        <v>0.00%</v>
      </c>
      <c r="AB75" s="2">
        <f t="shared" si="45"/>
        <v>0</v>
      </c>
      <c r="AC75" s="81" t="str">
        <f>TEXT('MYP Assumptions'!J75,"0.00%")&amp;", CPI"</f>
        <v>2.73%, CPI</v>
      </c>
    </row>
    <row r="76" spans="1:29" hidden="1" x14ac:dyDescent="0.25">
      <c r="A76" s="66"/>
      <c r="B76" s="939" t="s">
        <v>122</v>
      </c>
      <c r="C76" s="857" t="s">
        <v>123</v>
      </c>
      <c r="D76" s="2">
        <v>0</v>
      </c>
      <c r="E76" s="863"/>
      <c r="F76" s="2"/>
      <c r="G76" s="83" t="str">
        <f t="shared" ref="G76:G82" si="47">IF(D76=0,"0.00%",(H76-D76)/D76)</f>
        <v>0.00%</v>
      </c>
      <c r="H76" s="2">
        <f t="shared" si="46"/>
        <v>0</v>
      </c>
      <c r="I76" s="854" t="str">
        <f>TEXT('MYP Assumptions'!E75,"0.00%")&amp;", CPI"</f>
        <v>3.42%, CPI</v>
      </c>
      <c r="J76" s="66"/>
      <c r="K76" s="83" t="str">
        <f t="shared" si="36"/>
        <v>0.00%</v>
      </c>
      <c r="L76" s="2">
        <f t="shared" si="41"/>
        <v>0</v>
      </c>
      <c r="M76" s="854" t="str">
        <f>TEXT('MYP Assumptions'!F75,"0.00%")&amp;", CPI"</f>
        <v>3.35%, CPI</v>
      </c>
      <c r="O76" s="83" t="str">
        <f t="shared" si="37"/>
        <v>0.00%</v>
      </c>
      <c r="P76" s="2">
        <f t="shared" si="42"/>
        <v>0</v>
      </c>
      <c r="Q76" s="854" t="str">
        <f>TEXT('MYP Assumptions'!G75,"0.00%")&amp;", CPI"</f>
        <v>3.02%, CPI</v>
      </c>
      <c r="S76" s="83" t="str">
        <f t="shared" si="38"/>
        <v>0.00%</v>
      </c>
      <c r="T76" s="2">
        <f t="shared" si="43"/>
        <v>0</v>
      </c>
      <c r="U76" s="81" t="str">
        <f>TEXT('MYP Assumptions'!H75,"0.00%")&amp;", CPI"</f>
        <v>2.73%, CPI</v>
      </c>
      <c r="W76" s="83" t="str">
        <f t="shared" si="39"/>
        <v>0.00%</v>
      </c>
      <c r="X76" s="2">
        <f t="shared" si="44"/>
        <v>0</v>
      </c>
      <c r="Y76" s="81" t="str">
        <f>TEXT('MYP Assumptions'!I75,"0.00%")&amp;", CPI"</f>
        <v>2.73%, CPI</v>
      </c>
      <c r="AA76" s="83" t="str">
        <f t="shared" si="40"/>
        <v>0.00%</v>
      </c>
      <c r="AB76" s="2">
        <f t="shared" si="45"/>
        <v>0</v>
      </c>
      <c r="AC76" s="81" t="str">
        <f>TEXT('MYP Assumptions'!J75,"0.00%")&amp;", CPI"</f>
        <v>2.73%, CPI</v>
      </c>
    </row>
    <row r="77" spans="1:29" hidden="1" x14ac:dyDescent="0.25">
      <c r="A77" s="66"/>
      <c r="B77" s="939" t="s">
        <v>7</v>
      </c>
      <c r="C77" s="857" t="s">
        <v>6</v>
      </c>
      <c r="D77" s="2">
        <v>0</v>
      </c>
      <c r="E77" s="863"/>
      <c r="F77" s="2"/>
      <c r="G77" s="83" t="str">
        <f t="shared" si="47"/>
        <v>0.00%</v>
      </c>
      <c r="H77" s="2">
        <f>ROUND(D77*(LEFT(I77,5)+1),0)</f>
        <v>0</v>
      </c>
      <c r="I77" s="854" t="str">
        <f>TEXT('MYP Assumptions'!E75,"0.00%")&amp;", CPI"</f>
        <v>3.42%, CPI</v>
      </c>
      <c r="J77" s="66"/>
      <c r="K77" s="83" t="str">
        <f t="shared" si="36"/>
        <v>0.00%</v>
      </c>
      <c r="L77" s="2">
        <f t="shared" si="41"/>
        <v>0</v>
      </c>
      <c r="M77" s="854" t="str">
        <f>TEXT('MYP Assumptions'!F75,"0.00%")&amp;", CPI"</f>
        <v>3.35%, CPI</v>
      </c>
      <c r="O77" s="83" t="str">
        <f t="shared" si="37"/>
        <v>0.00%</v>
      </c>
      <c r="P77" s="2">
        <f t="shared" si="42"/>
        <v>0</v>
      </c>
      <c r="Q77" s="854" t="str">
        <f>TEXT('MYP Assumptions'!G75,"0.00%")&amp;", CPI"</f>
        <v>3.02%, CPI</v>
      </c>
      <c r="S77" s="83" t="str">
        <f t="shared" si="38"/>
        <v>0.00%</v>
      </c>
      <c r="T77" s="2">
        <f t="shared" si="43"/>
        <v>0</v>
      </c>
      <c r="U77" s="81" t="str">
        <f>TEXT('MYP Assumptions'!H75,"0.00%")&amp;", CPI"</f>
        <v>2.73%, CPI</v>
      </c>
      <c r="W77" s="83" t="str">
        <f t="shared" si="39"/>
        <v>0.00%</v>
      </c>
      <c r="X77" s="2">
        <f t="shared" si="44"/>
        <v>0</v>
      </c>
      <c r="Y77" s="81" t="str">
        <f>TEXT('MYP Assumptions'!I75,"0.00%")&amp;", CPI"</f>
        <v>2.73%, CPI</v>
      </c>
      <c r="AA77" s="83" t="str">
        <f t="shared" si="40"/>
        <v>0.00%</v>
      </c>
      <c r="AB77" s="2">
        <f t="shared" si="45"/>
        <v>0</v>
      </c>
      <c r="AC77" s="81" t="str">
        <f>TEXT('MYP Assumptions'!J75,"0.00%")&amp;", CPI"</f>
        <v>2.73%, CPI</v>
      </c>
    </row>
    <row r="78" spans="1:29" x14ac:dyDescent="0.25">
      <c r="A78" s="66"/>
      <c r="B78" s="939" t="s">
        <v>5</v>
      </c>
      <c r="C78" s="857" t="s">
        <v>4</v>
      </c>
      <c r="D78" s="2">
        <v>12590</v>
      </c>
      <c r="E78" s="863" t="s">
        <v>737</v>
      </c>
      <c r="F78" s="2"/>
      <c r="G78" s="83">
        <f t="shared" si="47"/>
        <v>-8.6576648133439238E-2</v>
      </c>
      <c r="H78" s="2">
        <v>11500</v>
      </c>
      <c r="I78" s="854"/>
      <c r="J78" s="66"/>
      <c r="K78" s="83">
        <f t="shared" si="36"/>
        <v>4.3478260869565216E-2</v>
      </c>
      <c r="L78" s="2">
        <v>12000</v>
      </c>
      <c r="M78" s="854"/>
      <c r="O78" s="83">
        <f t="shared" si="37"/>
        <v>4.1666666666666664E-2</v>
      </c>
      <c r="P78" s="2">
        <v>12500</v>
      </c>
      <c r="Q78" s="854"/>
      <c r="S78" s="83">
        <f t="shared" si="38"/>
        <v>2.7279999999999999E-2</v>
      </c>
      <c r="T78" s="2">
        <f t="shared" si="43"/>
        <v>12841</v>
      </c>
      <c r="U78" s="81" t="str">
        <f>TEXT('MYP Assumptions'!H75,"0.00%")&amp;", CPI"</f>
        <v>2.73%, CPI</v>
      </c>
      <c r="W78" s="83">
        <f t="shared" si="39"/>
        <v>2.7334319757028269E-2</v>
      </c>
      <c r="X78" s="2">
        <f t="shared" si="44"/>
        <v>13192</v>
      </c>
      <c r="Y78" s="81" t="str">
        <f>TEXT('MYP Assumptions'!I75,"0.00%")&amp;", CPI"</f>
        <v>2.73%, CPI</v>
      </c>
      <c r="AA78" s="83">
        <f t="shared" si="40"/>
        <v>2.7289266221952699E-2</v>
      </c>
      <c r="AB78" s="2">
        <f t="shared" si="45"/>
        <v>13552</v>
      </c>
      <c r="AC78" s="81" t="str">
        <f>TEXT('MYP Assumptions'!J75,"0.00%")&amp;", CPI"</f>
        <v>2.73%, CPI</v>
      </c>
    </row>
    <row r="79" spans="1:29" hidden="1" x14ac:dyDescent="0.25">
      <c r="A79" s="66"/>
      <c r="B79" s="939" t="s">
        <v>3</v>
      </c>
      <c r="C79" s="857" t="s">
        <v>2</v>
      </c>
      <c r="D79" s="2">
        <v>0</v>
      </c>
      <c r="E79" s="863"/>
      <c r="F79" s="2"/>
      <c r="G79" s="83" t="str">
        <f t="shared" si="47"/>
        <v>0.00%</v>
      </c>
      <c r="H79" s="2">
        <f>ROUND(D79*(LEFT(I79,5)+1),0)</f>
        <v>0</v>
      </c>
      <c r="I79" s="854" t="str">
        <f>TEXT('MYP Assumptions'!E75,"0.00%")&amp;", CPI"</f>
        <v>3.42%, CPI</v>
      </c>
      <c r="J79" s="66"/>
      <c r="K79" s="83" t="str">
        <f t="shared" si="36"/>
        <v>0.00%</v>
      </c>
      <c r="L79" s="2">
        <f t="shared" si="41"/>
        <v>0</v>
      </c>
      <c r="M79" s="854" t="str">
        <f>TEXT('MYP Assumptions'!F75,"0.00%")&amp;", CPI"</f>
        <v>3.35%, CPI</v>
      </c>
      <c r="O79" s="83" t="str">
        <f t="shared" si="37"/>
        <v>0.00%</v>
      </c>
      <c r="P79" s="2">
        <f t="shared" si="42"/>
        <v>0</v>
      </c>
      <c r="Q79" s="854" t="str">
        <f>TEXT('MYP Assumptions'!G75,"0.00%")&amp;", CPI"</f>
        <v>3.02%, CPI</v>
      </c>
      <c r="S79" s="83" t="str">
        <f t="shared" si="38"/>
        <v>0.00%</v>
      </c>
      <c r="T79" s="2">
        <f t="shared" si="43"/>
        <v>0</v>
      </c>
      <c r="U79" s="81" t="str">
        <f>TEXT('MYP Assumptions'!H75,"0.00%")&amp;", CPI"</f>
        <v>2.73%, CPI</v>
      </c>
      <c r="W79" s="83" t="str">
        <f t="shared" si="39"/>
        <v>0.00%</v>
      </c>
      <c r="X79" s="2">
        <f t="shared" si="44"/>
        <v>0</v>
      </c>
      <c r="Y79" s="81" t="str">
        <f>TEXT('MYP Assumptions'!I75,"0.00%")&amp;", CPI"</f>
        <v>2.73%, CPI</v>
      </c>
      <c r="AA79" s="83" t="str">
        <f t="shared" si="40"/>
        <v>0.00%</v>
      </c>
      <c r="AB79" s="2">
        <f t="shared" si="45"/>
        <v>0</v>
      </c>
      <c r="AC79" s="81" t="str">
        <f>TEXT('MYP Assumptions'!J75,"0.00%")&amp;", CPI"</f>
        <v>2.73%, CPI</v>
      </c>
    </row>
    <row r="80" spans="1:29" hidden="1" x14ac:dyDescent="0.25">
      <c r="A80" s="66"/>
      <c r="B80" s="939" t="s">
        <v>124</v>
      </c>
      <c r="C80" s="857" t="s">
        <v>125</v>
      </c>
      <c r="D80" s="2">
        <v>0</v>
      </c>
      <c r="E80" s="863"/>
      <c r="F80" s="2"/>
      <c r="G80" s="83" t="str">
        <f t="shared" si="47"/>
        <v>0.00%</v>
      </c>
      <c r="H80" s="2">
        <f>ROUND(D80*(LEFT(I80,5)+1),0)</f>
        <v>0</v>
      </c>
      <c r="I80" s="854" t="str">
        <f>TEXT('MYP Assumptions'!E75,"0.00%")&amp;", CPI"</f>
        <v>3.42%, CPI</v>
      </c>
      <c r="J80" s="66"/>
      <c r="K80" s="83" t="str">
        <f t="shared" si="36"/>
        <v>0.00%</v>
      </c>
      <c r="L80" s="2">
        <f t="shared" si="41"/>
        <v>0</v>
      </c>
      <c r="M80" s="854" t="str">
        <f>TEXT('MYP Assumptions'!F75,"0.00%")&amp;", CPI"</f>
        <v>3.35%, CPI</v>
      </c>
      <c r="O80" s="83" t="str">
        <f t="shared" si="37"/>
        <v>0.00%</v>
      </c>
      <c r="P80" s="2">
        <f t="shared" si="42"/>
        <v>0</v>
      </c>
      <c r="Q80" s="854" t="str">
        <f>TEXT('MYP Assumptions'!G75,"0.00%")&amp;", CPI"</f>
        <v>3.02%, CPI</v>
      </c>
      <c r="S80" s="83" t="str">
        <f t="shared" si="38"/>
        <v>0.00%</v>
      </c>
      <c r="T80" s="2">
        <f t="shared" si="43"/>
        <v>0</v>
      </c>
      <c r="U80" s="81" t="str">
        <f>TEXT('MYP Assumptions'!H75,"0.00%")&amp;", CPI"</f>
        <v>2.73%, CPI</v>
      </c>
      <c r="W80" s="83" t="str">
        <f t="shared" si="39"/>
        <v>0.00%</v>
      </c>
      <c r="X80" s="2">
        <f t="shared" si="44"/>
        <v>0</v>
      </c>
      <c r="Y80" s="81" t="str">
        <f>TEXT('MYP Assumptions'!I75,"0.00%")&amp;", CPI"</f>
        <v>2.73%, CPI</v>
      </c>
      <c r="AA80" s="83" t="str">
        <f t="shared" si="40"/>
        <v>0.00%</v>
      </c>
      <c r="AB80" s="2">
        <f t="shared" si="45"/>
        <v>0</v>
      </c>
      <c r="AC80" s="81" t="str">
        <f>TEXT('MYP Assumptions'!J75,"0.00%")&amp;", CPI"</f>
        <v>2.73%, CPI</v>
      </c>
    </row>
    <row r="81" spans="1:29" hidden="1" x14ac:dyDescent="0.25">
      <c r="A81" s="66"/>
      <c r="B81" s="939" t="s">
        <v>1</v>
      </c>
      <c r="D81" s="2">
        <f>'RS 3010-ALL'!AF80</f>
        <v>0</v>
      </c>
      <c r="E81" s="863"/>
      <c r="F81" s="2"/>
      <c r="G81" s="83" t="str">
        <f t="shared" si="47"/>
        <v>0.00%</v>
      </c>
      <c r="H81" s="2">
        <f>ROUND(D81*(LEFT(I81,5)+1),0)</f>
        <v>0</v>
      </c>
      <c r="I81" s="854" t="str">
        <f>TEXT('MYP Assumptions'!E75,"0.00%")&amp;", CPI"</f>
        <v>3.42%, CPI</v>
      </c>
      <c r="J81" s="66"/>
      <c r="K81" s="83" t="str">
        <f t="shared" si="36"/>
        <v>0.00%</v>
      </c>
      <c r="L81" s="2">
        <f t="shared" si="41"/>
        <v>0</v>
      </c>
      <c r="M81" s="854" t="str">
        <f>TEXT('MYP Assumptions'!F75,"0.00%")&amp;", CPI"</f>
        <v>3.35%, CPI</v>
      </c>
      <c r="O81" s="83" t="str">
        <f t="shared" si="37"/>
        <v>0.00%</v>
      </c>
      <c r="P81" s="2">
        <f t="shared" si="42"/>
        <v>0</v>
      </c>
      <c r="Q81" s="854" t="str">
        <f>TEXT('MYP Assumptions'!G75,"0.00%")&amp;", CPI"</f>
        <v>3.02%, CPI</v>
      </c>
      <c r="S81" s="83" t="str">
        <f t="shared" si="38"/>
        <v>0.00%</v>
      </c>
      <c r="T81" s="2">
        <f t="shared" si="43"/>
        <v>0</v>
      </c>
      <c r="U81" s="81" t="str">
        <f>TEXT('MYP Assumptions'!H75,"0.00%")&amp;", CPI"</f>
        <v>2.73%, CPI</v>
      </c>
      <c r="W81" s="83" t="str">
        <f t="shared" si="39"/>
        <v>0.00%</v>
      </c>
      <c r="X81" s="2">
        <f t="shared" si="44"/>
        <v>0</v>
      </c>
      <c r="Y81" s="81" t="str">
        <f>TEXT('MYP Assumptions'!I75,"0.00%")&amp;", CPI"</f>
        <v>2.73%, CPI</v>
      </c>
      <c r="AA81" s="83" t="str">
        <f t="shared" si="40"/>
        <v>0.00%</v>
      </c>
      <c r="AB81" s="2">
        <f t="shared" si="45"/>
        <v>0</v>
      </c>
      <c r="AC81" s="81" t="str">
        <f>TEXT('MYP Assumptions'!J75,"0.00%")&amp;", CPI"</f>
        <v>2.73%, CPI</v>
      </c>
    </row>
    <row r="82" spans="1:29" x14ac:dyDescent="0.25">
      <c r="A82" s="29"/>
      <c r="D82" s="8">
        <f>SUM(D69:D81)</f>
        <v>12590</v>
      </c>
      <c r="E82" s="863"/>
      <c r="F82" s="2"/>
      <c r="G82" s="83">
        <f t="shared" si="47"/>
        <v>-8.6576648133439238E-2</v>
      </c>
      <c r="H82" s="8">
        <f>SUM(H69:H81)</f>
        <v>11500</v>
      </c>
      <c r="I82" s="1292">
        <f>+H82-D82</f>
        <v>-1090</v>
      </c>
      <c r="J82" s="29"/>
      <c r="K82" s="83">
        <f t="shared" si="36"/>
        <v>4.3478260869565216E-2</v>
      </c>
      <c r="L82" s="8">
        <f>SUM(L69:L81)</f>
        <v>12000</v>
      </c>
      <c r="M82" s="1292">
        <f>+L82-H82</f>
        <v>500</v>
      </c>
      <c r="O82" s="83">
        <f t="shared" si="37"/>
        <v>4.1666666666666664E-2</v>
      </c>
      <c r="P82" s="8">
        <f>SUM(P69:P81)</f>
        <v>12500</v>
      </c>
      <c r="Q82" s="1292">
        <f>+P82-L82</f>
        <v>500</v>
      </c>
      <c r="S82" s="83">
        <f t="shared" si="38"/>
        <v>2.7279999999999999E-2</v>
      </c>
      <c r="T82" s="8">
        <f>SUM(T69:T81)</f>
        <v>12841</v>
      </c>
      <c r="U82" s="73"/>
      <c r="W82" s="83">
        <f t="shared" si="39"/>
        <v>2.7334319757028269E-2</v>
      </c>
      <c r="X82" s="8">
        <f>SUM(X69:X81)</f>
        <v>13192</v>
      </c>
      <c r="Y82" s="73"/>
      <c r="AA82" s="83">
        <f t="shared" si="40"/>
        <v>2.7289266221952699E-2</v>
      </c>
      <c r="AB82" s="8">
        <f>SUM(AB69:AB81)</f>
        <v>13552</v>
      </c>
      <c r="AC82" s="73"/>
    </row>
    <row r="83" spans="1:29" x14ac:dyDescent="0.25">
      <c r="A83" s="66"/>
      <c r="B83" s="936"/>
      <c r="E83" s="863"/>
      <c r="F83" s="2"/>
      <c r="G83" s="83"/>
      <c r="H83" s="2"/>
      <c r="I83" s="871"/>
      <c r="J83" s="66"/>
      <c r="L83" s="2"/>
      <c r="M83" s="948"/>
      <c r="Q83" s="948"/>
      <c r="T83" s="2"/>
      <c r="U83" s="73"/>
      <c r="X83" s="2"/>
      <c r="Y83" s="73"/>
      <c r="AB83" s="2"/>
      <c r="AC83" s="73"/>
    </row>
    <row r="84" spans="1:29" x14ac:dyDescent="0.25">
      <c r="A84" s="66"/>
      <c r="E84" s="863"/>
      <c r="F84" s="2"/>
      <c r="H84" s="2"/>
      <c r="I84" s="871"/>
      <c r="J84" s="66"/>
      <c r="L84" s="2"/>
      <c r="M84" s="948"/>
      <c r="Q84" s="948"/>
      <c r="T84" s="2"/>
      <c r="U84" s="73"/>
      <c r="X84" s="2"/>
      <c r="Y84" s="73"/>
      <c r="AB84" s="2"/>
      <c r="AC84" s="73"/>
    </row>
    <row r="85" spans="1:29" x14ac:dyDescent="0.25">
      <c r="A85" s="29"/>
      <c r="B85" s="936" t="s">
        <v>0</v>
      </c>
      <c r="D85" s="8">
        <f>SUM(D82,D66,D55,D13)</f>
        <v>13755.59</v>
      </c>
      <c r="E85" s="863"/>
      <c r="F85" s="2"/>
      <c r="G85" s="83">
        <f>IF(D85=0,"0.00%",(H85-D85)/D85)</f>
        <v>0.63824307063528352</v>
      </c>
      <c r="H85" s="8">
        <f>SUM(H82,H66,H55,H13)</f>
        <v>22535</v>
      </c>
      <c r="I85" s="1292">
        <f>+H85-D85</f>
        <v>8779.41</v>
      </c>
      <c r="J85" s="29"/>
      <c r="K85" s="83">
        <f>IF(H85=0,"0.00%",(L85-H85)/H85)</f>
        <v>0</v>
      </c>
      <c r="L85" s="8">
        <f>SUM(L82,L66,L55,L13)</f>
        <v>22535</v>
      </c>
      <c r="M85" s="1292">
        <f>+L85-H85</f>
        <v>0</v>
      </c>
      <c r="O85" s="83">
        <f>IF(L85=0,"0.00%",(P85-L85)/L85)</f>
        <v>0</v>
      </c>
      <c r="P85" s="8">
        <f>SUM(P82,P66,P55,P13)</f>
        <v>22535</v>
      </c>
      <c r="Q85" s="1292">
        <f>+P85-L85</f>
        <v>0</v>
      </c>
      <c r="S85" s="83">
        <f>IF(P85=0,"0.00%",(T85-P85)/P85)</f>
        <v>1.5975149767029067E-3</v>
      </c>
      <c r="T85" s="8">
        <f>SUM(T82,T66,T55,T13)</f>
        <v>22571</v>
      </c>
      <c r="U85" s="73"/>
      <c r="W85" s="83">
        <f>IF(T85=0,"0.00%",(X85-T85)/T85)</f>
        <v>4.4526161889149797E-2</v>
      </c>
      <c r="X85" s="8">
        <f>SUM(X82,X66,X55,X13)</f>
        <v>23576</v>
      </c>
      <c r="Y85" s="73"/>
      <c r="AA85" s="83">
        <f>IF(X85=0,"0.00%",(AB85-X85)/X85)</f>
        <v>0.45843230403800472</v>
      </c>
      <c r="AB85" s="8">
        <f>SUM(AB82,AB66,AB55,AB13)</f>
        <v>34384</v>
      </c>
      <c r="AC85" s="73"/>
    </row>
    <row r="86" spans="1:29" x14ac:dyDescent="0.25">
      <c r="A86" s="66"/>
      <c r="E86" s="863"/>
      <c r="F86" s="2"/>
      <c r="H86" s="2"/>
      <c r="I86" s="871"/>
      <c r="J86" s="66"/>
      <c r="L86" s="2"/>
      <c r="M86" s="948"/>
      <c r="Q86" s="948"/>
      <c r="T86" s="2"/>
      <c r="U86" s="73"/>
      <c r="X86" s="2"/>
      <c r="Y86" s="73"/>
      <c r="AB86" s="2"/>
      <c r="AC86" s="73"/>
    </row>
    <row r="87" spans="1:29" x14ac:dyDescent="0.25">
      <c r="A87" s="66"/>
      <c r="B87" s="936" t="s">
        <v>138</v>
      </c>
      <c r="D87" s="3">
        <f>D11-D85</f>
        <v>0</v>
      </c>
      <c r="G87" s="83" t="str">
        <f>IF(D87=0,"0.00%",(H87-D87)/D87)</f>
        <v>0.00%</v>
      </c>
      <c r="H87" s="3">
        <f>H11-H85</f>
        <v>0</v>
      </c>
      <c r="I87" s="871"/>
      <c r="J87" s="66"/>
      <c r="K87" s="83" t="str">
        <f>IF(H87=0,"0.00%",(L87-H87)/H87)</f>
        <v>0.00%</v>
      </c>
      <c r="L87" s="3">
        <f>L11-L85</f>
        <v>0</v>
      </c>
      <c r="M87" s="948"/>
      <c r="O87" s="83" t="str">
        <f>IF(L87=0,"0.00%",(P87-L87)/L87)</f>
        <v>0.00%</v>
      </c>
      <c r="P87" s="3">
        <f>P11-P85</f>
        <v>0</v>
      </c>
      <c r="Q87" s="948"/>
      <c r="S87" s="83" t="str">
        <f>IF(P87=0,"0.00%",(T87-P87)/P87)</f>
        <v>0.00%</v>
      </c>
      <c r="T87" s="3">
        <f>T11-T85</f>
        <v>-11222.71</v>
      </c>
      <c r="U87" s="73"/>
      <c r="W87" s="83">
        <f>IF(T87=0,"0.00%",(X87-T87)/T87)</f>
        <v>-0.90724165553596237</v>
      </c>
      <c r="X87" s="3">
        <f>X11-X85</f>
        <v>-1041</v>
      </c>
      <c r="Y87" s="73"/>
      <c r="AA87" s="83">
        <f>IF(X87=0,"0.00%",(AB87-X87)/X87)</f>
        <v>10.382324687800192</v>
      </c>
      <c r="AB87" s="3">
        <f>AB11-AB85</f>
        <v>-11849</v>
      </c>
      <c r="AC87" s="73"/>
    </row>
    <row r="88" spans="1:29" x14ac:dyDescent="0.25">
      <c r="B88" s="936"/>
      <c r="C88" s="930"/>
      <c r="D88" s="3"/>
      <c r="H88" s="3"/>
      <c r="I88" s="871"/>
      <c r="J88" s="66"/>
      <c r="L88" s="3"/>
      <c r="M88" s="948"/>
      <c r="P88" s="3"/>
      <c r="Q88" s="948"/>
      <c r="T88" s="44"/>
      <c r="U88" s="73"/>
      <c r="X88" s="44"/>
      <c r="Y88" s="73"/>
      <c r="AB88" s="44"/>
      <c r="AC88" s="73"/>
    </row>
    <row r="89" spans="1:29" x14ac:dyDescent="0.25">
      <c r="B89" s="936" t="s">
        <v>136</v>
      </c>
      <c r="C89" s="932"/>
      <c r="D89" s="3">
        <f>D7+D87</f>
        <v>0</v>
      </c>
      <c r="G89" s="83" t="str">
        <f>IF(D89=0,"0.00%",(H89-D89)/D89)</f>
        <v>0.00%</v>
      </c>
      <c r="H89" s="3">
        <f>H7+H87</f>
        <v>0</v>
      </c>
      <c r="I89" s="871"/>
      <c r="J89" s="66"/>
      <c r="K89" s="83" t="str">
        <f>IF(H89=0,"0.00%",(L89-H89)/H89)</f>
        <v>0.00%</v>
      </c>
      <c r="L89" s="3">
        <f>L7+L87</f>
        <v>0</v>
      </c>
      <c r="M89" s="948"/>
      <c r="O89" s="83" t="str">
        <f>IF(L89=0,"0.00%",(P89-L89)/L89)</f>
        <v>0.00%</v>
      </c>
      <c r="P89" s="3">
        <f>P7+P87</f>
        <v>0</v>
      </c>
      <c r="Q89" s="948"/>
      <c r="S89" s="83" t="str">
        <f>IF(P89=0,"0.00%",(T89-P89)/P89)</f>
        <v>0.00%</v>
      </c>
      <c r="T89" s="49">
        <f>T7+T87</f>
        <v>-11222.71</v>
      </c>
      <c r="U89" s="73"/>
      <c r="W89" s="83">
        <f>IF(T89=0,"0.00%",(X89-T89)/T89)</f>
        <v>9.2758344464037662E-2</v>
      </c>
      <c r="X89" s="49">
        <f>X7+X87</f>
        <v>-12263.71</v>
      </c>
      <c r="Y89" s="73"/>
      <c r="AA89" s="83">
        <f>IF(X89=0,"0.00%",(AB89-X89)/X89)</f>
        <v>0.96618396879900137</v>
      </c>
      <c r="AB89" s="49">
        <f>AB7+AB87</f>
        <v>-24112.71</v>
      </c>
      <c r="AC89" s="73"/>
    </row>
    <row r="90" spans="1:29" x14ac:dyDescent="0.25">
      <c r="C90" s="873"/>
      <c r="G90" s="374"/>
      <c r="H90" s="5"/>
      <c r="I90" s="872"/>
      <c r="J90" s="29"/>
      <c r="L90" s="5"/>
      <c r="M90" s="948"/>
      <c r="P90" s="5"/>
      <c r="Q90" s="948"/>
      <c r="T90" s="5"/>
      <c r="U90" s="73"/>
      <c r="X90" s="5"/>
      <c r="Y90" s="73"/>
      <c r="AB90" s="5"/>
      <c r="AC90" s="73"/>
    </row>
    <row r="91" spans="1:29" x14ac:dyDescent="0.25">
      <c r="C91" s="868"/>
      <c r="G91" s="374"/>
      <c r="H91" s="36"/>
      <c r="I91" s="871"/>
      <c r="J91" s="66"/>
      <c r="L91" s="2"/>
      <c r="M91" s="948"/>
      <c r="Q91" s="948"/>
      <c r="T91" s="2"/>
      <c r="U91" s="73"/>
      <c r="X91" s="2"/>
      <c r="Y91" s="73"/>
      <c r="AB91" s="2"/>
      <c r="AC91" s="73"/>
    </row>
    <row r="92" spans="1:29" x14ac:dyDescent="0.25">
      <c r="C92" s="868"/>
      <c r="G92" s="374"/>
      <c r="H92" s="36"/>
      <c r="I92" s="871"/>
      <c r="J92" s="66"/>
      <c r="L92" s="2"/>
      <c r="M92" s="948"/>
      <c r="Q92" s="948"/>
      <c r="T92" s="2"/>
      <c r="U92" s="73"/>
      <c r="X92" s="2"/>
      <c r="Y92" s="73"/>
      <c r="AB92" s="2"/>
      <c r="AC92" s="73"/>
    </row>
    <row r="93" spans="1:29" x14ac:dyDescent="0.25">
      <c r="C93" s="868"/>
      <c r="G93" s="374"/>
      <c r="H93" s="36"/>
      <c r="I93" s="871"/>
      <c r="J93" s="66"/>
      <c r="L93" s="2"/>
      <c r="M93" s="948"/>
      <c r="Q93" s="948"/>
      <c r="T93" s="2"/>
      <c r="U93" s="73"/>
      <c r="X93" s="2"/>
      <c r="Y93" s="73"/>
      <c r="AB93" s="2"/>
      <c r="AC93" s="73"/>
    </row>
    <row r="94" spans="1:29" x14ac:dyDescent="0.25">
      <c r="C94" s="868"/>
      <c r="G94" s="374"/>
      <c r="H94" s="36"/>
      <c r="I94" s="871"/>
      <c r="J94" s="66"/>
      <c r="L94" s="2"/>
      <c r="M94" s="948"/>
      <c r="Q94" s="948"/>
      <c r="T94" s="2"/>
      <c r="U94" s="73"/>
      <c r="X94" s="2"/>
      <c r="Y94" s="73"/>
      <c r="AB94" s="2"/>
      <c r="AC94" s="73"/>
    </row>
    <row r="95" spans="1:29" s="137" customFormat="1" ht="11.25" x14ac:dyDescent="0.2">
      <c r="A95" s="131"/>
      <c r="B95" s="942"/>
      <c r="C95" s="943" t="s">
        <v>223</v>
      </c>
      <c r="D95" s="134">
        <f>+D82+D66+D53+D41+D30</f>
        <v>13264.79</v>
      </c>
      <c r="E95" s="865"/>
      <c r="G95" s="133" t="s">
        <v>223</v>
      </c>
      <c r="H95" s="134">
        <f>+H82+H66+H53+H41+H30</f>
        <v>21577</v>
      </c>
      <c r="I95" s="874"/>
      <c r="J95" s="135"/>
      <c r="K95" s="133" t="s">
        <v>223</v>
      </c>
      <c r="L95" s="134">
        <f>+L82+L66+L53+L41+L30</f>
        <v>21577</v>
      </c>
      <c r="M95" s="951"/>
      <c r="O95" s="133" t="s">
        <v>223</v>
      </c>
      <c r="P95" s="134">
        <f>+P82+P66+P53+P41+P30</f>
        <v>21577</v>
      </c>
      <c r="Q95" s="951"/>
      <c r="R95" s="139"/>
      <c r="S95" s="133" t="s">
        <v>223</v>
      </c>
      <c r="T95" s="134">
        <f>+T82+T66+T53+T41+T30</f>
        <v>22166</v>
      </c>
      <c r="U95" s="138"/>
      <c r="W95" s="133" t="s">
        <v>223</v>
      </c>
      <c r="X95" s="134">
        <f>+X82+X66+X53+X41+X30</f>
        <v>22772</v>
      </c>
      <c r="Y95" s="138"/>
      <c r="AA95" s="133" t="s">
        <v>223</v>
      </c>
      <c r="AB95" s="134">
        <f>+AB82+AB66+AB53+AB41+AB30</f>
        <v>23394</v>
      </c>
      <c r="AC95" s="138"/>
    </row>
    <row r="96" spans="1:29" s="137" customFormat="1" ht="11.25" x14ac:dyDescent="0.2">
      <c r="A96" s="140"/>
      <c r="B96" s="942"/>
      <c r="C96" s="944" t="s">
        <v>224</v>
      </c>
      <c r="D96" s="142">
        <f>+D13</f>
        <v>490.8</v>
      </c>
      <c r="E96" s="866"/>
      <c r="F96" s="144"/>
      <c r="G96" s="375" t="s">
        <v>224</v>
      </c>
      <c r="H96" s="142">
        <f>+H13</f>
        <v>958</v>
      </c>
      <c r="I96" s="875"/>
      <c r="J96" s="143"/>
      <c r="K96" s="375" t="s">
        <v>224</v>
      </c>
      <c r="L96" s="142">
        <f>+L13</f>
        <v>958</v>
      </c>
      <c r="M96" s="951"/>
      <c r="O96" s="375" t="s">
        <v>224</v>
      </c>
      <c r="P96" s="142">
        <f>+P13</f>
        <v>958</v>
      </c>
      <c r="Q96" s="865"/>
      <c r="R96" s="139"/>
      <c r="S96" s="141" t="s">
        <v>224</v>
      </c>
      <c r="T96" s="142">
        <f>+T13</f>
        <v>405</v>
      </c>
      <c r="W96" s="141" t="s">
        <v>224</v>
      </c>
      <c r="X96" s="142">
        <f>+X13</f>
        <v>804</v>
      </c>
      <c r="AA96" s="141" t="s">
        <v>224</v>
      </c>
      <c r="AB96" s="142">
        <f>+AB13</f>
        <v>10990</v>
      </c>
    </row>
    <row r="97" spans="1:29" s="137" customFormat="1" ht="11.25" x14ac:dyDescent="0.2">
      <c r="A97" s="140"/>
      <c r="B97" s="942"/>
      <c r="C97" s="944"/>
      <c r="D97" s="145">
        <f>+D95+D96</f>
        <v>13755.59</v>
      </c>
      <c r="E97" s="866"/>
      <c r="F97" s="144"/>
      <c r="G97" s="375"/>
      <c r="H97" s="145">
        <f>+H95+H96</f>
        <v>22535</v>
      </c>
      <c r="I97" s="875"/>
      <c r="J97" s="143"/>
      <c r="K97" s="375"/>
      <c r="L97" s="145">
        <f>+L95+L96</f>
        <v>22535</v>
      </c>
      <c r="M97" s="865"/>
      <c r="O97" s="375"/>
      <c r="P97" s="145">
        <f>+P95+P96</f>
        <v>22535</v>
      </c>
      <c r="Q97" s="865"/>
      <c r="R97" s="139"/>
      <c r="S97" s="141"/>
      <c r="T97" s="145">
        <f>+T95+T96</f>
        <v>22571</v>
      </c>
      <c r="W97" s="141"/>
      <c r="X97" s="145">
        <f>+X95+X96</f>
        <v>23576</v>
      </c>
      <c r="AA97" s="141"/>
      <c r="AB97" s="145">
        <f>+AB95+AB96</f>
        <v>34384</v>
      </c>
    </row>
    <row r="98" spans="1:29" ht="15" customHeight="1" x14ac:dyDescent="0.25">
      <c r="A98" s="66"/>
      <c r="B98" s="945"/>
      <c r="C98" s="945"/>
      <c r="D98" s="5">
        <f>+D85-D97</f>
        <v>0</v>
      </c>
      <c r="E98" s="863"/>
      <c r="F98" s="2"/>
      <c r="G98" s="376"/>
      <c r="H98" s="5">
        <f>+H85-H97</f>
        <v>0</v>
      </c>
      <c r="K98" s="376"/>
      <c r="L98" s="5">
        <f>+L85-L97</f>
        <v>0</v>
      </c>
      <c r="O98" s="376"/>
      <c r="P98" s="5">
        <f>+P85-P97</f>
        <v>0</v>
      </c>
      <c r="S98" s="103"/>
      <c r="T98" s="5">
        <f>+T85-T97</f>
        <v>0</v>
      </c>
      <c r="W98" s="103"/>
      <c r="X98" s="5">
        <f>+X85-X97</f>
        <v>0</v>
      </c>
      <c r="AA98" s="103"/>
      <c r="AB98" s="5">
        <f>+AB85-AB97</f>
        <v>0</v>
      </c>
    </row>
    <row r="99" spans="1:29" x14ac:dyDescent="0.25">
      <c r="A99" s="66"/>
      <c r="B99" s="945"/>
      <c r="C99" s="945"/>
      <c r="D99" s="36"/>
      <c r="E99" s="863"/>
      <c r="F99" s="2"/>
    </row>
    <row r="100" spans="1:29" s="46" customFormat="1" x14ac:dyDescent="0.25">
      <c r="A100" s="66"/>
      <c r="B100" s="932"/>
      <c r="C100" s="868"/>
      <c r="D100" s="25"/>
      <c r="E100" s="863"/>
      <c r="F100" s="2"/>
      <c r="G100" s="52"/>
      <c r="H100" s="122"/>
      <c r="I100" s="868"/>
      <c r="J100" s="59"/>
      <c r="K100" s="377"/>
      <c r="L100" s="123"/>
      <c r="M100" s="857"/>
      <c r="N100" s="39"/>
      <c r="O100" s="377"/>
      <c r="P100" s="2"/>
      <c r="Q100" s="857"/>
      <c r="R100" s="109"/>
      <c r="S100" s="39"/>
      <c r="T100" s="39"/>
      <c r="U100" s="39"/>
      <c r="V100" s="39"/>
      <c r="W100" s="39"/>
      <c r="X100" s="39"/>
      <c r="Y100" s="39"/>
      <c r="Z100" s="39"/>
      <c r="AA100" s="39"/>
      <c r="AB100" s="39"/>
      <c r="AC100" s="39"/>
    </row>
    <row r="101" spans="1:29" s="46" customFormat="1" x14ac:dyDescent="0.25">
      <c r="A101" s="56"/>
      <c r="B101" s="932"/>
      <c r="C101" s="868"/>
      <c r="D101" s="36"/>
      <c r="E101" s="857"/>
      <c r="F101" s="39"/>
      <c r="G101" s="52"/>
      <c r="H101" s="122"/>
      <c r="I101" s="868"/>
      <c r="J101" s="59"/>
      <c r="K101" s="377"/>
      <c r="L101" s="123"/>
      <c r="M101" s="857"/>
      <c r="N101" s="39"/>
      <c r="O101" s="377"/>
      <c r="P101" s="2"/>
      <c r="Q101" s="857"/>
      <c r="R101" s="109"/>
      <c r="S101" s="39"/>
      <c r="T101" s="39"/>
      <c r="U101" s="39"/>
      <c r="V101" s="39"/>
      <c r="W101" s="39"/>
      <c r="X101" s="39"/>
      <c r="Y101" s="39"/>
      <c r="Z101" s="39"/>
      <c r="AA101" s="39"/>
      <c r="AB101" s="39"/>
      <c r="AC101" s="39"/>
    </row>
    <row r="102" spans="1:29" s="46" customFormat="1" x14ac:dyDescent="0.25">
      <c r="A102" s="56"/>
      <c r="B102" s="932"/>
      <c r="C102" s="868"/>
      <c r="D102" s="36"/>
      <c r="E102" s="857"/>
      <c r="F102" s="39"/>
      <c r="G102" s="52"/>
      <c r="H102" s="122"/>
      <c r="I102" s="868"/>
      <c r="J102" s="59"/>
      <c r="K102" s="377"/>
      <c r="L102" s="123"/>
      <c r="M102" s="857"/>
      <c r="N102" s="39"/>
      <c r="O102" s="377"/>
      <c r="P102" s="2"/>
      <c r="Q102" s="857"/>
      <c r="R102" s="109"/>
      <c r="S102" s="39"/>
      <c r="T102" s="39"/>
      <c r="U102" s="39"/>
      <c r="V102" s="39"/>
      <c r="W102" s="39"/>
      <c r="X102" s="39"/>
      <c r="Y102" s="39"/>
      <c r="Z102" s="39"/>
      <c r="AA102" s="39"/>
      <c r="AB102" s="39"/>
      <c r="AC102" s="39"/>
    </row>
    <row r="103" spans="1:29" s="46" customFormat="1" ht="15" customHeight="1" x14ac:dyDescent="0.25">
      <c r="A103" s="56"/>
      <c r="B103" s="932"/>
      <c r="C103" s="868"/>
      <c r="D103" s="36"/>
      <c r="E103" s="857"/>
      <c r="F103" s="39"/>
      <c r="G103" s="52"/>
      <c r="H103" s="122"/>
      <c r="I103" s="868"/>
      <c r="J103" s="59"/>
      <c r="K103" s="377"/>
      <c r="L103" s="123"/>
      <c r="M103" s="857"/>
      <c r="N103" s="39"/>
      <c r="O103" s="377"/>
      <c r="P103" s="2"/>
      <c r="Q103" s="857"/>
      <c r="R103" s="109"/>
      <c r="S103" s="39"/>
      <c r="T103" s="39"/>
      <c r="U103" s="39"/>
      <c r="V103" s="39"/>
      <c r="W103" s="39"/>
      <c r="X103" s="39"/>
      <c r="Y103" s="39"/>
      <c r="Z103" s="39"/>
      <c r="AA103" s="39"/>
      <c r="AB103" s="39"/>
      <c r="AC103" s="39"/>
    </row>
    <row r="104" spans="1:29" s="46" customFormat="1" x14ac:dyDescent="0.25">
      <c r="A104" s="56"/>
      <c r="B104" s="932"/>
      <c r="C104" s="868"/>
      <c r="D104" s="36"/>
      <c r="E104" s="857"/>
      <c r="F104" s="39"/>
      <c r="G104" s="52"/>
      <c r="H104" s="122"/>
      <c r="I104" s="868"/>
      <c r="J104" s="59"/>
      <c r="K104" s="377"/>
      <c r="L104" s="123"/>
      <c r="M104" s="857"/>
      <c r="N104" s="39"/>
      <c r="O104" s="377"/>
      <c r="P104" s="2"/>
      <c r="Q104" s="857"/>
      <c r="R104" s="109"/>
      <c r="S104" s="39"/>
      <c r="T104" s="39"/>
      <c r="U104" s="39"/>
      <c r="V104" s="39"/>
      <c r="W104" s="39"/>
      <c r="X104" s="39"/>
      <c r="Y104" s="39"/>
      <c r="Z104" s="39"/>
      <c r="AA104" s="39"/>
      <c r="AB104" s="39"/>
      <c r="AC104" s="39"/>
    </row>
    <row r="105" spans="1:29" s="46" customFormat="1" x14ac:dyDescent="0.25">
      <c r="A105" s="56"/>
      <c r="B105" s="932"/>
      <c r="C105" s="868"/>
      <c r="D105" s="36"/>
      <c r="E105" s="857"/>
      <c r="F105" s="39"/>
      <c r="G105" s="52"/>
      <c r="H105" s="122"/>
      <c r="I105" s="868"/>
      <c r="J105" s="59"/>
      <c r="K105" s="377"/>
      <c r="L105" s="123"/>
      <c r="M105" s="857"/>
      <c r="N105" s="39"/>
      <c r="O105" s="377"/>
      <c r="P105" s="2"/>
      <c r="Q105" s="857"/>
      <c r="R105" s="109"/>
      <c r="S105" s="39"/>
      <c r="T105" s="39"/>
      <c r="U105" s="39"/>
      <c r="V105" s="39"/>
      <c r="W105" s="39"/>
      <c r="X105" s="39"/>
      <c r="Y105" s="39"/>
      <c r="Z105" s="39"/>
      <c r="AA105" s="39"/>
      <c r="AB105" s="39"/>
      <c r="AC105" s="39"/>
    </row>
    <row r="106" spans="1:29" s="46" customFormat="1" ht="15" customHeight="1" x14ac:dyDescent="0.25">
      <c r="A106" s="56"/>
      <c r="B106" s="2209"/>
      <c r="C106" s="2209"/>
      <c r="D106" s="36"/>
      <c r="E106" s="857"/>
      <c r="F106" s="39"/>
      <c r="G106" s="52"/>
      <c r="H106" s="122"/>
      <c r="I106" s="868"/>
      <c r="J106" s="59"/>
      <c r="K106" s="377"/>
      <c r="L106" s="123"/>
      <c r="M106" s="857"/>
      <c r="N106" s="39"/>
      <c r="O106" s="377"/>
      <c r="P106" s="2"/>
      <c r="Q106" s="857"/>
      <c r="R106" s="109"/>
      <c r="S106" s="39"/>
      <c r="T106" s="39"/>
      <c r="U106" s="39"/>
      <c r="V106" s="39"/>
      <c r="W106" s="39"/>
      <c r="X106" s="39"/>
      <c r="Y106" s="39"/>
      <c r="Z106" s="39"/>
      <c r="AA106" s="39"/>
      <c r="AB106" s="39"/>
      <c r="AC106" s="39"/>
    </row>
    <row r="107" spans="1:29" s="46" customFormat="1" x14ac:dyDescent="0.25">
      <c r="A107" s="56"/>
      <c r="B107" s="2209"/>
      <c r="C107" s="2209"/>
      <c r="D107" s="36"/>
      <c r="E107" s="857"/>
      <c r="F107" s="39"/>
      <c r="G107" s="52"/>
      <c r="H107" s="122"/>
      <c r="I107" s="868"/>
      <c r="J107" s="59"/>
      <c r="K107" s="377"/>
      <c r="L107" s="123"/>
      <c r="M107" s="857"/>
      <c r="N107" s="39"/>
      <c r="O107" s="377"/>
      <c r="P107" s="2"/>
      <c r="Q107" s="857"/>
      <c r="R107" s="109"/>
      <c r="S107" s="39"/>
      <c r="T107" s="39"/>
      <c r="U107" s="39"/>
      <c r="V107" s="39"/>
      <c r="W107" s="39"/>
      <c r="X107" s="39"/>
      <c r="Y107" s="39"/>
      <c r="Z107" s="39"/>
      <c r="AA107" s="39"/>
      <c r="AB107" s="39"/>
      <c r="AC107" s="39"/>
    </row>
    <row r="108" spans="1:29" s="46" customFormat="1" x14ac:dyDescent="0.25">
      <c r="A108" s="56"/>
      <c r="B108" s="932"/>
      <c r="C108" s="868"/>
      <c r="D108" s="6"/>
      <c r="E108" s="857"/>
      <c r="F108" s="39"/>
      <c r="G108" s="52"/>
      <c r="H108" s="122"/>
      <c r="I108" s="868"/>
      <c r="J108" s="59"/>
      <c r="K108" s="377"/>
      <c r="L108" s="123"/>
      <c r="M108" s="857"/>
      <c r="N108" s="39"/>
      <c r="O108" s="377"/>
      <c r="P108" s="2"/>
      <c r="Q108" s="857"/>
      <c r="R108" s="109"/>
      <c r="S108" s="39"/>
      <c r="T108" s="39"/>
      <c r="U108" s="39"/>
      <c r="V108" s="39"/>
      <c r="W108" s="39"/>
      <c r="X108" s="39"/>
      <c r="Y108" s="39"/>
      <c r="Z108" s="39"/>
      <c r="AA108" s="39"/>
      <c r="AB108" s="39"/>
      <c r="AC108" s="39"/>
    </row>
    <row r="109" spans="1:29" s="46" customFormat="1" x14ac:dyDescent="0.25">
      <c r="A109" s="56"/>
      <c r="B109" s="932"/>
      <c r="C109" s="868"/>
      <c r="D109" s="36"/>
      <c r="E109" s="857"/>
      <c r="F109" s="39"/>
      <c r="G109" s="52"/>
      <c r="H109" s="122"/>
      <c r="I109" s="868"/>
      <c r="J109" s="59"/>
      <c r="K109" s="377"/>
      <c r="L109" s="123"/>
      <c r="M109" s="857"/>
      <c r="N109" s="39"/>
      <c r="O109" s="377"/>
      <c r="P109" s="2"/>
      <c r="Q109" s="857"/>
      <c r="R109" s="109"/>
      <c r="S109" s="39"/>
      <c r="T109" s="39"/>
      <c r="U109" s="39"/>
      <c r="V109" s="39"/>
      <c r="W109" s="39"/>
      <c r="X109" s="39"/>
      <c r="Y109" s="39"/>
      <c r="Z109" s="39"/>
      <c r="AA109" s="39"/>
      <c r="AB109" s="39"/>
      <c r="AC109" s="39"/>
    </row>
    <row r="110" spans="1:29" s="46" customFormat="1" x14ac:dyDescent="0.25">
      <c r="A110" s="56"/>
      <c r="B110" s="932"/>
      <c r="C110" s="868"/>
      <c r="D110" s="36"/>
      <c r="E110" s="857"/>
      <c r="F110" s="39"/>
      <c r="G110" s="52"/>
      <c r="H110" s="122"/>
      <c r="I110" s="868"/>
      <c r="J110" s="59"/>
      <c r="K110" s="377"/>
      <c r="L110" s="123"/>
      <c r="M110" s="857"/>
      <c r="N110" s="39"/>
      <c r="O110" s="377"/>
      <c r="P110" s="2"/>
      <c r="Q110" s="857"/>
      <c r="R110" s="109"/>
      <c r="S110" s="39"/>
      <c r="T110" s="39"/>
      <c r="U110" s="39"/>
      <c r="V110" s="39"/>
      <c r="W110" s="39"/>
      <c r="X110" s="39"/>
      <c r="Y110" s="39"/>
      <c r="Z110" s="39"/>
      <c r="AA110" s="39"/>
      <c r="AB110" s="39"/>
      <c r="AC110" s="39"/>
    </row>
    <row r="111" spans="1:29" s="46" customFormat="1" ht="28.5" customHeight="1" x14ac:dyDescent="0.25">
      <c r="A111" s="56"/>
      <c r="B111" s="932"/>
      <c r="C111" s="868"/>
      <c r="D111" s="25"/>
      <c r="E111" s="857"/>
      <c r="F111" s="39"/>
      <c r="G111" s="52"/>
      <c r="H111" s="122"/>
      <c r="I111" s="868"/>
      <c r="J111" s="59"/>
      <c r="K111" s="377"/>
      <c r="L111" s="123"/>
      <c r="M111" s="857"/>
      <c r="N111" s="39"/>
      <c r="O111" s="377"/>
      <c r="P111" s="2"/>
      <c r="Q111" s="857"/>
      <c r="R111" s="109"/>
      <c r="S111" s="39"/>
      <c r="T111" s="39"/>
      <c r="U111" s="39"/>
      <c r="V111" s="39"/>
      <c r="W111" s="39"/>
      <c r="X111" s="39"/>
      <c r="Y111" s="39"/>
      <c r="Z111" s="39"/>
      <c r="AA111" s="39"/>
      <c r="AB111" s="39"/>
      <c r="AC111" s="39"/>
    </row>
    <row r="112" spans="1:29" s="46" customFormat="1" x14ac:dyDescent="0.25">
      <c r="A112" s="56"/>
      <c r="B112" s="932"/>
      <c r="C112" s="868"/>
      <c r="D112" s="36"/>
      <c r="E112" s="857"/>
      <c r="F112" s="39"/>
      <c r="G112" s="52"/>
      <c r="H112" s="122"/>
      <c r="I112" s="868"/>
      <c r="J112" s="59"/>
      <c r="K112" s="377"/>
      <c r="L112" s="123"/>
      <c r="M112" s="857"/>
      <c r="N112" s="39"/>
      <c r="O112" s="377"/>
      <c r="P112" s="2"/>
      <c r="Q112" s="857"/>
      <c r="R112" s="109"/>
      <c r="S112" s="39"/>
      <c r="T112" s="39"/>
      <c r="U112" s="39"/>
      <c r="V112" s="39"/>
      <c r="W112" s="39"/>
      <c r="X112" s="39"/>
      <c r="Y112" s="39"/>
      <c r="Z112" s="39"/>
      <c r="AA112" s="39"/>
      <c r="AB112" s="39"/>
      <c r="AC112" s="39"/>
    </row>
    <row r="113" spans="1:29" s="46" customFormat="1" x14ac:dyDescent="0.25">
      <c r="A113" s="56"/>
      <c r="B113" s="932"/>
      <c r="C113" s="868"/>
      <c r="D113" s="36"/>
      <c r="E113" s="857"/>
      <c r="F113" s="39"/>
      <c r="G113" s="52"/>
      <c r="H113" s="122"/>
      <c r="I113" s="868"/>
      <c r="J113" s="59"/>
      <c r="K113" s="377"/>
      <c r="L113" s="123"/>
      <c r="M113" s="857"/>
      <c r="N113" s="39"/>
      <c r="O113" s="377"/>
      <c r="P113" s="2"/>
      <c r="Q113" s="857"/>
      <c r="R113" s="109"/>
      <c r="S113" s="39"/>
      <c r="T113" s="39"/>
      <c r="U113" s="39"/>
      <c r="V113" s="39"/>
      <c r="W113" s="39"/>
      <c r="X113" s="39"/>
      <c r="Y113" s="39"/>
      <c r="Z113" s="39"/>
      <c r="AA113" s="39"/>
      <c r="AB113" s="39"/>
      <c r="AC113" s="39"/>
    </row>
    <row r="114" spans="1:29" s="46" customFormat="1" x14ac:dyDescent="0.25">
      <c r="A114" s="56"/>
      <c r="B114" s="932"/>
      <c r="C114" s="868"/>
      <c r="D114" s="36"/>
      <c r="E114" s="857"/>
      <c r="F114" s="39"/>
      <c r="G114" s="52"/>
      <c r="H114" s="122"/>
      <c r="I114" s="868"/>
      <c r="J114" s="59"/>
      <c r="K114" s="377"/>
      <c r="L114" s="123"/>
      <c r="M114" s="857"/>
      <c r="N114" s="39"/>
      <c r="O114" s="377"/>
      <c r="P114" s="2"/>
      <c r="Q114" s="857"/>
      <c r="R114" s="109"/>
      <c r="S114" s="39"/>
      <c r="T114" s="39"/>
      <c r="U114" s="39"/>
      <c r="V114" s="39"/>
      <c r="W114" s="39"/>
      <c r="X114" s="39"/>
      <c r="Y114" s="39"/>
      <c r="Z114" s="39"/>
      <c r="AA114" s="39"/>
      <c r="AB114" s="39"/>
      <c r="AC114" s="39"/>
    </row>
    <row r="115" spans="1:29" s="46" customFormat="1" x14ac:dyDescent="0.25">
      <c r="A115" s="56"/>
      <c r="B115" s="932"/>
      <c r="C115" s="868"/>
      <c r="D115" s="36"/>
      <c r="E115" s="857"/>
      <c r="F115" s="39"/>
      <c r="G115" s="52"/>
      <c r="H115" s="122"/>
      <c r="I115" s="868"/>
      <c r="J115" s="59"/>
      <c r="K115" s="377"/>
      <c r="L115" s="123"/>
      <c r="M115" s="857"/>
      <c r="N115" s="39"/>
      <c r="O115" s="377"/>
      <c r="P115" s="2"/>
      <c r="Q115" s="857"/>
      <c r="R115" s="109"/>
      <c r="S115" s="39"/>
      <c r="T115" s="39"/>
      <c r="U115" s="39"/>
      <c r="V115" s="39"/>
      <c r="W115" s="39"/>
      <c r="X115" s="39"/>
      <c r="Y115" s="39"/>
      <c r="Z115" s="39"/>
      <c r="AA115" s="39"/>
      <c r="AB115" s="39"/>
      <c r="AC115" s="39"/>
    </row>
    <row r="116" spans="1:29" x14ac:dyDescent="0.25">
      <c r="B116" s="932"/>
      <c r="C116" s="868"/>
      <c r="D116" s="36"/>
    </row>
    <row r="117" spans="1:29" x14ac:dyDescent="0.25">
      <c r="B117" s="932"/>
      <c r="C117" s="868"/>
      <c r="D117" s="36"/>
    </row>
    <row r="118" spans="1:29" x14ac:dyDescent="0.25">
      <c r="B118" s="932"/>
      <c r="C118" s="868"/>
      <c r="D118" s="36"/>
    </row>
    <row r="119" spans="1:29" x14ac:dyDescent="0.25">
      <c r="B119" s="932"/>
      <c r="C119" s="868"/>
      <c r="D119" s="36"/>
    </row>
    <row r="120" spans="1:29" x14ac:dyDescent="0.25">
      <c r="B120" s="932"/>
      <c r="C120" s="868"/>
      <c r="D120" s="36"/>
    </row>
    <row r="121" spans="1:29" x14ac:dyDescent="0.25">
      <c r="B121" s="932"/>
      <c r="C121" s="868"/>
      <c r="D121" s="36"/>
    </row>
    <row r="122" spans="1:29" x14ac:dyDescent="0.25">
      <c r="B122" s="932"/>
      <c r="C122" s="868"/>
      <c r="D122" s="36"/>
    </row>
    <row r="123" spans="1:29" x14ac:dyDescent="0.25">
      <c r="B123" s="932"/>
      <c r="C123" s="868"/>
      <c r="D123" s="36"/>
    </row>
    <row r="124" spans="1:29" x14ac:dyDescent="0.25">
      <c r="B124" s="932"/>
      <c r="C124" s="868"/>
      <c r="D124" s="36"/>
    </row>
    <row r="125" spans="1:29" x14ac:dyDescent="0.25">
      <c r="B125" s="932"/>
      <c r="C125" s="868"/>
      <c r="D125" s="36"/>
    </row>
    <row r="126" spans="1:29" x14ac:dyDescent="0.25">
      <c r="B126" s="932"/>
      <c r="C126" s="868"/>
      <c r="D126" s="36"/>
    </row>
  </sheetData>
  <sheetProtection password="B79F" sheet="1" objects="1" scenarios="1"/>
  <mergeCells count="1">
    <mergeCell ref="B106:C107"/>
  </mergeCells>
  <pageMargins left="0.25" right="0.25" top="0.5" bottom="0.5" header="0.25" footer="0.25"/>
  <pageSetup paperSize="5" scale="74" orientation="portrait" r:id="rId1"/>
  <headerFooter>
    <oddHeader>&amp;L&amp;F</oddHeader>
    <oddFooter>&amp;R&amp;A</oddFooter>
  </headerFooter>
  <ignoredErrors>
    <ignoredError sqref="B62:B82"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26"/>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1.7109375" style="56" customWidth="1"/>
    <col min="2" max="2" width="8.5703125" style="930" customWidth="1"/>
    <col min="3" max="3" width="18.28515625" style="857" customWidth="1"/>
    <col min="4" max="4" width="16" style="2" customWidth="1"/>
    <col min="5" max="5" width="17.5703125" style="857" hidden="1" customWidth="1"/>
    <col min="6" max="6" width="6" style="39" customWidth="1"/>
    <col min="7" max="7" width="9.42578125" style="52" bestFit="1" customWidth="1"/>
    <col min="8" max="8" width="13.85546875" style="122" bestFit="1" customWidth="1"/>
    <col min="9" max="9" width="26" style="868" hidden="1" customWidth="1"/>
    <col min="10" max="10" width="5.7109375" style="59" customWidth="1"/>
    <col min="11" max="11" width="8.7109375" style="377" bestFit="1" customWidth="1"/>
    <col min="12" max="12" width="14.5703125" style="123" bestFit="1" customWidth="1"/>
    <col min="13" max="13" width="26" style="857" hidden="1" customWidth="1"/>
    <col min="14" max="14" width="5.7109375" style="39" customWidth="1"/>
    <col min="15" max="15" width="9.42578125" style="377" bestFit="1" customWidth="1"/>
    <col min="16" max="16" width="14" style="2" bestFit="1" customWidth="1"/>
    <col min="17" max="17" width="27.85546875" style="857" hidden="1" customWidth="1"/>
    <col min="18" max="18" width="5.7109375" style="109" customWidth="1"/>
    <col min="19" max="19" width="1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930" t="s">
        <v>61</v>
      </c>
      <c r="C1" s="931" t="s">
        <v>182</v>
      </c>
      <c r="D1" s="97">
        <v>121525</v>
      </c>
      <c r="E1" s="855" t="s">
        <v>956</v>
      </c>
      <c r="F1" s="98"/>
      <c r="G1" s="369"/>
      <c r="H1" s="97">
        <v>115032</v>
      </c>
      <c r="I1" s="855" t="s">
        <v>957</v>
      </c>
      <c r="K1" s="382"/>
      <c r="L1" s="97">
        <f>+H1</f>
        <v>115032</v>
      </c>
      <c r="M1" s="855" t="s">
        <v>957</v>
      </c>
      <c r="N1" s="51"/>
      <c r="O1" s="382"/>
      <c r="P1" s="97">
        <f>+L1</f>
        <v>115032</v>
      </c>
      <c r="Q1" s="855" t="s">
        <v>957</v>
      </c>
      <c r="T1" s="86">
        <f>P1</f>
        <v>115032</v>
      </c>
      <c r="U1" s="98"/>
      <c r="X1" s="86">
        <f>T1</f>
        <v>115032</v>
      </c>
      <c r="Y1" s="98"/>
      <c r="AB1" s="86">
        <f>X1</f>
        <v>115032</v>
      </c>
      <c r="AC1" s="98"/>
    </row>
    <row r="2" spans="1:29" ht="17.25" x14ac:dyDescent="0.4">
      <c r="B2" s="932" t="s">
        <v>59</v>
      </c>
      <c r="C2" s="933">
        <v>4203</v>
      </c>
      <c r="D2" s="2">
        <f>-158978.2+142850.68</f>
        <v>-16127.520000000019</v>
      </c>
      <c r="E2" s="855" t="s">
        <v>954</v>
      </c>
      <c r="F2" s="98"/>
      <c r="G2" s="1863"/>
      <c r="H2" s="2">
        <f>-D2</f>
        <v>16127.520000000019</v>
      </c>
      <c r="I2" s="855" t="s">
        <v>216</v>
      </c>
      <c r="K2" s="382"/>
      <c r="L2" s="2">
        <f>-H3</f>
        <v>21108.52</v>
      </c>
      <c r="M2" s="855" t="s">
        <v>216</v>
      </c>
      <c r="N2" s="51"/>
      <c r="O2" s="382"/>
      <c r="P2" s="2">
        <f>-L3</f>
        <v>21922.52</v>
      </c>
      <c r="Q2" s="855" t="s">
        <v>216</v>
      </c>
      <c r="T2" s="87">
        <v>0</v>
      </c>
      <c r="U2" s="98"/>
      <c r="X2" s="87">
        <v>0</v>
      </c>
      <c r="Y2" s="98"/>
      <c r="AB2" s="87">
        <v>0</v>
      </c>
      <c r="AC2" s="98"/>
    </row>
    <row r="3" spans="1:29" x14ac:dyDescent="0.25">
      <c r="D3" s="99">
        <v>37453.199999999997</v>
      </c>
      <c r="E3" s="856" t="s">
        <v>175</v>
      </c>
      <c r="F3" s="1047"/>
      <c r="G3" s="1864"/>
      <c r="H3" s="99">
        <f>-20694.52-406-8</f>
        <v>-21108.52</v>
      </c>
      <c r="I3" s="856" t="s">
        <v>995</v>
      </c>
      <c r="K3" s="382"/>
      <c r="L3" s="99">
        <f>-21493-421.52-8</f>
        <v>-21922.52</v>
      </c>
      <c r="M3" s="856" t="s">
        <v>995</v>
      </c>
      <c r="N3" s="51"/>
      <c r="O3" s="382"/>
      <c r="P3" s="99">
        <f>-18220-48.52-1</f>
        <v>-18269.52</v>
      </c>
      <c r="Q3" s="856" t="s">
        <v>995</v>
      </c>
      <c r="T3" s="86">
        <f>SUM(T1:T2)</f>
        <v>115032</v>
      </c>
      <c r="U3" s="51"/>
      <c r="X3" s="86">
        <f>SUM(X1:X2)</f>
        <v>115032</v>
      </c>
      <c r="Y3" s="51"/>
      <c r="AB3" s="86">
        <f>SUM(AB1:AB2)</f>
        <v>115032</v>
      </c>
      <c r="AC3" s="51"/>
    </row>
    <row r="4" spans="1:29" x14ac:dyDescent="0.25">
      <c r="D4" s="323">
        <f>+SUM(D1:D3)</f>
        <v>142850.68</v>
      </c>
      <c r="F4" s="51"/>
      <c r="G4" s="374"/>
      <c r="H4" s="323">
        <f>+SUM(H1:H3)</f>
        <v>110051.00000000001</v>
      </c>
      <c r="I4" s="857" t="s">
        <v>1033</v>
      </c>
      <c r="K4" s="382"/>
      <c r="L4" s="323">
        <f>+SUM(L1:L3)</f>
        <v>114217.99999999999</v>
      </c>
      <c r="M4" s="857" t="s">
        <v>1033</v>
      </c>
      <c r="N4" s="51"/>
      <c r="O4" s="382"/>
      <c r="P4" s="323">
        <f>+SUM(P1:P3)</f>
        <v>118684.99999999999</v>
      </c>
      <c r="Q4" s="857" t="s">
        <v>1033</v>
      </c>
      <c r="T4" s="86"/>
      <c r="U4" s="51"/>
      <c r="X4" s="86"/>
      <c r="Y4" s="51"/>
      <c r="AB4" s="86"/>
      <c r="AC4" s="51"/>
    </row>
    <row r="5" spans="1:29" ht="15.75" x14ac:dyDescent="0.25">
      <c r="B5" s="934" t="s">
        <v>56</v>
      </c>
      <c r="P5" s="123"/>
      <c r="T5" s="73"/>
      <c r="X5" s="73"/>
      <c r="AB5" s="73"/>
    </row>
    <row r="6" spans="1:29" s="89" customFormat="1" ht="15.75" x14ac:dyDescent="0.25">
      <c r="A6" s="88"/>
      <c r="B6" s="935"/>
      <c r="C6" s="935"/>
      <c r="D6" s="284" t="s">
        <v>55</v>
      </c>
      <c r="E6" s="858"/>
      <c r="G6" s="371"/>
      <c r="H6" s="324" t="str">
        <f>LEFT(D6,4)+1&amp;"-"&amp;RIGHT(D6,4)+1</f>
        <v>2017-2018</v>
      </c>
      <c r="I6" s="869"/>
      <c r="J6" s="93"/>
      <c r="K6" s="378"/>
      <c r="L6" s="124" t="str">
        <f>LEFT(H6,4)+1&amp;"-"&amp;RIGHT(H6,4)+1</f>
        <v>2018-2019</v>
      </c>
      <c r="M6" s="946"/>
      <c r="N6" s="96"/>
      <c r="O6" s="381"/>
      <c r="P6" s="124" t="str">
        <f>LEFT(L6,4)+1&amp;"-"&amp;RIGHT(L6,4)+1</f>
        <v>2019-2020</v>
      </c>
      <c r="Q6" s="94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936" t="s">
        <v>54</v>
      </c>
      <c r="D7" s="2">
        <v>0</v>
      </c>
      <c r="H7" s="2">
        <f>D89</f>
        <v>0</v>
      </c>
      <c r="I7" s="857"/>
      <c r="J7" s="60"/>
      <c r="L7" s="2">
        <f>H89</f>
        <v>0</v>
      </c>
      <c r="P7" s="2">
        <f>L89</f>
        <v>0</v>
      </c>
      <c r="T7" s="2">
        <f>P89</f>
        <v>0</v>
      </c>
      <c r="X7" s="2">
        <f>T89</f>
        <v>-46750.040000000008</v>
      </c>
      <c r="AB7" s="2">
        <f>X89</f>
        <v>-75040.560000000012</v>
      </c>
    </row>
    <row r="8" spans="1:29" x14ac:dyDescent="0.25">
      <c r="H8" s="2"/>
      <c r="I8" s="857"/>
      <c r="L8" s="2"/>
    </row>
    <row r="9" spans="1:29" x14ac:dyDescent="0.25">
      <c r="B9" s="930" t="s">
        <v>52</v>
      </c>
      <c r="C9" s="857" t="s">
        <v>53</v>
      </c>
      <c r="D9" s="2">
        <f>+D1+D2</f>
        <v>105397.47999999998</v>
      </c>
      <c r="G9" s="83">
        <f>IF(D9=0,"0.00%",(H9-D9)/D9)</f>
        <v>4.4152099272203038E-2</v>
      </c>
      <c r="H9" s="3">
        <f>+H4</f>
        <v>110051.00000000001</v>
      </c>
      <c r="I9" s="857" t="s">
        <v>174</v>
      </c>
      <c r="J9" s="61"/>
      <c r="K9" s="83">
        <f>IF(H9=0,"0.00%",(L9-H9)/H9)</f>
        <v>-0.15394244486647116</v>
      </c>
      <c r="L9" s="3">
        <f>+L1+L3</f>
        <v>93109.48</v>
      </c>
      <c r="M9" s="857" t="s">
        <v>996</v>
      </c>
      <c r="O9" s="83">
        <f>IF(L9=0,"0.00%",(P9-L9)/L9)</f>
        <v>3.9233384183866134E-2</v>
      </c>
      <c r="P9" s="3">
        <f>+P1+P3</f>
        <v>96762.48</v>
      </c>
      <c r="Q9" s="857" t="s">
        <v>996</v>
      </c>
      <c r="S9" s="83">
        <f>IF(P9=0,"0.00%",(T9-P9)/P9)</f>
        <v>0</v>
      </c>
      <c r="T9" s="3">
        <f>P9</f>
        <v>96762.48</v>
      </c>
      <c r="U9" s="39" t="s">
        <v>174</v>
      </c>
      <c r="W9" s="83">
        <f>IF(T9=0,"0.00%",(X9-T9)/T9)</f>
        <v>0</v>
      </c>
      <c r="X9" s="3">
        <f>T9</f>
        <v>96762.48</v>
      </c>
      <c r="Y9" s="39" t="s">
        <v>174</v>
      </c>
      <c r="AA9" s="83">
        <f>IF(X9=0,"0.00%",(AB9-X9)/X9)</f>
        <v>0</v>
      </c>
      <c r="AB9" s="3">
        <f>X9</f>
        <v>96762.48</v>
      </c>
      <c r="AC9" s="39" t="s">
        <v>174</v>
      </c>
    </row>
    <row r="10" spans="1:29" x14ac:dyDescent="0.25">
      <c r="C10" s="857" t="s">
        <v>51</v>
      </c>
      <c r="D10" s="2">
        <v>37453.199999999997</v>
      </c>
      <c r="G10" s="83">
        <f t="shared" ref="G10:G15" si="0">IF(D10=0,"0.00%",(H10-D10)/D10)</f>
        <v>-1</v>
      </c>
      <c r="H10" s="3">
        <v>0</v>
      </c>
      <c r="I10" s="857"/>
      <c r="J10" s="61"/>
      <c r="K10" s="83" t="str">
        <f>IF(H10=0,"0.00%",(L10-H10)/H10)</f>
        <v>0.00%</v>
      </c>
      <c r="L10" s="3">
        <f>+L2</f>
        <v>21108.52</v>
      </c>
      <c r="M10" s="857" t="s">
        <v>997</v>
      </c>
      <c r="O10" s="83">
        <f>IF(L10=0,"0.00%",(P10-L10)/L10)</f>
        <v>3.8562627792000578E-2</v>
      </c>
      <c r="P10" s="3">
        <f>+P2</f>
        <v>21922.52</v>
      </c>
      <c r="Q10" s="857" t="s">
        <v>997</v>
      </c>
      <c r="S10" s="83">
        <f>IF(P10=0,"0.00%",(T10-P10)/P10)</f>
        <v>-2</v>
      </c>
      <c r="T10" s="3">
        <f>-P2</f>
        <v>-21922.52</v>
      </c>
      <c r="W10" s="83">
        <f>IF(T10=0,"0.00%",(X10-T10)/T10)</f>
        <v>-1</v>
      </c>
      <c r="X10" s="3">
        <f>-T2</f>
        <v>0</v>
      </c>
      <c r="AA10" s="83" t="str">
        <f>IF(X10=0,"0.00%",(AB10-X10)/X10)</f>
        <v>0.00%</v>
      </c>
      <c r="AB10" s="3">
        <f>-X2</f>
        <v>0</v>
      </c>
    </row>
    <row r="11" spans="1:29" x14ac:dyDescent="0.25">
      <c r="B11" s="936" t="s">
        <v>137</v>
      </c>
      <c r="D11" s="8">
        <f>SUM(D9:D10)</f>
        <v>142850.68</v>
      </c>
      <c r="G11" s="83">
        <f t="shared" si="0"/>
        <v>-0.22960814747259153</v>
      </c>
      <c r="H11" s="8">
        <f>SUM(H9:H10)</f>
        <v>110051.00000000001</v>
      </c>
      <c r="I11" s="1292">
        <f>+H11-D11</f>
        <v>-32799.679999999978</v>
      </c>
      <c r="J11" s="62"/>
      <c r="K11" s="83">
        <f>IF(H11=0,"0.00%",(L11-H11)/H11)</f>
        <v>3.7864262932640183E-2</v>
      </c>
      <c r="L11" s="8">
        <f>SUM(L9:L10)</f>
        <v>114218</v>
      </c>
      <c r="M11" s="1292">
        <f>+L11-H11</f>
        <v>4166.9999999999854</v>
      </c>
      <c r="O11" s="83">
        <f>IF(L11=0,"0.00%",(P11-L11)/L11)</f>
        <v>3.9109422332732145E-2</v>
      </c>
      <c r="P11" s="8">
        <f>SUM(P9:P10)</f>
        <v>118685</v>
      </c>
      <c r="Q11" s="1292">
        <f>+P11-L11</f>
        <v>4467</v>
      </c>
      <c r="S11" s="83">
        <f>IF(P11=0,"0.00%",(T11-P11)/P11)</f>
        <v>-0.36942360028647264</v>
      </c>
      <c r="T11" s="78">
        <f>SUM(T9:T10)</f>
        <v>74839.959999999992</v>
      </c>
      <c r="W11" s="83">
        <f>IF(T11=0,"0.00%",(X11-T11)/T11)</f>
        <v>0.29292533026474099</v>
      </c>
      <c r="X11" s="78">
        <f>SUM(X9:X10)</f>
        <v>96762.48</v>
      </c>
      <c r="AA11" s="83">
        <f>IF(X11=0,"0.00%",(AB11-X11)/X11)</f>
        <v>0</v>
      </c>
      <c r="AB11" s="78">
        <f>SUM(AB9:AB10)</f>
        <v>96762.48</v>
      </c>
    </row>
    <row r="12" spans="1:29" x14ac:dyDescent="0.25">
      <c r="H12" s="3"/>
      <c r="I12" s="857"/>
      <c r="J12" s="63"/>
      <c r="K12" s="52"/>
      <c r="L12" s="3"/>
      <c r="O12" s="52"/>
      <c r="P12" s="3"/>
      <c r="S12" s="46"/>
      <c r="T12" s="44"/>
      <c r="W12" s="46"/>
      <c r="X12" s="44"/>
      <c r="AA12" s="46"/>
      <c r="AB12" s="44"/>
    </row>
    <row r="13" spans="1:29" x14ac:dyDescent="0.25">
      <c r="C13" s="938" t="s">
        <v>64</v>
      </c>
      <c r="D13" s="9">
        <f>ROUND(D11-(D11/(1+E13)),2)</f>
        <v>2800.99</v>
      </c>
      <c r="E13" s="1032">
        <v>0.02</v>
      </c>
      <c r="G13" s="83">
        <f t="shared" si="0"/>
        <v>-0.22955812052167263</v>
      </c>
      <c r="H13" s="9">
        <f>ROUND(H11-(H11/(1+I13)),0)</f>
        <v>2158</v>
      </c>
      <c r="I13" s="1069">
        <f>+E13</f>
        <v>0.02</v>
      </c>
      <c r="J13" s="64"/>
      <c r="K13" s="83">
        <f>IF(H13=0,"0.00%",(L13-H13)/H13)</f>
        <v>3.7998146431881374E-2</v>
      </c>
      <c r="L13" s="9">
        <f>ROUND(L11-(L11/(1+M13)),0)</f>
        <v>2240</v>
      </c>
      <c r="M13" s="1069">
        <f>+I13</f>
        <v>0.02</v>
      </c>
      <c r="O13" s="83">
        <f>IF(L13=0,"0.00%",(P13-L13)/L13)</f>
        <v>3.8839285714285715E-2</v>
      </c>
      <c r="P13" s="9">
        <f>ROUND(P11-(P11/(1+Q13)),0)</f>
        <v>2327</v>
      </c>
      <c r="Q13" s="1069">
        <f>+M13</f>
        <v>0.02</v>
      </c>
      <c r="S13" s="83">
        <f>IF(P13=0,"0.00%",(T13-P13)/P13)</f>
        <v>-0.36957455951869361</v>
      </c>
      <c r="T13" s="77">
        <f>ROUND(T11-(T11/(1+E13)),0)</f>
        <v>1467</v>
      </c>
      <c r="W13" s="83">
        <f>IF(T13=0,"0.00%",(X13-T13)/T13)</f>
        <v>0.29311520109066119</v>
      </c>
      <c r="X13" s="77">
        <f>ROUND(X11-(X11/(1+E13)),0)</f>
        <v>1897</v>
      </c>
      <c r="AA13" s="83">
        <f>IF(X13=0,"0.00%",(AB13-X13)/X13)</f>
        <v>-16.19820769636268</v>
      </c>
      <c r="AB13" s="77">
        <f>ROUND(AB11-(AB11/(1+G13)),0)</f>
        <v>-28831</v>
      </c>
    </row>
    <row r="14" spans="1:29" x14ac:dyDescent="0.25">
      <c r="H14" s="3"/>
      <c r="I14" s="857"/>
      <c r="J14" s="63"/>
      <c r="K14" s="52"/>
      <c r="L14" s="3"/>
      <c r="O14" s="52"/>
      <c r="P14" s="3"/>
      <c r="S14" s="46"/>
      <c r="T14" s="44"/>
      <c r="W14" s="46"/>
      <c r="X14" s="44"/>
      <c r="AA14" s="46"/>
      <c r="AB14" s="44"/>
    </row>
    <row r="15" spans="1:29" x14ac:dyDescent="0.25">
      <c r="B15" s="936" t="s">
        <v>50</v>
      </c>
      <c r="D15" s="10">
        <f>D11-D13</f>
        <v>140049.69</v>
      </c>
      <c r="G15" s="83">
        <f t="shared" si="0"/>
        <v>-0.22960914801025256</v>
      </c>
      <c r="H15" s="9">
        <f>H11-H13</f>
        <v>107893.00000000001</v>
      </c>
      <c r="I15" s="1292">
        <f>+H15-D15</f>
        <v>-32156.689999999988</v>
      </c>
      <c r="J15" s="62"/>
      <c r="K15" s="83">
        <f>IF(H15=0,"0.00%",(L15-H15)/H15)</f>
        <v>3.7861585088930561E-2</v>
      </c>
      <c r="L15" s="9">
        <f>L11-L13</f>
        <v>111978</v>
      </c>
      <c r="M15" s="1292">
        <f>+L15-H15</f>
        <v>4084.9999999999854</v>
      </c>
      <c r="O15" s="83">
        <f>IF(L15=0,"0.00%",(P15-L15)/L15)</f>
        <v>3.9114826126560573E-2</v>
      </c>
      <c r="P15" s="9">
        <f>P11-P13</f>
        <v>116358</v>
      </c>
      <c r="Q15" s="1292">
        <f>+P15-L15</f>
        <v>4380</v>
      </c>
      <c r="S15" s="83">
        <f>IF(P15=0,"0.00%",(T15-P15)/P15)</f>
        <v>-0.36942058130940725</v>
      </c>
      <c r="T15" s="19">
        <f>T11-T13</f>
        <v>73372.959999999992</v>
      </c>
      <c r="W15" s="83">
        <f>IF(T15=0,"0.00%",(X15-T15)/T15)</f>
        <v>0.29292153403651711</v>
      </c>
      <c r="X15" s="19">
        <f>X11-X13</f>
        <v>94865.48</v>
      </c>
      <c r="AA15" s="83">
        <f>IF(X15=0,"0.00%",(AB15-X15)/X15)</f>
        <v>0.32391128996553858</v>
      </c>
      <c r="AB15" s="19">
        <f>AB11-AB13</f>
        <v>125593.48</v>
      </c>
    </row>
    <row r="16" spans="1:29" x14ac:dyDescent="0.25">
      <c r="H16" s="3"/>
      <c r="I16" s="857"/>
      <c r="J16" s="62"/>
      <c r="L16" s="3"/>
      <c r="P16" s="3"/>
      <c r="T16" s="49"/>
      <c r="X16" s="49"/>
      <c r="AB16" s="49"/>
    </row>
    <row r="17" spans="1:29" x14ac:dyDescent="0.25">
      <c r="C17" s="930"/>
      <c r="H17" s="3"/>
      <c r="I17" s="857"/>
      <c r="J17" s="63"/>
      <c r="L17" s="3"/>
      <c r="P17" s="3"/>
      <c r="T17" s="44"/>
      <c r="X17" s="44"/>
      <c r="AB17" s="44"/>
    </row>
    <row r="18" spans="1:29" x14ac:dyDescent="0.25">
      <c r="A18" s="32"/>
      <c r="D18" s="29" t="s">
        <v>826</v>
      </c>
      <c r="E18" s="929"/>
      <c r="F18" s="32"/>
      <c r="H18" s="29" t="s">
        <v>177</v>
      </c>
      <c r="I18" s="859"/>
      <c r="J18" s="65"/>
      <c r="M18" s="859"/>
      <c r="Q18" s="859"/>
      <c r="U18" s="32"/>
      <c r="Y18" s="32"/>
      <c r="AC18" s="32"/>
    </row>
    <row r="19" spans="1:29" ht="17.25" x14ac:dyDescent="0.4">
      <c r="A19" s="79"/>
      <c r="D19" s="35" t="s">
        <v>827</v>
      </c>
      <c r="E19" s="860"/>
      <c r="F19" s="34"/>
      <c r="H19" s="35" t="s">
        <v>48</v>
      </c>
      <c r="I19" s="1003"/>
      <c r="J19" s="29"/>
      <c r="L19" s="14" t="s">
        <v>48</v>
      </c>
      <c r="M19" s="1003">
        <v>0.02</v>
      </c>
      <c r="P19" s="14" t="s">
        <v>48</v>
      </c>
      <c r="Q19" s="1003">
        <v>0.02</v>
      </c>
      <c r="T19" s="14" t="s">
        <v>48</v>
      </c>
      <c r="U19" s="104">
        <v>0.02</v>
      </c>
      <c r="X19" s="14" t="s">
        <v>48</v>
      </c>
      <c r="Y19" s="104">
        <v>0.02</v>
      </c>
      <c r="AB19" s="14" t="s">
        <v>48</v>
      </c>
      <c r="AC19" s="104">
        <v>0.02</v>
      </c>
    </row>
    <row r="20" spans="1:29" s="13" customFormat="1" x14ac:dyDescent="0.25">
      <c r="A20" s="58"/>
      <c r="B20" s="936" t="s">
        <v>46</v>
      </c>
      <c r="C20" s="938"/>
      <c r="D20" s="10"/>
      <c r="E20" s="861"/>
      <c r="F20" s="10"/>
      <c r="G20" s="372"/>
      <c r="H20" s="10"/>
      <c r="I20" s="864"/>
      <c r="J20" s="57"/>
      <c r="K20" s="379"/>
      <c r="L20" s="10"/>
      <c r="M20" s="947"/>
      <c r="O20" s="379"/>
      <c r="P20" s="10"/>
      <c r="Q20" s="947"/>
      <c r="R20" s="111"/>
      <c r="T20" s="10"/>
      <c r="U20" s="74"/>
      <c r="X20" s="10"/>
      <c r="Y20" s="74"/>
      <c r="AB20" s="10"/>
      <c r="AC20" s="74"/>
    </row>
    <row r="21" spans="1:29" x14ac:dyDescent="0.25">
      <c r="A21" s="61"/>
      <c r="B21" s="939" t="s">
        <v>37</v>
      </c>
      <c r="C21" s="857" t="s">
        <v>36</v>
      </c>
      <c r="D21" s="2">
        <v>110605.9</v>
      </c>
      <c r="E21" s="862" t="s">
        <v>734</v>
      </c>
      <c r="F21" s="2"/>
      <c r="G21" s="83">
        <f t="shared" ref="G21:G30" si="1">IF(D21=0,"0.00%",(H21-D21)/D21)</f>
        <v>-0.25075425451987637</v>
      </c>
      <c r="H21" s="2">
        <v>82871</v>
      </c>
      <c r="I21" s="854"/>
      <c r="J21" s="66"/>
      <c r="K21" s="83">
        <f t="shared" ref="K21:K28" si="2">IF(H21=0,"0.00%",(L21-H21)/H21)</f>
        <v>1.999493188208179E-2</v>
      </c>
      <c r="L21" s="2">
        <f>ROUND(H21*(1+M19),0)</f>
        <v>84528</v>
      </c>
      <c r="M21" s="871" t="str">
        <f>TEXT(M19,"0.0%")&amp;" = Est. S &amp; C"</f>
        <v>2.0% = Est. S &amp; C</v>
      </c>
      <c r="O21" s="83">
        <f t="shared" ref="O21:O28" si="3">IF(L21=0,"0.00%",(P21-L21)/L21)</f>
        <v>2.0005205375733484E-2</v>
      </c>
      <c r="P21" s="2">
        <f>ROUND(L21*(1+Q19),0)</f>
        <v>86219</v>
      </c>
      <c r="Q21" s="871" t="str">
        <f>TEXT(Q19,"0.0%")&amp;" = Est. S &amp; C"</f>
        <v>2.0% = Est. S &amp; C</v>
      </c>
      <c r="S21" s="83">
        <f t="shared" ref="S21:S28" si="4">IF(P21=0,"0.00%",(T21-P21)/P21)</f>
        <v>1.9995592618796319E-2</v>
      </c>
      <c r="T21" s="2">
        <f>ROUND(P21*(1+U19),0)</f>
        <v>87943</v>
      </c>
      <c r="U21" s="36" t="str">
        <f>TEXT(U19,"0.0%")&amp;" = Est. S &amp; C"</f>
        <v>2.0% = Est. S &amp; C</v>
      </c>
      <c r="W21" s="83">
        <f t="shared" ref="W21:W28" si="5">IF(T21=0,"0.00%",(X21-T21)/T21)</f>
        <v>2.0001591940234015E-2</v>
      </c>
      <c r="X21" s="2">
        <f>ROUND(T21*(1+Y19),0)</f>
        <v>89702</v>
      </c>
      <c r="Y21" s="36" t="str">
        <f>TEXT(Y19,"0.0%")&amp;" = Est. S &amp; C"</f>
        <v>2.0% = Est. S &amp; C</v>
      </c>
      <c r="AA21" s="83">
        <f t="shared" ref="AA21:AA28" si="6">IF(X21=0,"0.00%",(AB21-X21)/X21)</f>
        <v>1.9999554079061781E-2</v>
      </c>
      <c r="AB21" s="2">
        <f>ROUND(X21*(1+AC19),0)</f>
        <v>91496</v>
      </c>
      <c r="AC21" s="36" t="str">
        <f>TEXT(AC19,"0.0%")&amp;" = Est. S &amp; C"</f>
        <v>2.0% = Est. S &amp; C</v>
      </c>
    </row>
    <row r="22" spans="1:29" hidden="1" x14ac:dyDescent="0.25">
      <c r="A22" s="61"/>
      <c r="B22" s="939"/>
      <c r="E22" s="862"/>
      <c r="F22" s="2"/>
      <c r="G22" s="83"/>
      <c r="H22" s="2"/>
      <c r="I22" s="871"/>
      <c r="J22" s="66"/>
      <c r="K22" s="83"/>
      <c r="L22" s="2"/>
      <c r="M22" s="871"/>
      <c r="O22" s="83"/>
      <c r="Q22" s="871"/>
      <c r="S22" s="83"/>
      <c r="T22" s="2"/>
      <c r="U22" s="36"/>
      <c r="W22" s="83"/>
      <c r="X22" s="2"/>
      <c r="Y22" s="36"/>
      <c r="AA22" s="83"/>
      <c r="AB22" s="2"/>
      <c r="AC22" s="36"/>
    </row>
    <row r="23" spans="1:29" x14ac:dyDescent="0.25">
      <c r="A23" s="66"/>
      <c r="B23" s="939"/>
      <c r="D23" s="2">
        <v>0</v>
      </c>
      <c r="E23" s="862" t="s">
        <v>735</v>
      </c>
      <c r="F23" s="2"/>
      <c r="G23" s="83" t="str">
        <f t="shared" si="1"/>
        <v>0.00%</v>
      </c>
      <c r="H23" s="108">
        <v>0</v>
      </c>
      <c r="I23" s="959"/>
      <c r="J23" s="66"/>
      <c r="K23" s="83" t="str">
        <f t="shared" si="2"/>
        <v>0.00%</v>
      </c>
      <c r="L23" s="1293">
        <v>0</v>
      </c>
      <c r="M23" s="1294" t="s">
        <v>733</v>
      </c>
      <c r="O23" s="83" t="str">
        <f t="shared" si="3"/>
        <v>0.00%</v>
      </c>
      <c r="P23" s="1293">
        <v>0</v>
      </c>
      <c r="Q23" s="1294" t="str">
        <f>+M23</f>
        <v>Inst. Coaches  to RS 3010</v>
      </c>
      <c r="S23" s="83" t="str">
        <f t="shared" si="4"/>
        <v>0.00%</v>
      </c>
      <c r="T23" s="2">
        <f>ROUND(P23*(1+U19),0)</f>
        <v>0</v>
      </c>
      <c r="U23" s="36" t="str">
        <f>TEXT(U19,"0.0%")&amp;" = Est. S &amp; C"</f>
        <v>2.0% = Est. S &amp; C</v>
      </c>
      <c r="W23" s="83" t="str">
        <f t="shared" si="5"/>
        <v>0.00%</v>
      </c>
      <c r="X23" s="2">
        <f>ROUND(T23*(1+Y19),0)</f>
        <v>0</v>
      </c>
      <c r="Y23" s="36" t="str">
        <f>TEXT(Y19,"0.0%")&amp;" = Est. S &amp; C"</f>
        <v>2.0% = Est. S &amp; C</v>
      </c>
      <c r="AA23" s="83" t="str">
        <f t="shared" si="6"/>
        <v>0.00%</v>
      </c>
      <c r="AB23" s="2">
        <f>ROUND(X23*(1+AC19),0)</f>
        <v>0</v>
      </c>
      <c r="AC23" s="36" t="str">
        <f>TEXT(AC19,"0.0%")&amp;" = Est. S &amp; C"</f>
        <v>2.0% = Est. S &amp; C</v>
      </c>
    </row>
    <row r="24" spans="1:29" hidden="1" x14ac:dyDescent="0.25">
      <c r="A24" s="66"/>
      <c r="B24" s="939"/>
      <c r="D24" s="2">
        <v>0</v>
      </c>
      <c r="E24" s="862"/>
      <c r="F24" s="2"/>
      <c r="G24" s="83" t="str">
        <f t="shared" si="1"/>
        <v>0.00%</v>
      </c>
      <c r="H24" s="2">
        <v>0</v>
      </c>
      <c r="I24" s="871" t="str">
        <f>TEXT($I$19,"0.0%")&amp;" = Est. S &amp; C"</f>
        <v>0.0% = Est. S &amp; C</v>
      </c>
      <c r="J24" s="66"/>
      <c r="K24" s="83" t="str">
        <f t="shared" si="2"/>
        <v>0.00%</v>
      </c>
      <c r="L24" s="2">
        <f>ROUND(H24*(1+M19),0)</f>
        <v>0</v>
      </c>
      <c r="M24" s="871" t="str">
        <f>TEXT(M19,"0.0%")&amp;" = Est. S &amp; C"</f>
        <v>2.0% = Est. S &amp; C</v>
      </c>
      <c r="O24" s="83" t="str">
        <f t="shared" si="3"/>
        <v>0.00%</v>
      </c>
      <c r="P24" s="321">
        <f>ROUND(L24*(1+Q19),0)</f>
        <v>0</v>
      </c>
      <c r="Q24" s="971" t="str">
        <f>TEXT(Q19,"0.0%")&amp;" = Est. S &amp; C"</f>
        <v>2.0% = Est. S &amp; C</v>
      </c>
      <c r="S24" s="83" t="str">
        <f t="shared" si="4"/>
        <v>0.00%</v>
      </c>
      <c r="T24" s="2">
        <f>ROUND(P24*(1+U19),0)</f>
        <v>0</v>
      </c>
      <c r="U24" s="36" t="str">
        <f>TEXT(U19,"0.0%")&amp;" = Est. S &amp; C"</f>
        <v>2.0% = Est. S &amp; C</v>
      </c>
      <c r="W24" s="83" t="str">
        <f t="shared" si="5"/>
        <v>0.00%</v>
      </c>
      <c r="X24" s="2">
        <f>ROUND(T24*(1+Y19),0)</f>
        <v>0</v>
      </c>
      <c r="Y24" s="36" t="str">
        <f>TEXT(Y19,"0.0%")&amp;" = Est. S &amp; C"</f>
        <v>2.0% = Est. S &amp; C</v>
      </c>
      <c r="AA24" s="83" t="str">
        <f t="shared" si="6"/>
        <v>0.00%</v>
      </c>
      <c r="AB24" s="2">
        <f>ROUND(X24*(1+AC19),0)</f>
        <v>0</v>
      </c>
      <c r="AC24" s="36" t="str">
        <f>TEXT(AC19,"0.0%")&amp;" = Est. S &amp; C"</f>
        <v>2.0% = Est. S &amp; C</v>
      </c>
    </row>
    <row r="25" spans="1:29" hidden="1" x14ac:dyDescent="0.25">
      <c r="A25" s="66"/>
      <c r="B25" s="939"/>
      <c r="D25" s="2">
        <v>0</v>
      </c>
      <c r="E25" s="862"/>
      <c r="F25" s="2"/>
      <c r="G25" s="83" t="str">
        <f t="shared" si="1"/>
        <v>0.00%</v>
      </c>
      <c r="H25" s="2">
        <f>ROUND(D25*(1+$I$19),0)</f>
        <v>0</v>
      </c>
      <c r="I25" s="871" t="str">
        <f>TEXT($I$19,"0.0%")&amp;" = Est. S &amp; C"</f>
        <v>0.0% = Est. S &amp; C</v>
      </c>
      <c r="J25" s="66"/>
      <c r="K25" s="83" t="str">
        <f t="shared" si="2"/>
        <v>0.00%</v>
      </c>
      <c r="L25" s="2">
        <f>ROUND(H25*(1+M19),0)</f>
        <v>0</v>
      </c>
      <c r="M25" s="871" t="str">
        <f>TEXT(M19,"0.0%")&amp;" = Est. S &amp; C"</f>
        <v>2.0% = Est. S &amp; C</v>
      </c>
      <c r="O25" s="83" t="str">
        <f t="shared" si="3"/>
        <v>0.00%</v>
      </c>
      <c r="P25" s="321">
        <f>ROUND(L25*(1+Q19),0)</f>
        <v>0</v>
      </c>
      <c r="Q25" s="971" t="str">
        <f>TEXT(Q19,"0.0%")&amp;" = Est. S &amp; C"</f>
        <v>2.0% = Est. S &amp; C</v>
      </c>
      <c r="S25" s="83" t="str">
        <f t="shared" si="4"/>
        <v>0.00%</v>
      </c>
      <c r="T25" s="2">
        <f>ROUND(P25*(1+U19),0)</f>
        <v>0</v>
      </c>
      <c r="U25" s="36" t="str">
        <f>TEXT(U19,"0.0%")&amp;" = Est. S &amp; C"</f>
        <v>2.0% = Est. S &amp; C</v>
      </c>
      <c r="W25" s="83" t="str">
        <f t="shared" si="5"/>
        <v>0.00%</v>
      </c>
      <c r="X25" s="2">
        <f>ROUND(T25*(1+Y19),0)</f>
        <v>0</v>
      </c>
      <c r="Y25" s="36" t="str">
        <f>TEXT(Y19,"0.0%")&amp;" = Est. S &amp; C"</f>
        <v>2.0% = Est. S &amp; C</v>
      </c>
      <c r="AA25" s="83" t="str">
        <f t="shared" si="6"/>
        <v>0.00%</v>
      </c>
      <c r="AB25" s="2">
        <f>ROUND(X25*(1+AC19),0)</f>
        <v>0</v>
      </c>
      <c r="AC25" s="36" t="str">
        <f>TEXT(AC19,"0.0%")&amp;" = Est. S &amp; C"</f>
        <v>2.0% = Est. S &amp; C</v>
      </c>
    </row>
    <row r="26" spans="1:29" hidden="1" x14ac:dyDescent="0.25">
      <c r="A26" s="66"/>
      <c r="B26" s="939"/>
      <c r="D26" s="2">
        <v>0</v>
      </c>
      <c r="E26" s="862"/>
      <c r="F26" s="2"/>
      <c r="G26" s="83" t="str">
        <f t="shared" si="1"/>
        <v>0.00%</v>
      </c>
      <c r="H26" s="2">
        <f>ROUND(D26*(1+$I$19),0)</f>
        <v>0</v>
      </c>
      <c r="I26" s="871" t="str">
        <f>TEXT($I$19,"0.0%")&amp;" = Est. S &amp; C"</f>
        <v>0.0% = Est. S &amp; C</v>
      </c>
      <c r="J26" s="66"/>
      <c r="K26" s="83" t="str">
        <f t="shared" si="2"/>
        <v>0.00%</v>
      </c>
      <c r="L26" s="2">
        <f>ROUND(H26*(1+M19),0)</f>
        <v>0</v>
      </c>
      <c r="M26" s="382" t="str">
        <f>TEXT(M19,"0.0%")&amp;" = Est. S &amp; C"</f>
        <v>2.0% = Est. S &amp; C</v>
      </c>
      <c r="O26" s="83" t="str">
        <f t="shared" si="3"/>
        <v>0.00%</v>
      </c>
      <c r="P26" s="321">
        <f>ROUND(L26*(1+Q19),0)</f>
        <v>0</v>
      </c>
      <c r="Q26" s="971" t="str">
        <f>TEXT(Q19,"0.0%")&amp;" = Est. S &amp; C"</f>
        <v>2.0% = Est. S &amp; C</v>
      </c>
      <c r="S26" s="83" t="str">
        <f t="shared" si="4"/>
        <v>0.00%</v>
      </c>
      <c r="T26" s="2">
        <f>ROUND(P26*(1+U19),0)</f>
        <v>0</v>
      </c>
      <c r="U26" s="36" t="str">
        <f>TEXT(U19,"0.0%")&amp;" = Est. S &amp; C"</f>
        <v>2.0% = Est. S &amp; C</v>
      </c>
      <c r="W26" s="83" t="str">
        <f t="shared" si="5"/>
        <v>0.00%</v>
      </c>
      <c r="X26" s="2">
        <f>ROUND(T26*(1+Y19),0)</f>
        <v>0</v>
      </c>
      <c r="Y26" s="36" t="str">
        <f>TEXT(Y19,"0.0%")&amp;" = Est. S &amp; C"</f>
        <v>2.0% = Est. S &amp; C</v>
      </c>
      <c r="AA26" s="83" t="str">
        <f t="shared" si="6"/>
        <v>0.00%</v>
      </c>
      <c r="AB26" s="2">
        <f>ROUND(X26*(1+AC19),0)</f>
        <v>0</v>
      </c>
      <c r="AC26" s="36" t="str">
        <f>TEXT(AC19,"0.0%")&amp;" = Est. S &amp; C"</f>
        <v>2.0% = Est. S &amp; C</v>
      </c>
    </row>
    <row r="27" spans="1:29" hidden="1" x14ac:dyDescent="0.25">
      <c r="A27" s="66"/>
      <c r="B27" s="939"/>
      <c r="D27" s="2">
        <v>0</v>
      </c>
      <c r="E27" s="862"/>
      <c r="F27" s="2"/>
      <c r="G27" s="83" t="str">
        <f t="shared" si="1"/>
        <v>0.00%</v>
      </c>
      <c r="H27" s="2">
        <f>ROUND(D27*(1+$I$19),0)</f>
        <v>0</v>
      </c>
      <c r="I27" s="871" t="str">
        <f>TEXT($I$19,"0.0%")&amp;" = Est. S &amp; C"</f>
        <v>0.0% = Est. S &amp; C</v>
      </c>
      <c r="J27" s="66"/>
      <c r="K27" s="83" t="str">
        <f t="shared" si="2"/>
        <v>0.00%</v>
      </c>
      <c r="L27" s="2">
        <f>ROUND(H27*(1+M19),0)</f>
        <v>0</v>
      </c>
      <c r="M27" s="871" t="str">
        <f>TEXT(M19,"0.0%")&amp;" = Est. S &amp; C"</f>
        <v>2.0% = Est. S &amp; C</v>
      </c>
      <c r="O27" s="83" t="str">
        <f t="shared" si="3"/>
        <v>0.00%</v>
      </c>
      <c r="P27" s="321">
        <f>ROUND(L27*(1+Q19),0)</f>
        <v>0</v>
      </c>
      <c r="Q27" s="971" t="str">
        <f>TEXT(Q19,"0.0%")&amp;" = Est. S &amp; C"</f>
        <v>2.0% = Est. S &amp; C</v>
      </c>
      <c r="S27" s="83" t="str">
        <f t="shared" si="4"/>
        <v>0.00%</v>
      </c>
      <c r="T27" s="2">
        <f>ROUND(P27*(1+U19),0)</f>
        <v>0</v>
      </c>
      <c r="U27" s="36" t="str">
        <f>TEXT(U19,"0.0%")&amp;" = Est. S &amp; C"</f>
        <v>2.0% = Est. S &amp; C</v>
      </c>
      <c r="W27" s="83" t="str">
        <f t="shared" si="5"/>
        <v>0.00%</v>
      </c>
      <c r="X27" s="2">
        <f>ROUND(T27*(1+Y19),0)</f>
        <v>0</v>
      </c>
      <c r="Y27" s="36" t="str">
        <f>TEXT(Y19,"0.0%")&amp;" = Est. S &amp; C"</f>
        <v>2.0% = Est. S &amp; C</v>
      </c>
      <c r="AA27" s="83" t="str">
        <f t="shared" si="6"/>
        <v>0.00%</v>
      </c>
      <c r="AB27" s="2">
        <f>ROUND(X27*(1+AC19),0)</f>
        <v>0</v>
      </c>
      <c r="AC27" s="36" t="str">
        <f>TEXT(AC19,"0.0%")&amp;" = Est. S &amp; C"</f>
        <v>2.0% = Est. S &amp; C</v>
      </c>
    </row>
    <row r="28" spans="1:29" hidden="1" x14ac:dyDescent="0.25">
      <c r="A28" s="66"/>
      <c r="B28" s="939"/>
      <c r="D28" s="2">
        <v>0</v>
      </c>
      <c r="E28" s="862"/>
      <c r="F28" s="2"/>
      <c r="G28" s="83" t="str">
        <f t="shared" si="1"/>
        <v>0.00%</v>
      </c>
      <c r="H28" s="2">
        <f>ROUND(D28*(1+$I$19),0)</f>
        <v>0</v>
      </c>
      <c r="I28" s="871" t="str">
        <f>TEXT($I$19,"0.0%")&amp;" = Est. S &amp; C"</f>
        <v>0.0% = Est. S &amp; C</v>
      </c>
      <c r="J28" s="66"/>
      <c r="K28" s="83" t="str">
        <f t="shared" si="2"/>
        <v>0.00%</v>
      </c>
      <c r="L28" s="2">
        <f>ROUND(H28*(1+M19),0)</f>
        <v>0</v>
      </c>
      <c r="M28" s="871" t="str">
        <f>TEXT(M19,"0.0%")&amp;" = Est. S &amp; C"</f>
        <v>2.0% = Est. S &amp; C</v>
      </c>
      <c r="O28" s="83" t="str">
        <f t="shared" si="3"/>
        <v>0.00%</v>
      </c>
      <c r="P28" s="321">
        <f>ROUND(L28*(1+Q19),0)</f>
        <v>0</v>
      </c>
      <c r="Q28" s="971" t="str">
        <f>TEXT(Q19,"0.0%")&amp;" = Est. S &amp; C"</f>
        <v>2.0% = Est. S &amp; C</v>
      </c>
      <c r="S28" s="83" t="str">
        <f t="shared" si="4"/>
        <v>0.00%</v>
      </c>
      <c r="T28" s="2">
        <f>ROUND(P28*(1+U19),0)</f>
        <v>0</v>
      </c>
      <c r="U28" s="36" t="str">
        <f>TEXT(U19,"0.0%")&amp;" = Est. S &amp; C"</f>
        <v>2.0% = Est. S &amp; C</v>
      </c>
      <c r="W28" s="83" t="str">
        <f t="shared" si="5"/>
        <v>0.00%</v>
      </c>
      <c r="X28" s="2">
        <f>ROUND(T28*(1+Y19),0)</f>
        <v>0</v>
      </c>
      <c r="Y28" s="36" t="str">
        <f>TEXT(Y19,"0.0%")&amp;" = Est. S &amp; C"</f>
        <v>2.0% = Est. S &amp; C</v>
      </c>
      <c r="AA28" s="83" t="str">
        <f t="shared" si="6"/>
        <v>0.00%</v>
      </c>
      <c r="AB28" s="2">
        <f>ROUND(X28*(1+AC19),0)</f>
        <v>0</v>
      </c>
      <c r="AC28" s="36" t="str">
        <f>TEXT(AC19,"0.0%")&amp;" = Est. S &amp; C"</f>
        <v>2.0% = Est. S &amp; C</v>
      </c>
    </row>
    <row r="29" spans="1:29" ht="6" hidden="1" customHeight="1" x14ac:dyDescent="0.25">
      <c r="A29" s="66"/>
      <c r="B29" s="939"/>
      <c r="E29" s="862"/>
      <c r="F29" s="2"/>
      <c r="G29" s="83"/>
      <c r="H29" s="2"/>
      <c r="I29" s="871"/>
      <c r="J29" s="66"/>
      <c r="L29" s="2"/>
      <c r="M29" s="948"/>
      <c r="P29" s="321"/>
      <c r="Q29" s="972"/>
      <c r="T29" s="2"/>
      <c r="U29" s="73"/>
      <c r="X29" s="2"/>
      <c r="Y29" s="73"/>
      <c r="AB29" s="2"/>
      <c r="AC29" s="73"/>
    </row>
    <row r="30" spans="1:29" x14ac:dyDescent="0.25">
      <c r="A30" s="29"/>
      <c r="B30" s="939"/>
      <c r="D30" s="8">
        <f>SUM(D21:D29)</f>
        <v>110605.9</v>
      </c>
      <c r="E30" s="862" t="s">
        <v>736</v>
      </c>
      <c r="F30" s="2"/>
      <c r="G30" s="83">
        <f t="shared" si="1"/>
        <v>-0.25075425451987637</v>
      </c>
      <c r="H30" s="8">
        <f>SUM(H21:H29)</f>
        <v>82871</v>
      </c>
      <c r="I30" s="1292">
        <f>+H30-D30</f>
        <v>-27734.899999999994</v>
      </c>
      <c r="J30" s="29"/>
      <c r="K30" s="83">
        <f>IF(H30=0,"0.00%",(L30-H30)/H30)</f>
        <v>1.999493188208179E-2</v>
      </c>
      <c r="L30" s="8">
        <f>SUM(L21:L29)</f>
        <v>84528</v>
      </c>
      <c r="M30" s="1292">
        <f>+L30-H30</f>
        <v>1657</v>
      </c>
      <c r="O30" s="83">
        <f>IF(L30=0,"0.00%",(P30-L30)/L30)</f>
        <v>2.0005205375733484E-2</v>
      </c>
      <c r="P30" s="8">
        <f>SUM(P21:P29)</f>
        <v>86219</v>
      </c>
      <c r="Q30" s="2006">
        <f>+P30-L30</f>
        <v>1691</v>
      </c>
      <c r="S30" s="83">
        <f>IF(P30=0,"0.00%",(T30-P30)/P30)</f>
        <v>1.9995592618796319E-2</v>
      </c>
      <c r="T30" s="8">
        <f>SUM(T21:T29)</f>
        <v>87943</v>
      </c>
      <c r="U30" s="73"/>
      <c r="W30" s="83">
        <f>IF(T30=0,"0.00%",(X30-T30)/T30)</f>
        <v>2.0001591940234015E-2</v>
      </c>
      <c r="X30" s="8">
        <f>SUM(X21:X29)</f>
        <v>89702</v>
      </c>
      <c r="Y30" s="73"/>
      <c r="AA30" s="83">
        <f>IF(X30=0,"0.00%",(AB30-X30)/X30)</f>
        <v>1.9999554079061781E-2</v>
      </c>
      <c r="AB30" s="8">
        <f>SUM(AB21:AB29)</f>
        <v>91496</v>
      </c>
      <c r="AC30" s="73"/>
    </row>
    <row r="31" spans="1:29" x14ac:dyDescent="0.25">
      <c r="A31" s="66"/>
      <c r="E31" s="863"/>
      <c r="F31" s="2"/>
      <c r="H31" s="2"/>
      <c r="I31" s="854"/>
      <c r="J31" s="66"/>
      <c r="L31" s="2"/>
      <c r="M31" s="949"/>
      <c r="P31" s="321"/>
      <c r="Q31" s="973"/>
      <c r="T31" s="2"/>
      <c r="U31" s="73"/>
      <c r="X31" s="2"/>
      <c r="Y31" s="73"/>
      <c r="AB31" s="2"/>
      <c r="AC31" s="73"/>
    </row>
    <row r="32" spans="1:29" s="4" customFormat="1" x14ac:dyDescent="0.25">
      <c r="A32" s="58"/>
      <c r="B32" s="940" t="s">
        <v>35</v>
      </c>
      <c r="C32" s="873"/>
      <c r="D32" s="6"/>
      <c r="E32" s="864"/>
      <c r="F32" s="6"/>
      <c r="G32" s="373"/>
      <c r="H32" s="6"/>
      <c r="I32" s="864"/>
      <c r="J32" s="57"/>
      <c r="K32" s="380"/>
      <c r="L32" s="6"/>
      <c r="M32" s="950"/>
      <c r="O32" s="380"/>
      <c r="P32" s="6"/>
      <c r="Q32" s="950"/>
      <c r="R32" s="111"/>
      <c r="T32" s="6"/>
      <c r="U32" s="71"/>
      <c r="X32" s="6"/>
      <c r="Y32" s="71"/>
      <c r="AB32" s="6"/>
      <c r="AC32" s="71"/>
    </row>
    <row r="33" spans="1:29" hidden="1" x14ac:dyDescent="0.25">
      <c r="A33" s="66"/>
      <c r="B33" s="939"/>
      <c r="D33" s="2">
        <v>0</v>
      </c>
      <c r="E33" s="863"/>
      <c r="F33" s="2"/>
      <c r="G33" s="83" t="str">
        <f t="shared" ref="G33:G39" si="7">IF(D33=0,"0.00%",(H33-D33)/D33)</f>
        <v>0.00%</v>
      </c>
      <c r="H33" s="2">
        <f t="shared" ref="H33:H39" si="8">ROUND(D33*(1+$I$19),0)</f>
        <v>0</v>
      </c>
      <c r="I33" s="871" t="str">
        <f t="shared" ref="I33:I39" si="9">TEXT($I$19,"0.0%")&amp;" = Est. S &amp; C"</f>
        <v>0.0% = Est. S &amp; C</v>
      </c>
      <c r="J33" s="66"/>
      <c r="K33" s="83" t="str">
        <f t="shared" ref="K33:K39" si="10">IF(H33=0,"0.00%",(L33-H33)/H33)</f>
        <v>0.00%</v>
      </c>
      <c r="L33" s="2">
        <f>ROUND(H33*(1+M19),0)</f>
        <v>0</v>
      </c>
      <c r="M33" s="871" t="str">
        <f>TEXT(M19,"0.0%")&amp;" = Est. S &amp; C"</f>
        <v>2.0% = Est. S &amp; C</v>
      </c>
      <c r="O33" s="83" t="str">
        <f t="shared" ref="O33:O39" si="11">IF(L33=0,"0.00%",(P33-L33)/L33)</f>
        <v>0.00%</v>
      </c>
      <c r="P33" s="2">
        <f>ROUND(L33*(1+Q19),0)</f>
        <v>0</v>
      </c>
      <c r="Q33" s="871" t="str">
        <f>TEXT(Q19,"0.0%")&amp;" = Est. S &amp; C"</f>
        <v>2.0% = Est. S &amp; C</v>
      </c>
      <c r="S33" s="83" t="str">
        <f t="shared" ref="S33:S39" si="12">IF(P33=0,"0.00%",(T33-P33)/P33)</f>
        <v>0.00%</v>
      </c>
      <c r="T33" s="2">
        <f>ROUND(P33*(1+U19),0)</f>
        <v>0</v>
      </c>
      <c r="U33" s="36" t="str">
        <f>TEXT(U19,"0.0%")&amp;" = Est. S &amp; C"</f>
        <v>2.0% = Est. S &amp; C</v>
      </c>
      <c r="W33" s="83" t="str">
        <f t="shared" ref="W33:W39" si="13">IF(T33=0,"0.00%",(X33-T33)/T33)</f>
        <v>0.00%</v>
      </c>
      <c r="X33" s="2">
        <f>ROUND(T33*(1+Y19),0)</f>
        <v>0</v>
      </c>
      <c r="Y33" s="36" t="str">
        <f>TEXT(Y19,"0.0%")&amp;" = Est. S &amp; C"</f>
        <v>2.0% = Est. S &amp; C</v>
      </c>
      <c r="AA33" s="83" t="str">
        <f t="shared" ref="AA33:AA39" si="14">IF(X33=0,"0.00%",(AB33-X33)/X33)</f>
        <v>0.00%</v>
      </c>
      <c r="AB33" s="2">
        <f>ROUND(X33*(1+AC19),0)</f>
        <v>0</v>
      </c>
      <c r="AC33" s="36" t="str">
        <f>TEXT(AC19,"0.0%")&amp;" = Est. S &amp; C"</f>
        <v>2.0% = Est. S &amp; C</v>
      </c>
    </row>
    <row r="34" spans="1:29" hidden="1" x14ac:dyDescent="0.25">
      <c r="A34" s="66"/>
      <c r="B34" s="939"/>
      <c r="D34" s="2">
        <v>0</v>
      </c>
      <c r="E34" s="863"/>
      <c r="F34" s="2"/>
      <c r="G34" s="83" t="str">
        <f t="shared" si="7"/>
        <v>0.00%</v>
      </c>
      <c r="H34" s="2">
        <f t="shared" si="8"/>
        <v>0</v>
      </c>
      <c r="I34" s="871" t="str">
        <f t="shared" si="9"/>
        <v>0.0% = Est. S &amp; C</v>
      </c>
      <c r="J34" s="66"/>
      <c r="K34" s="83" t="str">
        <f t="shared" si="10"/>
        <v>0.00%</v>
      </c>
      <c r="L34" s="2">
        <f>ROUND(H34*(1+M19),0)</f>
        <v>0</v>
      </c>
      <c r="M34" s="871" t="str">
        <f>TEXT(M19,"0.0%")&amp;" = Est. S &amp; C"</f>
        <v>2.0% = Est. S &amp; C</v>
      </c>
      <c r="O34" s="83" t="str">
        <f t="shared" si="11"/>
        <v>0.00%</v>
      </c>
      <c r="P34" s="2">
        <f>ROUND(L34*(1+Q19),0)</f>
        <v>0</v>
      </c>
      <c r="Q34" s="871" t="str">
        <f>TEXT(Q19,"0.0%")&amp;" = Est. S &amp; C"</f>
        <v>2.0% = Est. S &amp; C</v>
      </c>
      <c r="S34" s="83" t="str">
        <f t="shared" si="12"/>
        <v>0.00%</v>
      </c>
      <c r="T34" s="2">
        <f>ROUND(P34*(1+U19),0)</f>
        <v>0</v>
      </c>
      <c r="U34" s="36" t="str">
        <f>TEXT(U19,"0.0%")&amp;" = Est. S &amp; C"</f>
        <v>2.0% = Est. S &amp; C</v>
      </c>
      <c r="W34" s="83" t="str">
        <f t="shared" si="13"/>
        <v>0.00%</v>
      </c>
      <c r="X34" s="2">
        <f>ROUND(T34*(1+Y19),0)</f>
        <v>0</v>
      </c>
      <c r="Y34" s="36" t="str">
        <f>TEXT(Y19,"0.0%")&amp;" = Est. S &amp; C"</f>
        <v>2.0% = Est. S &amp; C</v>
      </c>
      <c r="AA34" s="83" t="str">
        <f t="shared" si="14"/>
        <v>0.00%</v>
      </c>
      <c r="AB34" s="2">
        <f>ROUND(X34*(1+AC19),0)</f>
        <v>0</v>
      </c>
      <c r="AC34" s="36" t="str">
        <f>TEXT(AC19,"0.0%")&amp;" = Est. S &amp; C"</f>
        <v>2.0% = Est. S &amp; C</v>
      </c>
    </row>
    <row r="35" spans="1:29" hidden="1" x14ac:dyDescent="0.25">
      <c r="A35" s="66"/>
      <c r="B35" s="939"/>
      <c r="D35" s="2">
        <v>0</v>
      </c>
      <c r="E35" s="863"/>
      <c r="F35" s="2"/>
      <c r="G35" s="83" t="str">
        <f t="shared" si="7"/>
        <v>0.00%</v>
      </c>
      <c r="H35" s="2">
        <f t="shared" si="8"/>
        <v>0</v>
      </c>
      <c r="I35" s="871" t="str">
        <f t="shared" si="9"/>
        <v>0.0% = Est. S &amp; C</v>
      </c>
      <c r="J35" s="66"/>
      <c r="K35" s="83" t="str">
        <f t="shared" si="10"/>
        <v>0.00%</v>
      </c>
      <c r="L35" s="2">
        <f>ROUND(H35*(1+M19),0)</f>
        <v>0</v>
      </c>
      <c r="M35" s="871" t="str">
        <f>TEXT(M19,"0.0%")&amp;" = Est. S &amp; C"</f>
        <v>2.0% = Est. S &amp; C</v>
      </c>
      <c r="O35" s="83" t="str">
        <f t="shared" si="11"/>
        <v>0.00%</v>
      </c>
      <c r="P35" s="2">
        <f>ROUND(L35*(1+Q19),0)</f>
        <v>0</v>
      </c>
      <c r="Q35" s="871" t="str">
        <f>TEXT(Q19,"0.0%")&amp;" = Est. S &amp; C"</f>
        <v>2.0% = Est. S &amp; C</v>
      </c>
      <c r="S35" s="83" t="str">
        <f t="shared" si="12"/>
        <v>0.00%</v>
      </c>
      <c r="T35" s="2">
        <f>ROUND(P35*(1+U19),0)</f>
        <v>0</v>
      </c>
      <c r="U35" s="36" t="str">
        <f>TEXT(U19,"0.0%")&amp;" = Est. S &amp; C"</f>
        <v>2.0% = Est. S &amp; C</v>
      </c>
      <c r="W35" s="83" t="str">
        <f t="shared" si="13"/>
        <v>0.00%</v>
      </c>
      <c r="X35" s="2">
        <f>ROUND(T35*(1+Y19),0)</f>
        <v>0</v>
      </c>
      <c r="Y35" s="36" t="str">
        <f>TEXT(Y19,"0.0%")&amp;" = Est. S &amp; C"</f>
        <v>2.0% = Est. S &amp; C</v>
      </c>
      <c r="AA35" s="83" t="str">
        <f t="shared" si="14"/>
        <v>0.00%</v>
      </c>
      <c r="AB35" s="2">
        <f>ROUND(X35*(1+AC19),0)</f>
        <v>0</v>
      </c>
      <c r="AC35" s="36" t="str">
        <f>TEXT(AC19,"0.0%")&amp;" = Est. S &amp; C"</f>
        <v>2.0% = Est. S &amp; C</v>
      </c>
    </row>
    <row r="36" spans="1:29" hidden="1" x14ac:dyDescent="0.25">
      <c r="A36" s="66"/>
      <c r="B36" s="939"/>
      <c r="D36" s="2">
        <v>0</v>
      </c>
      <c r="E36" s="863"/>
      <c r="F36" s="2"/>
      <c r="G36" s="83" t="str">
        <f t="shared" si="7"/>
        <v>0.00%</v>
      </c>
      <c r="H36" s="2">
        <f t="shared" si="8"/>
        <v>0</v>
      </c>
      <c r="I36" s="871" t="str">
        <f t="shared" si="9"/>
        <v>0.0% = Est. S &amp; C</v>
      </c>
      <c r="J36" s="66"/>
      <c r="K36" s="83" t="str">
        <f t="shared" si="10"/>
        <v>0.00%</v>
      </c>
      <c r="L36" s="2">
        <f>ROUND(H36*(1+M19),0)</f>
        <v>0</v>
      </c>
      <c r="M36" s="871" t="str">
        <f>TEXT(M19,"0.0%")&amp;" = Est. S &amp; C"</f>
        <v>2.0% = Est. S &amp; C</v>
      </c>
      <c r="O36" s="83" t="str">
        <f t="shared" si="11"/>
        <v>0.00%</v>
      </c>
      <c r="P36" s="2">
        <f>ROUND(L36*(1+Q19),0)</f>
        <v>0</v>
      </c>
      <c r="Q36" s="871" t="str">
        <f>TEXT(Q19,"0.0%")&amp;" = Est. S &amp; C"</f>
        <v>2.0% = Est. S &amp; C</v>
      </c>
      <c r="S36" s="83" t="str">
        <f t="shared" si="12"/>
        <v>0.00%</v>
      </c>
      <c r="T36" s="2">
        <f>ROUND(P36*(1+U19),0)</f>
        <v>0</v>
      </c>
      <c r="U36" s="36" t="str">
        <f>TEXT(U19,"0.0%")&amp;" = Est. S &amp; C"</f>
        <v>2.0% = Est. S &amp; C</v>
      </c>
      <c r="W36" s="83" t="str">
        <f t="shared" si="13"/>
        <v>0.00%</v>
      </c>
      <c r="X36" s="2">
        <f>ROUND(T36*(1+Y19),0)</f>
        <v>0</v>
      </c>
      <c r="Y36" s="36" t="str">
        <f>TEXT(Y19,"0.0%")&amp;" = Est. S &amp; C"</f>
        <v>2.0% = Est. S &amp; C</v>
      </c>
      <c r="AA36" s="83" t="str">
        <f t="shared" si="14"/>
        <v>0.00%</v>
      </c>
      <c r="AB36" s="2">
        <f>ROUND(X36*(1+AC19),0)</f>
        <v>0</v>
      </c>
      <c r="AC36" s="36" t="str">
        <f>TEXT(AC19,"0.0%")&amp;" = Est. S &amp; C"</f>
        <v>2.0% = Est. S &amp; C</v>
      </c>
    </row>
    <row r="37" spans="1:29" hidden="1" x14ac:dyDescent="0.25">
      <c r="A37" s="66"/>
      <c r="B37" s="939"/>
      <c r="D37" s="2">
        <v>0</v>
      </c>
      <c r="E37" s="863"/>
      <c r="F37" s="2"/>
      <c r="G37" s="83" t="str">
        <f t="shared" si="7"/>
        <v>0.00%</v>
      </c>
      <c r="H37" s="2">
        <f t="shared" si="8"/>
        <v>0</v>
      </c>
      <c r="I37" s="871" t="str">
        <f t="shared" si="9"/>
        <v>0.0% = Est. S &amp; C</v>
      </c>
      <c r="J37" s="66"/>
      <c r="K37" s="83" t="str">
        <f t="shared" si="10"/>
        <v>0.00%</v>
      </c>
      <c r="L37" s="2">
        <f>ROUND(H37*(1+M19),0)</f>
        <v>0</v>
      </c>
      <c r="M37" s="871" t="str">
        <f>TEXT(M19,"0.0%")&amp;" = Est. S &amp; C"</f>
        <v>2.0% = Est. S &amp; C</v>
      </c>
      <c r="O37" s="83" t="str">
        <f t="shared" si="11"/>
        <v>0.00%</v>
      </c>
      <c r="P37" s="2">
        <f>ROUND(L37*(1+Q19),0)</f>
        <v>0</v>
      </c>
      <c r="Q37" s="871" t="str">
        <f>TEXT(Q19,"0.0%")&amp;" = Est. S &amp; C"</f>
        <v>2.0% = Est. S &amp; C</v>
      </c>
      <c r="S37" s="83" t="str">
        <f t="shared" si="12"/>
        <v>0.00%</v>
      </c>
      <c r="T37" s="2">
        <f>ROUND(P37*(1+U19),0)</f>
        <v>0</v>
      </c>
      <c r="U37" s="36" t="str">
        <f>TEXT(U19,"0.0%")&amp;" = Est. S &amp; C"</f>
        <v>2.0% = Est. S &amp; C</v>
      </c>
      <c r="W37" s="83" t="str">
        <f t="shared" si="13"/>
        <v>0.00%</v>
      </c>
      <c r="X37" s="2">
        <f>ROUND(T37*(1+Y19),0)</f>
        <v>0</v>
      </c>
      <c r="Y37" s="36" t="str">
        <f>TEXT(Y19,"0.0%")&amp;" = Est. S &amp; C"</f>
        <v>2.0% = Est. S &amp; C</v>
      </c>
      <c r="AA37" s="83" t="str">
        <f t="shared" si="14"/>
        <v>0.00%</v>
      </c>
      <c r="AB37" s="2">
        <f>ROUND(X37*(1+AC19),0)</f>
        <v>0</v>
      </c>
      <c r="AC37" s="36" t="str">
        <f>TEXT(AC19,"0.0%")&amp;" = Est. S &amp; C"</f>
        <v>2.0% = Est. S &amp; C</v>
      </c>
    </row>
    <row r="38" spans="1:29" hidden="1" x14ac:dyDescent="0.25">
      <c r="A38" s="66"/>
      <c r="B38" s="939"/>
      <c r="D38" s="2">
        <v>0</v>
      </c>
      <c r="E38" s="863"/>
      <c r="F38" s="2"/>
      <c r="G38" s="83" t="str">
        <f t="shared" si="7"/>
        <v>0.00%</v>
      </c>
      <c r="H38" s="2">
        <f t="shared" si="8"/>
        <v>0</v>
      </c>
      <c r="I38" s="871" t="str">
        <f t="shared" si="9"/>
        <v>0.0% = Est. S &amp; C</v>
      </c>
      <c r="J38" s="66"/>
      <c r="K38" s="83" t="str">
        <f t="shared" si="10"/>
        <v>0.00%</v>
      </c>
      <c r="L38" s="2">
        <f>ROUND(H38*(1+M19),0)</f>
        <v>0</v>
      </c>
      <c r="M38" s="871" t="str">
        <f>TEXT(M19,"0.0%")&amp;" = Est. S &amp; C"</f>
        <v>2.0% = Est. S &amp; C</v>
      </c>
      <c r="O38" s="83" t="str">
        <f t="shared" si="11"/>
        <v>0.00%</v>
      </c>
      <c r="P38" s="2">
        <f>ROUND(L38*(1+Q19),0)</f>
        <v>0</v>
      </c>
      <c r="Q38" s="871" t="str">
        <f>TEXT(Q19,"0.0%")&amp;" = Est. S &amp; C"</f>
        <v>2.0% = Est. S &amp; C</v>
      </c>
      <c r="S38" s="83" t="str">
        <f t="shared" si="12"/>
        <v>0.00%</v>
      </c>
      <c r="T38" s="2">
        <f>ROUND(P38*(1+U19),0)</f>
        <v>0</v>
      </c>
      <c r="U38" s="36" t="str">
        <f>TEXT(U19,"0.0%")&amp;" = Est. S &amp; C"</f>
        <v>2.0% = Est. S &amp; C</v>
      </c>
      <c r="W38" s="83" t="str">
        <f t="shared" si="13"/>
        <v>0.00%</v>
      </c>
      <c r="X38" s="2">
        <f>ROUND(T38*(1+Y19),0)</f>
        <v>0</v>
      </c>
      <c r="Y38" s="36" t="str">
        <f>TEXT(Y19,"0.0%")&amp;" = Est. S &amp; C"</f>
        <v>2.0% = Est. S &amp; C</v>
      </c>
      <c r="AA38" s="83" t="str">
        <f t="shared" si="14"/>
        <v>0.00%</v>
      </c>
      <c r="AB38" s="2">
        <f>ROUND(X38*(1+AC19),0)</f>
        <v>0</v>
      </c>
      <c r="AC38" s="36" t="str">
        <f>TEXT(AC19,"0.0%")&amp;" = Est. S &amp; C"</f>
        <v>2.0% = Est. S &amp; C</v>
      </c>
    </row>
    <row r="39" spans="1:29" hidden="1" x14ac:dyDescent="0.25">
      <c r="A39" s="66"/>
      <c r="B39" s="939"/>
      <c r="D39" s="2">
        <v>0</v>
      </c>
      <c r="E39" s="863"/>
      <c r="F39" s="2"/>
      <c r="G39" s="83" t="str">
        <f t="shared" si="7"/>
        <v>0.00%</v>
      </c>
      <c r="H39" s="2">
        <f t="shared" si="8"/>
        <v>0</v>
      </c>
      <c r="I39" s="871" t="str">
        <f t="shared" si="9"/>
        <v>0.0% = Est. S &amp; C</v>
      </c>
      <c r="J39" s="66"/>
      <c r="K39" s="83" t="str">
        <f t="shared" si="10"/>
        <v>0.00%</v>
      </c>
      <c r="L39" s="2">
        <f>ROUND(H39*(1+M19),0)</f>
        <v>0</v>
      </c>
      <c r="M39" s="871" t="str">
        <f>TEXT(M19,"0.0%")&amp;" = Est. S &amp; C"</f>
        <v>2.0% = Est. S &amp; C</v>
      </c>
      <c r="O39" s="83" t="str">
        <f t="shared" si="11"/>
        <v>0.00%</v>
      </c>
      <c r="P39" s="2">
        <f>ROUND(L39*(1+Q19),0)</f>
        <v>0</v>
      </c>
      <c r="Q39" s="871" t="str">
        <f>TEXT(Q19,"0.0%")&amp;" = Est. S &amp; C"</f>
        <v>2.0% = Est. S &amp; C</v>
      </c>
      <c r="S39" s="83" t="str">
        <f t="shared" si="12"/>
        <v>0.00%</v>
      </c>
      <c r="T39" s="2">
        <f>ROUND(P39*(1+U19),0)</f>
        <v>0</v>
      </c>
      <c r="U39" s="36" t="str">
        <f>TEXT(U19,"0.0%")&amp;" = Est. S &amp; C"</f>
        <v>2.0% = Est. S &amp; C</v>
      </c>
      <c r="W39" s="83" t="str">
        <f t="shared" si="13"/>
        <v>0.00%</v>
      </c>
      <c r="X39" s="2">
        <f>ROUND(T39*(1+Y19),0)</f>
        <v>0</v>
      </c>
      <c r="Y39" s="36" t="str">
        <f>TEXT(Y19,"0.0%")&amp;" = Est. S &amp; C"</f>
        <v>2.0% = Est. S &amp; C</v>
      </c>
      <c r="AA39" s="83" t="str">
        <f t="shared" si="14"/>
        <v>0.00%</v>
      </c>
      <c r="AB39" s="2">
        <f>ROUND(X39*(1+AC19),0)</f>
        <v>0</v>
      </c>
      <c r="AC39" s="36" t="str">
        <f>TEXT(AC19,"0.0%")&amp;" = Est. S &amp; C"</f>
        <v>2.0% = Est. S &amp; C</v>
      </c>
    </row>
    <row r="40" spans="1:29" ht="6" hidden="1" customHeight="1" x14ac:dyDescent="0.25">
      <c r="A40" s="66"/>
      <c r="B40" s="939"/>
      <c r="E40" s="863"/>
      <c r="F40" s="2"/>
      <c r="H40" s="2"/>
      <c r="I40" s="871"/>
      <c r="J40" s="66"/>
      <c r="L40" s="2"/>
      <c r="M40" s="948"/>
      <c r="Q40" s="948"/>
      <c r="T40" s="2"/>
      <c r="U40" s="73"/>
      <c r="X40" s="2"/>
      <c r="Y40" s="73"/>
      <c r="AB40" s="2"/>
      <c r="AC40" s="73"/>
    </row>
    <row r="41" spans="1:29" x14ac:dyDescent="0.25">
      <c r="A41" s="29"/>
      <c r="B41" s="939"/>
      <c r="D41" s="8">
        <f>SUM(D33:D40)</f>
        <v>0</v>
      </c>
      <c r="E41" s="863"/>
      <c r="F41" s="2"/>
      <c r="G41" s="83" t="str">
        <f>IF(D41=0,"0.00%",(H41-D41)/D41)</f>
        <v>0.00%</v>
      </c>
      <c r="H41" s="8">
        <f>SUM(H33:H40)</f>
        <v>0</v>
      </c>
      <c r="I41" s="872"/>
      <c r="J41" s="29"/>
      <c r="K41" s="83" t="str">
        <f>IF(H41=0,"0.00%",(L41-H41)/H41)</f>
        <v>0.00%</v>
      </c>
      <c r="L41" s="8">
        <f>SUM(L33:L40)</f>
        <v>0</v>
      </c>
      <c r="M41" s="948"/>
      <c r="O41" s="83" t="str">
        <f>IF(L41=0,"0.00%",(P41-L41)/L41)</f>
        <v>0.00%</v>
      </c>
      <c r="P41" s="8">
        <f>SUM(P33:P40)</f>
        <v>0</v>
      </c>
      <c r="Q41" s="948"/>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x14ac:dyDescent="0.25">
      <c r="A42" s="66"/>
      <c r="B42" s="930" t="s">
        <v>28</v>
      </c>
      <c r="E42" s="863"/>
      <c r="F42" s="2"/>
      <c r="H42" s="2"/>
      <c r="I42" s="871"/>
      <c r="J42" s="66"/>
      <c r="L42" s="2"/>
      <c r="M42" s="948"/>
      <c r="Q42" s="948"/>
      <c r="T42" s="2"/>
      <c r="U42" s="73"/>
      <c r="X42" s="2"/>
      <c r="Y42" s="73"/>
      <c r="AB42" s="2"/>
      <c r="AC42" s="73"/>
    </row>
    <row r="43" spans="1:29" x14ac:dyDescent="0.25">
      <c r="A43" s="57"/>
      <c r="B43" s="936" t="s">
        <v>27</v>
      </c>
      <c r="E43" s="863"/>
      <c r="F43" s="2"/>
      <c r="H43" s="2"/>
      <c r="I43" s="871"/>
      <c r="J43" s="66"/>
      <c r="L43" s="2"/>
      <c r="M43" s="948"/>
      <c r="Q43" s="948"/>
      <c r="T43" s="2"/>
      <c r="U43" s="73"/>
      <c r="X43" s="2"/>
      <c r="Y43" s="73"/>
      <c r="AB43" s="2"/>
      <c r="AC43" s="73"/>
    </row>
    <row r="44" spans="1:29" x14ac:dyDescent="0.25">
      <c r="A44" s="66"/>
      <c r="B44" s="939" t="s">
        <v>83</v>
      </c>
      <c r="C44" s="857" t="s">
        <v>76</v>
      </c>
      <c r="D44" s="2">
        <v>12831.73</v>
      </c>
      <c r="E44" s="854" t="str">
        <f>TEXT('MYP Assumptions'!$D$55,"0.00%")&amp;", STRS rate"</f>
        <v>12.58%, STRS rate</v>
      </c>
      <c r="F44" s="2"/>
      <c r="G44" s="83">
        <f t="shared" ref="G44:G53" si="15">IF(D44=0,"0.00%",(H44-D44)/D44)</f>
        <v>-7.0117591314655128E-2</v>
      </c>
      <c r="H44" s="2">
        <v>11932</v>
      </c>
      <c r="I44" s="854" t="str">
        <f>TEXT('MYP Assumptions'!E55,"0.00%")&amp;", projected STRS rate"</f>
        <v>14.43%, projected STRS rate</v>
      </c>
      <c r="J44" s="66"/>
      <c r="K44" s="83">
        <f t="shared" ref="K44:K53" si="16">IF(H44=0,"0.00%",(L44-H44)/H44)</f>
        <v>0.15328528327187396</v>
      </c>
      <c r="L44" s="2">
        <f>ROUND(L30*LEFT(M44,6),0)</f>
        <v>13761</v>
      </c>
      <c r="M44" s="854" t="str">
        <f>TEXT('MYP Assumptions'!F55,"0.00%")&amp;", projected STRS rate"</f>
        <v>16.28%, projected STRS rate</v>
      </c>
      <c r="O44" s="83">
        <f t="shared" ref="O44:O53" si="17">IF(L44=0,"0.00%",(P44-L44)/L44)</f>
        <v>0.13603662524525834</v>
      </c>
      <c r="P44" s="2">
        <f>ROUND(P30*LEFT(Q44,6),0)+1</f>
        <v>15633</v>
      </c>
      <c r="Q44" s="854" t="str">
        <f>TEXT('MYP Assumptions'!G55,"0.00%")&amp;", projected STRS rate"</f>
        <v>18.13%, projected STRS rate</v>
      </c>
      <c r="S44" s="83">
        <f t="shared" ref="S44:S53" si="18">IF(P44=0,"0.00%",(T44-P44)/P44)</f>
        <v>7.4457877566685857E-2</v>
      </c>
      <c r="T44" s="2">
        <f>ROUND(T30*LEFT(U44,6),0)</f>
        <v>16797</v>
      </c>
      <c r="U44" s="81" t="str">
        <f>TEXT('MYP Assumptions'!H55,"0.00%")&amp;", projected STRS rate"</f>
        <v>19.10%, projected STRS rate</v>
      </c>
      <c r="W44" s="83">
        <f t="shared" ref="W44:W53" si="19">IF(T44=0,"0.00%",(X44-T44)/T44)</f>
        <v>2.0003572066440437E-2</v>
      </c>
      <c r="X44" s="2">
        <f>ROUND(X30*LEFT(Y44,6),0)</f>
        <v>17133</v>
      </c>
      <c r="Y44" s="81" t="str">
        <f>TEXT('MYP Assumptions'!I55,"0.00%")&amp;", projected STRS rate"</f>
        <v>19.10%, projected STRS rate</v>
      </c>
      <c r="AA44" s="83">
        <f t="shared" ref="AA44:AA53" si="20">IF(X44=0,"0.00%",(AB44-X44)/X44)</f>
        <v>2.0019844744061169E-2</v>
      </c>
      <c r="AB44" s="2">
        <f>ROUND(AB30*LEFT(AC44,6),0)</f>
        <v>17476</v>
      </c>
      <c r="AC44" s="81" t="str">
        <f>TEXT('MYP Assumptions'!J55,"0.00%")&amp;", projected STRS rate"</f>
        <v>19.10%, projected STRS rate</v>
      </c>
    </row>
    <row r="45" spans="1:29" x14ac:dyDescent="0.25">
      <c r="A45" s="66"/>
      <c r="B45" s="939" t="s">
        <v>84</v>
      </c>
      <c r="C45" s="857" t="s">
        <v>77</v>
      </c>
      <c r="D45" s="2">
        <v>0</v>
      </c>
      <c r="E45" s="854" t="str">
        <f>TEXT('MYP Assumptions'!$D$56,"0.00%")&amp;", PERS rate"</f>
        <v>13.89%, PERS rate</v>
      </c>
      <c r="F45" s="2"/>
      <c r="G45" s="83" t="str">
        <f t="shared" si="15"/>
        <v>0.00%</v>
      </c>
      <c r="H45" s="2">
        <v>0</v>
      </c>
      <c r="I45" s="854" t="str">
        <f>TEXT('MYP Assumptions'!E56,"0.000%")&amp;", projected PERS rate"</f>
        <v>15.531%, projected PERS rate</v>
      </c>
      <c r="J45" s="66"/>
      <c r="K45" s="83" t="str">
        <f t="shared" si="16"/>
        <v>0.00%</v>
      </c>
      <c r="L45" s="2">
        <f>ROUND(L41*LEFT(M45,6),0)</f>
        <v>0</v>
      </c>
      <c r="M45" s="854" t="str">
        <f>TEXT('MYP Assumptions'!F56,"0.00%")&amp;", projected PERS rate"</f>
        <v>18.10%, projected PERS rate</v>
      </c>
      <c r="O45" s="83" t="str">
        <f t="shared" si="17"/>
        <v>0.00%</v>
      </c>
      <c r="P45" s="2">
        <f>ROUND(P41*LEFT(Q45,6),0)</f>
        <v>0</v>
      </c>
      <c r="Q45" s="854" t="str">
        <f>TEXT('MYP Assumptions'!G56,"0.00%")&amp;", projected PERS rate"</f>
        <v>20.80%, projected PERS rate</v>
      </c>
      <c r="S45" s="83" t="str">
        <f t="shared" si="18"/>
        <v>0.00%</v>
      </c>
      <c r="T45" s="2">
        <f>ROUND(T41*LEFT(U45,6),0)</f>
        <v>0</v>
      </c>
      <c r="U45" s="81" t="str">
        <f>TEXT('MYP Assumptions'!H56,"0.00%")&amp;", projected PERS rate"</f>
        <v>23.80%, projected PERS rate</v>
      </c>
      <c r="W45" s="83" t="str">
        <f t="shared" si="19"/>
        <v>0.00%</v>
      </c>
      <c r="X45" s="2">
        <f>ROUND(X41*LEFT(Y45,6),0)</f>
        <v>0</v>
      </c>
      <c r="Y45" s="81" t="str">
        <f>TEXT('MYP Assumptions'!I56,"0.00%")&amp;", projected PERS rate"</f>
        <v>25.20%, projected PERS rate</v>
      </c>
      <c r="AA45" s="83" t="str">
        <f t="shared" si="20"/>
        <v>0.00%</v>
      </c>
      <c r="AB45" s="2">
        <f>ROUND(AB41*LEFT(AC45,6),0)</f>
        <v>0</v>
      </c>
      <c r="AC45" s="81" t="str">
        <f>TEXT('MYP Assumptions'!J56,"0.00%")&amp;", projected PERS rate"</f>
        <v>26.10%, projected PERS rate</v>
      </c>
    </row>
    <row r="46" spans="1:29" x14ac:dyDescent="0.25">
      <c r="A46" s="66"/>
      <c r="B46" s="939" t="s">
        <v>85</v>
      </c>
      <c r="C46" s="857" t="s">
        <v>78</v>
      </c>
      <c r="D46" s="2">
        <v>0</v>
      </c>
      <c r="E46" s="854" t="str">
        <f>TEXT('MYP Assumptions'!$D$57,"0.00%")&amp;", SS rate"</f>
        <v>6.20%, SS rate</v>
      </c>
      <c r="F46" s="2"/>
      <c r="G46" s="83" t="str">
        <f t="shared" si="15"/>
        <v>0.00%</v>
      </c>
      <c r="H46" s="2">
        <v>0</v>
      </c>
      <c r="I46" s="854" t="str">
        <f>TEXT('MYP Assumptions'!E57,"0.00%")&amp;", no rate change"</f>
        <v>6.20%, no rate change</v>
      </c>
      <c r="J46" s="66"/>
      <c r="K46" s="83" t="str">
        <f t="shared" si="16"/>
        <v>0.00%</v>
      </c>
      <c r="L46" s="2">
        <f>ROUND(L41*LEFT(M46,5),0)</f>
        <v>0</v>
      </c>
      <c r="M46" s="854" t="str">
        <f>TEXT('MYP Assumptions'!F57,"0.00%")&amp;", no rate change"</f>
        <v>6.20%, no rate change</v>
      </c>
      <c r="O46" s="83" t="str">
        <f t="shared" si="17"/>
        <v>0.00%</v>
      </c>
      <c r="P46" s="2">
        <f>ROUND(P41*LEFT(Q46,5),0)</f>
        <v>0</v>
      </c>
      <c r="Q46" s="854" t="str">
        <f>TEXT('MYP Assumptions'!G57,"0.00%")&amp;", no rate change"</f>
        <v>6.20%, no rate change</v>
      </c>
      <c r="S46" s="83" t="str">
        <f t="shared" si="18"/>
        <v>0.00%</v>
      </c>
      <c r="T46" s="2">
        <f>ROUND(T41*LEFT(U46,5),0)</f>
        <v>0</v>
      </c>
      <c r="U46" s="81" t="str">
        <f>TEXT('MYP Assumptions'!H57,"0.00%")&amp;", no rate change"</f>
        <v>6.20%, no rate change</v>
      </c>
      <c r="W46" s="83" t="str">
        <f t="shared" si="19"/>
        <v>0.00%</v>
      </c>
      <c r="X46" s="2">
        <f>ROUND(X41*LEFT(Y46,5),0)</f>
        <v>0</v>
      </c>
      <c r="Y46" s="81" t="str">
        <f>TEXT('MYP Assumptions'!I57,"0.00%")&amp;", no rate change"</f>
        <v>6.20%, no rate change</v>
      </c>
      <c r="AA46" s="83" t="str">
        <f t="shared" si="20"/>
        <v>0.00%</v>
      </c>
      <c r="AB46" s="2">
        <f>ROUND(AB41*LEFT(AC46,5),0)</f>
        <v>0</v>
      </c>
      <c r="AC46" s="81" t="str">
        <f>TEXT('MYP Assumptions'!J57,"0.00%")&amp;", no rate change"</f>
        <v>6.20%, no rate change</v>
      </c>
    </row>
    <row r="47" spans="1:29" x14ac:dyDescent="0.25">
      <c r="A47" s="66"/>
      <c r="B47" s="939" t="s">
        <v>86</v>
      </c>
      <c r="C47" s="857" t="s">
        <v>79</v>
      </c>
      <c r="D47" s="2">
        <v>1470.85</v>
      </c>
      <c r="E47" s="854" t="str">
        <f>TEXT('MYP Assumptions'!$D$58,"0.00%")&amp;", Medicare rate"</f>
        <v>1.45%, Medicare rate</v>
      </c>
      <c r="F47" s="2"/>
      <c r="G47" s="83">
        <f t="shared" si="15"/>
        <v>-0.22765747696909946</v>
      </c>
      <c r="H47" s="2">
        <v>1136</v>
      </c>
      <c r="I47" s="854" t="str">
        <f>TEXT('MYP Assumptions'!E58,"0.00%")&amp;", no rate change"</f>
        <v>1.45%, no rate change</v>
      </c>
      <c r="J47" s="66"/>
      <c r="K47" s="83">
        <f t="shared" si="16"/>
        <v>7.9225352112676062E-2</v>
      </c>
      <c r="L47" s="2">
        <f>ROUND((L41+L30)*LEFT(M47,5),0)</f>
        <v>1226</v>
      </c>
      <c r="M47" s="854" t="str">
        <f>TEXT('MYP Assumptions'!F58,"0.00%")&amp;", no rate change"</f>
        <v>1.45%, no rate change</v>
      </c>
      <c r="O47" s="83">
        <f t="shared" si="17"/>
        <v>1.9575856443719411E-2</v>
      </c>
      <c r="P47" s="2">
        <f>ROUND((P41+P30)*LEFT(Q47,5),0)</f>
        <v>1250</v>
      </c>
      <c r="Q47" s="854" t="str">
        <f>TEXT('MYP Assumptions'!G58,"0.00%")&amp;", no rate change"</f>
        <v>1.45%, no rate change</v>
      </c>
      <c r="S47" s="83">
        <f t="shared" si="18"/>
        <v>0.02</v>
      </c>
      <c r="T47" s="2">
        <f>ROUND((T41+T30)*LEFT(U47,5),0)</f>
        <v>1275</v>
      </c>
      <c r="U47" s="81" t="str">
        <f>TEXT('MYP Assumptions'!H58,"0.00%")&amp;", no rate change"</f>
        <v>1.45%, no rate change</v>
      </c>
      <c r="W47" s="83">
        <f t="shared" si="19"/>
        <v>2.0392156862745099E-2</v>
      </c>
      <c r="X47" s="2">
        <f>ROUND((X41+X30)*LEFT(Y47,5),0)</f>
        <v>1301</v>
      </c>
      <c r="Y47" s="81" t="str">
        <f>TEXT('MYP Assumptions'!I58,"0.00%")&amp;", no rate change"</f>
        <v>1.45%, no rate change</v>
      </c>
      <c r="AA47" s="83">
        <f t="shared" si="20"/>
        <v>1.9984627209838585E-2</v>
      </c>
      <c r="AB47" s="2">
        <f>ROUND((AB41+AB30)*LEFT(AC47,5),0)</f>
        <v>1327</v>
      </c>
      <c r="AC47" s="81" t="str">
        <f>TEXT('MYP Assumptions'!J58,"0.00%")&amp;", no rate change"</f>
        <v>1.45%, no rate change</v>
      </c>
    </row>
    <row r="48" spans="1:29" x14ac:dyDescent="0.25">
      <c r="A48" s="66"/>
      <c r="B48" s="939" t="s">
        <v>87</v>
      </c>
      <c r="C48" s="857" t="s">
        <v>80</v>
      </c>
      <c r="D48" s="2">
        <v>12959.32</v>
      </c>
      <c r="E48" s="854"/>
      <c r="F48" s="2"/>
      <c r="G48" s="83">
        <f t="shared" si="15"/>
        <v>-0.19864622526490586</v>
      </c>
      <c r="H48" s="2">
        <v>10385</v>
      </c>
      <c r="I48" s="854"/>
      <c r="J48" s="66"/>
      <c r="K48" s="83">
        <f t="shared" si="16"/>
        <v>7.0004814636494939E-2</v>
      </c>
      <c r="L48" s="2">
        <f>ROUND((H48)*(LEFT(M48,5)+1),0)</f>
        <v>11112</v>
      </c>
      <c r="M48" s="854" t="str">
        <f>TEXT('MYP Assumptions'!$M$65,"0.00%")&amp;", projected increase"</f>
        <v>7.00%, projected increase</v>
      </c>
      <c r="O48" s="83">
        <f t="shared" si="17"/>
        <v>7.0014398848092158E-2</v>
      </c>
      <c r="P48" s="2">
        <f>ROUND((L48)*(LEFT(Q48,5)+1),0)</f>
        <v>11890</v>
      </c>
      <c r="Q48" s="854" t="str">
        <f>TEXT('MYP Assumptions'!$M$65,"0.00%")&amp;", projected increase"</f>
        <v>7.00%, projected increase</v>
      </c>
      <c r="S48" s="83">
        <f t="shared" si="18"/>
        <v>6.9974768713204377E-2</v>
      </c>
      <c r="T48" s="2">
        <f>ROUND((P48)*(LEFT(U48,5)+1),0)</f>
        <v>12722</v>
      </c>
      <c r="U48" s="81" t="str">
        <f>TEXT('MYP Assumptions'!$M$65,"0.00%")&amp;", projected increase"</f>
        <v>7.00%, projected increase</v>
      </c>
      <c r="W48" s="83">
        <f t="shared" si="19"/>
        <v>7.0036157836818116E-2</v>
      </c>
      <c r="X48" s="2">
        <f>ROUND((T48)*(LEFT(Y48,5)+1),0)</f>
        <v>13613</v>
      </c>
      <c r="Y48" s="81" t="str">
        <f>TEXT('MYP Assumptions'!$M$65,"0.00%")&amp;", projected increase"</f>
        <v>7.00%, projected increase</v>
      </c>
      <c r="AA48" s="83">
        <f t="shared" si="20"/>
        <v>7.0006611327407625E-2</v>
      </c>
      <c r="AB48" s="2">
        <f>ROUND((X48)*(LEFT(AC48,5)+1),0)</f>
        <v>14566</v>
      </c>
      <c r="AC48" s="81" t="str">
        <f>TEXT('MYP Assumptions'!$M$65,"0.00%")&amp;", projected increase"</f>
        <v>7.00%, projected increase</v>
      </c>
    </row>
    <row r="49" spans="1:29" x14ac:dyDescent="0.25">
      <c r="A49" s="66"/>
      <c r="B49" s="939" t="s">
        <v>88</v>
      </c>
      <c r="C49" s="857" t="s">
        <v>81</v>
      </c>
      <c r="D49" s="2">
        <v>50.76</v>
      </c>
      <c r="E49" s="854" t="str">
        <f>TEXT('MYP Assumptions'!$D$59,"0.00%")&amp;", SUI rate"</f>
        <v>0.05%, SUI rate</v>
      </c>
      <c r="F49" s="2"/>
      <c r="G49" s="83">
        <f t="shared" si="15"/>
        <v>-0.19227738376674544</v>
      </c>
      <c r="H49" s="2">
        <v>41</v>
      </c>
      <c r="I49" s="854" t="str">
        <f>TEXT('MYP Assumptions'!E59,"0.00%")&amp;", no rate change"</f>
        <v>0.05%, no rate change</v>
      </c>
      <c r="J49" s="66"/>
      <c r="K49" s="83">
        <f t="shared" si="16"/>
        <v>2.4390243902439025E-2</v>
      </c>
      <c r="L49" s="2">
        <f>ROUND((L41+L30)*LEFT(M49,5),0)</f>
        <v>42</v>
      </c>
      <c r="M49" s="854" t="str">
        <f>TEXT('MYP Assumptions'!F59,"0.00%")&amp;", no rate change"</f>
        <v>0.05%, no rate change</v>
      </c>
      <c r="O49" s="83">
        <f t="shared" si="17"/>
        <v>2.3809523809523808E-2</v>
      </c>
      <c r="P49" s="2">
        <f>ROUND((P41+P30)*LEFT(Q49,5),0)</f>
        <v>43</v>
      </c>
      <c r="Q49" s="854" t="str">
        <f>TEXT('MYP Assumptions'!G59,"0.00%")&amp;", no rate change"</f>
        <v>0.05%, no rate change</v>
      </c>
      <c r="S49" s="83">
        <f t="shared" si="18"/>
        <v>2.3255813953488372E-2</v>
      </c>
      <c r="T49" s="2">
        <f>ROUND((T41+T30)*LEFT(U49,5),0)</f>
        <v>44</v>
      </c>
      <c r="U49" s="81" t="str">
        <f>TEXT('MYP Assumptions'!H59,"0.00%")&amp;", no rate change"</f>
        <v>0.05%, no rate change</v>
      </c>
      <c r="W49" s="83">
        <f t="shared" si="19"/>
        <v>2.2727272727272728E-2</v>
      </c>
      <c r="X49" s="2">
        <f>ROUND((X41+X30)*LEFT(Y49,5),0)</f>
        <v>45</v>
      </c>
      <c r="Y49" s="81" t="str">
        <f>TEXT('MYP Assumptions'!I59,"0.00%")&amp;", no rate change"</f>
        <v>0.05%, no rate change</v>
      </c>
      <c r="AA49" s="83">
        <f t="shared" si="20"/>
        <v>2.2222222222222223E-2</v>
      </c>
      <c r="AB49" s="2">
        <f>ROUND((AB41+AB30)*LEFT(AC49,5),0)</f>
        <v>46</v>
      </c>
      <c r="AC49" s="81" t="str">
        <f>TEXT('MYP Assumptions'!J59,"0.00%")&amp;", no rate change"</f>
        <v>0.05%, no rate change</v>
      </c>
    </row>
    <row r="50" spans="1:29" x14ac:dyDescent="0.25">
      <c r="A50" s="66"/>
      <c r="B50" s="939" t="s">
        <v>89</v>
      </c>
      <c r="C50" s="857" t="s">
        <v>82</v>
      </c>
      <c r="D50" s="2">
        <v>1115.97</v>
      </c>
      <c r="E50" s="854" t="str">
        <f>TEXT('MYP Assumptions'!$D$60,"0.00%")&amp;", W/C rate"</f>
        <v>1.10%, W/C rate</v>
      </c>
      <c r="F50" s="2"/>
      <c r="G50" s="83">
        <f t="shared" si="15"/>
        <v>-0.19800711488660092</v>
      </c>
      <c r="H50" s="2">
        <v>895</v>
      </c>
      <c r="I50" s="854" t="str">
        <f>TEXT('MYP Assumptions'!E60,"0.00%")&amp;", no rate change"</f>
        <v>0.80%, no rate change</v>
      </c>
      <c r="J50" s="66"/>
      <c r="K50" s="83">
        <f t="shared" si="16"/>
        <v>-0.24469273743016759</v>
      </c>
      <c r="L50" s="2">
        <f>ROUND((L41+L30)*LEFT(M50,5),0)</f>
        <v>676</v>
      </c>
      <c r="M50" s="854" t="str">
        <f>TEXT('MYP Assumptions'!F60,"0.00%")&amp;", no rate change"</f>
        <v>0.80%, no rate change</v>
      </c>
      <c r="O50" s="83">
        <f t="shared" si="17"/>
        <v>2.0710059171597635E-2</v>
      </c>
      <c r="P50" s="2">
        <f>ROUND((P41+P30)*LEFT(Q50,5),0)</f>
        <v>690</v>
      </c>
      <c r="Q50" s="854" t="str">
        <f>TEXT('MYP Assumptions'!G60,"0.00%")&amp;", no rate change"</f>
        <v>0.80%, no rate change</v>
      </c>
      <c r="S50" s="83">
        <f t="shared" si="18"/>
        <v>2.0289855072463767E-2</v>
      </c>
      <c r="T50" s="2">
        <f>ROUND((T41+T30)*LEFT(U50,5),0)</f>
        <v>704</v>
      </c>
      <c r="U50" s="81" t="str">
        <f>TEXT('MYP Assumptions'!H60,"0.00%")&amp;", no rate change"</f>
        <v>0.80%, no rate change</v>
      </c>
      <c r="W50" s="83">
        <f t="shared" si="19"/>
        <v>1.9886363636363636E-2</v>
      </c>
      <c r="X50" s="2">
        <f>ROUND((X41+X30)*LEFT(Y50,5),0)</f>
        <v>718</v>
      </c>
      <c r="Y50" s="81" t="str">
        <f>TEXT('MYP Assumptions'!I60,"0.00%")&amp;", no rate change"</f>
        <v>0.80%, no rate change</v>
      </c>
      <c r="AA50" s="83">
        <f t="shared" si="20"/>
        <v>1.9498607242339833E-2</v>
      </c>
      <c r="AB50" s="2">
        <f>ROUND((AB41+AB30)*LEFT(AC50,5),0)</f>
        <v>732</v>
      </c>
      <c r="AC50" s="81" t="str">
        <f>TEXT('MYP Assumptions'!J60,"0.00%")&amp;", no rate change"</f>
        <v>0.80%, no rate change</v>
      </c>
    </row>
    <row r="51" spans="1:29" x14ac:dyDescent="0.25">
      <c r="A51" s="66"/>
      <c r="B51" s="939" t="s">
        <v>91</v>
      </c>
      <c r="C51" s="857" t="s">
        <v>93</v>
      </c>
      <c r="D51" s="2">
        <v>500.94</v>
      </c>
      <c r="E51" s="863"/>
      <c r="F51" s="2"/>
      <c r="G51" s="83">
        <f t="shared" ref="G51" si="21">IF(D51=0,"0.00%",(H51-D51)/D51)</f>
        <v>-0.1356250249530882</v>
      </c>
      <c r="H51" s="2">
        <v>433</v>
      </c>
      <c r="I51" s="854" t="s">
        <v>166</v>
      </c>
      <c r="J51" s="66"/>
      <c r="K51" s="83">
        <f t="shared" ref="K51" si="22">IF(H51=0,"0.00%",(L51-H51)/H51)</f>
        <v>0</v>
      </c>
      <c r="L51" s="2">
        <f>H51</f>
        <v>433</v>
      </c>
      <c r="M51" s="854" t="s">
        <v>166</v>
      </c>
      <c r="O51" s="83">
        <f t="shared" ref="O51" si="23">IF(L51=0,"0.00%",(P51-L51)/L51)</f>
        <v>0</v>
      </c>
      <c r="P51" s="2">
        <f>L51</f>
        <v>433</v>
      </c>
      <c r="Q51" s="854" t="s">
        <v>166</v>
      </c>
      <c r="S51" s="83">
        <f t="shared" ref="S51" si="24">IF(P51=0,"0.00%",(T51-P51)/P51)</f>
        <v>0</v>
      </c>
      <c r="T51" s="2">
        <f>P51</f>
        <v>433</v>
      </c>
      <c r="U51" s="81" t="s">
        <v>166</v>
      </c>
      <c r="W51" s="83">
        <f t="shared" ref="W51" si="25">IF(T51=0,"0.00%",(X51-T51)/T51)</f>
        <v>0</v>
      </c>
      <c r="X51" s="2">
        <f>T51</f>
        <v>433</v>
      </c>
      <c r="Y51" s="81" t="s">
        <v>166</v>
      </c>
      <c r="AA51" s="83">
        <f t="shared" ref="AA51" si="26">IF(X51=0,"0.00%",(AB51-X51)/X51)</f>
        <v>0</v>
      </c>
      <c r="AB51" s="2">
        <f>X51</f>
        <v>433</v>
      </c>
      <c r="AC51" s="81" t="s">
        <v>166</v>
      </c>
    </row>
    <row r="52" spans="1:29" ht="7.5" customHeight="1" x14ac:dyDescent="0.25">
      <c r="A52" s="66"/>
      <c r="B52" s="939"/>
      <c r="E52" s="863"/>
      <c r="F52" s="2"/>
      <c r="G52" s="83"/>
      <c r="H52" s="2"/>
      <c r="I52" s="854"/>
      <c r="J52" s="66"/>
      <c r="K52" s="83"/>
      <c r="L52" s="2"/>
      <c r="M52" s="854"/>
      <c r="O52" s="83"/>
      <c r="Q52" s="854"/>
      <c r="S52" s="83"/>
      <c r="T52" s="2"/>
      <c r="U52" s="81"/>
      <c r="W52" s="83"/>
      <c r="X52" s="2"/>
      <c r="Y52" s="81"/>
      <c r="AA52" s="83"/>
      <c r="AB52" s="2"/>
      <c r="AC52" s="81"/>
    </row>
    <row r="53" spans="1:29" x14ac:dyDescent="0.25">
      <c r="A53" s="29"/>
      <c r="B53" s="939"/>
      <c r="D53" s="8">
        <f>SUM(D44:D52)</f>
        <v>28929.57</v>
      </c>
      <c r="E53" s="863"/>
      <c r="F53" s="2"/>
      <c r="G53" s="83">
        <f t="shared" si="15"/>
        <v>-0.14198517295625201</v>
      </c>
      <c r="H53" s="8">
        <f>SUM(H44:H52)</f>
        <v>24822</v>
      </c>
      <c r="I53" s="1292">
        <f>+H53-D53</f>
        <v>-4107.57</v>
      </c>
      <c r="J53" s="29"/>
      <c r="K53" s="83">
        <f t="shared" si="16"/>
        <v>9.7816453146402388E-2</v>
      </c>
      <c r="L53" s="8">
        <f>SUM(L44:L52)</f>
        <v>27250</v>
      </c>
      <c r="M53" s="1292">
        <f>+L53-H53</f>
        <v>2428</v>
      </c>
      <c r="O53" s="83">
        <f t="shared" si="17"/>
        <v>9.8678899082568813E-2</v>
      </c>
      <c r="P53" s="8">
        <f>SUM(P44:P52)</f>
        <v>29939</v>
      </c>
      <c r="Q53" s="1292">
        <f>+P53-L53</f>
        <v>2689</v>
      </c>
      <c r="S53" s="83">
        <f t="shared" si="18"/>
        <v>6.8004943384882596E-2</v>
      </c>
      <c r="T53" s="8">
        <f>SUM(T44:T52)</f>
        <v>31975</v>
      </c>
      <c r="U53" s="73"/>
      <c r="W53" s="83">
        <f t="shared" si="19"/>
        <v>3.9655981235340108E-2</v>
      </c>
      <c r="X53" s="8">
        <f>SUM(X44:X52)</f>
        <v>33243</v>
      </c>
      <c r="Y53" s="73"/>
      <c r="AA53" s="83">
        <f t="shared" si="20"/>
        <v>4.0218993472309957E-2</v>
      </c>
      <c r="AB53" s="8">
        <f>SUM(AB44:AB52)</f>
        <v>34580</v>
      </c>
      <c r="AC53" s="73"/>
    </row>
    <row r="54" spans="1:29" x14ac:dyDescent="0.25">
      <c r="A54" s="57"/>
      <c r="B54" s="939"/>
      <c r="E54" s="863"/>
      <c r="F54" s="2"/>
      <c r="H54" s="2"/>
      <c r="I54" s="871"/>
      <c r="J54" s="66"/>
      <c r="L54" s="2"/>
      <c r="M54" s="948"/>
      <c r="Q54" s="948"/>
      <c r="T54" s="2"/>
      <c r="U54" s="73"/>
      <c r="X54" s="2"/>
      <c r="Y54" s="73"/>
      <c r="AB54" s="2"/>
      <c r="AC54" s="73"/>
    </row>
    <row r="55" spans="1:29" x14ac:dyDescent="0.25">
      <c r="A55" s="29"/>
      <c r="B55" s="936" t="s">
        <v>26</v>
      </c>
      <c r="D55" s="8">
        <f>SUM(D53,D41,D30)</f>
        <v>139535.47</v>
      </c>
      <c r="E55" s="863"/>
      <c r="F55" s="2"/>
      <c r="G55" s="83">
        <f>IF(D55=0,"0.00%",(H55-D55)/D55)</f>
        <v>-0.22820340949867443</v>
      </c>
      <c r="H55" s="8">
        <f>SUM(H53,H41,H30)</f>
        <v>107693</v>
      </c>
      <c r="I55" s="1292">
        <f>+H55-D55</f>
        <v>-31842.47</v>
      </c>
      <c r="J55" s="29"/>
      <c r="K55" s="83">
        <f>IF(H55=0,"0.00%",(L55-H55)/H55)</f>
        <v>3.7931899009220657E-2</v>
      </c>
      <c r="L55" s="8">
        <f>SUM(L53,L41,L30)</f>
        <v>111778</v>
      </c>
      <c r="M55" s="1292">
        <f>+L55-H55</f>
        <v>4085</v>
      </c>
      <c r="O55" s="83">
        <f>IF(L55=0,"0.00%",(P55-L55)/L55)</f>
        <v>3.9184812753851384E-2</v>
      </c>
      <c r="P55" s="8">
        <f>SUM(P53,P41,P30)</f>
        <v>116158</v>
      </c>
      <c r="Q55" s="1292">
        <f>+P55-L55</f>
        <v>4380</v>
      </c>
      <c r="S55" s="83">
        <f>IF(P55=0,"0.00%",(T55-P55)/P55)</f>
        <v>3.2369703335112521E-2</v>
      </c>
      <c r="T55" s="8">
        <f>SUM(T53,T41,T30)</f>
        <v>119918</v>
      </c>
      <c r="U55" s="73"/>
      <c r="W55" s="83">
        <f>IF(T55=0,"0.00%",(X55-T55)/T55)</f>
        <v>2.5242248870061209E-2</v>
      </c>
      <c r="X55" s="8">
        <f>SUM(X53,X41,X30)</f>
        <v>122945</v>
      </c>
      <c r="Y55" s="73"/>
      <c r="AA55" s="83">
        <f>IF(X55=0,"0.00%",(AB55-X55)/X55)</f>
        <v>2.5466672089145551E-2</v>
      </c>
      <c r="AB55" s="8">
        <f>SUM(AB53,AB41,AB30)</f>
        <v>126076</v>
      </c>
      <c r="AC55" s="73"/>
    </row>
    <row r="56" spans="1:29" x14ac:dyDescent="0.25">
      <c r="A56" s="59"/>
      <c r="E56" s="863"/>
      <c r="F56" s="2"/>
      <c r="H56" s="2"/>
      <c r="I56" s="871"/>
      <c r="J56" s="66"/>
      <c r="L56" s="2"/>
      <c r="M56" s="948"/>
      <c r="Q56" s="948"/>
      <c r="T56" s="2"/>
      <c r="U56" s="73"/>
      <c r="X56" s="2"/>
      <c r="Y56" s="73"/>
      <c r="AB56" s="2"/>
      <c r="AC56" s="73"/>
    </row>
    <row r="57" spans="1:29" x14ac:dyDescent="0.25">
      <c r="A57" s="66"/>
      <c r="E57" s="863"/>
      <c r="F57" s="2"/>
      <c r="H57" s="2"/>
      <c r="I57" s="871"/>
      <c r="J57" s="66"/>
      <c r="L57" s="2"/>
      <c r="M57" s="948"/>
      <c r="Q57" s="948"/>
      <c r="T57" s="2"/>
      <c r="U57" s="73"/>
      <c r="X57" s="2"/>
      <c r="Y57" s="73"/>
      <c r="AB57" s="2"/>
      <c r="AC57" s="73"/>
    </row>
    <row r="58" spans="1:29" x14ac:dyDescent="0.25">
      <c r="A58" s="59"/>
      <c r="B58" s="940" t="s">
        <v>25</v>
      </c>
      <c r="C58" s="873"/>
      <c r="E58" s="863"/>
      <c r="F58" s="2"/>
      <c r="H58" s="2"/>
      <c r="I58" s="871"/>
      <c r="J58" s="66"/>
      <c r="L58" s="2"/>
      <c r="M58" s="948"/>
      <c r="Q58" s="948"/>
      <c r="T58" s="2"/>
      <c r="U58" s="73"/>
      <c r="X58" s="2"/>
      <c r="Y58" s="73"/>
      <c r="AB58" s="2"/>
      <c r="AC58" s="73"/>
    </row>
    <row r="59" spans="1:29" hidden="1" x14ac:dyDescent="0.25">
      <c r="A59" s="66"/>
      <c r="B59" s="939" t="s">
        <v>24</v>
      </c>
      <c r="C59" s="857" t="s">
        <v>23</v>
      </c>
      <c r="D59" s="2">
        <v>0</v>
      </c>
      <c r="E59" s="863"/>
      <c r="F59" s="2"/>
      <c r="G59" s="83" t="str">
        <f t="shared" ref="G59:G66" si="27">IF(D59=0,"0.00%",(H59-D59)/D59)</f>
        <v>0.00%</v>
      </c>
      <c r="H59" s="2">
        <f t="shared" ref="H59:H65" si="28">ROUND(D59*(LEFT(I59,5)+1),0)</f>
        <v>0</v>
      </c>
      <c r="I59" s="854" t="str">
        <f>TEXT('MYP Assumptions'!E75,"0.00%")&amp;", CPI"</f>
        <v>3.42%, CPI</v>
      </c>
      <c r="J59" s="66"/>
      <c r="K59" s="83" t="str">
        <f t="shared" ref="K59:K66" si="29">IF(H59=0,"0.00%",(L59-H59)/H59)</f>
        <v>0.00%</v>
      </c>
      <c r="L59" s="2">
        <f>ROUND(H59*(LEFT(M59,5)+1),0)</f>
        <v>0</v>
      </c>
      <c r="M59" s="854" t="str">
        <f>TEXT('MYP Assumptions'!F75,"0.00%")&amp;", CPI"</f>
        <v>3.35%, CPI</v>
      </c>
      <c r="O59" s="83" t="str">
        <f t="shared" ref="O59:O66" si="30">IF(L59=0,"0.00%",(P59-L59)/L59)</f>
        <v>0.00%</v>
      </c>
      <c r="P59" s="2">
        <f>ROUND(L59*(LEFT(Q59,5)+1),0)</f>
        <v>0</v>
      </c>
      <c r="Q59" s="854" t="str">
        <f>TEXT('MYP Assumptions'!G75,"0.00%")&amp;", CPI"</f>
        <v>3.02%, CPI</v>
      </c>
      <c r="S59" s="83" t="str">
        <f t="shared" ref="S59:S66" si="31">IF(P59=0,"0.00%",(T59-P59)/P59)</f>
        <v>0.00%</v>
      </c>
      <c r="T59" s="2">
        <f>ROUND(P59*(LEFT(U59,5)+1),0)</f>
        <v>0</v>
      </c>
      <c r="U59" s="81" t="str">
        <f>TEXT('MYP Assumptions'!H75,"0.00%")&amp;", CPI"</f>
        <v>2.73%, CPI</v>
      </c>
      <c r="W59" s="83" t="str">
        <f t="shared" ref="W59:W66" si="32">IF(T59=0,"0.00%",(X59-T59)/T59)</f>
        <v>0.00%</v>
      </c>
      <c r="X59" s="2">
        <f>ROUND(T59*(LEFT(Y59,5)+1),0)</f>
        <v>0</v>
      </c>
      <c r="Y59" s="81" t="str">
        <f>TEXT('MYP Assumptions'!I75,"0.00%")&amp;", CPI"</f>
        <v>2.73%, CPI</v>
      </c>
      <c r="AA59" s="83" t="str">
        <f t="shared" ref="AA59:AA66" si="33">IF(X59=0,"0.00%",(AB59-X59)/X59)</f>
        <v>0.00%</v>
      </c>
      <c r="AB59" s="2">
        <f>ROUND(X59*(LEFT(AC59,5)+1),0)</f>
        <v>0</v>
      </c>
      <c r="AC59" s="81" t="str">
        <f>TEXT('MYP Assumptions'!J75,"0.00%")&amp;", CPI"</f>
        <v>2.73%, CPI</v>
      </c>
    </row>
    <row r="60" spans="1:29" hidden="1" x14ac:dyDescent="0.25">
      <c r="A60" s="66"/>
      <c r="B60" s="939" t="s">
        <v>94</v>
      </c>
      <c r="C60" s="857" t="s">
        <v>96</v>
      </c>
      <c r="D60" s="2">
        <v>0</v>
      </c>
      <c r="E60" s="863"/>
      <c r="F60" s="2"/>
      <c r="G60" s="83" t="str">
        <f t="shared" si="27"/>
        <v>0.00%</v>
      </c>
      <c r="H60" s="2">
        <f t="shared" si="28"/>
        <v>0</v>
      </c>
      <c r="I60" s="854" t="str">
        <f>TEXT('MYP Assumptions'!E75,"0.00%")&amp;", CPI"</f>
        <v>3.42%, CPI</v>
      </c>
      <c r="J60" s="66"/>
      <c r="K60" s="83" t="str">
        <f t="shared" si="29"/>
        <v>0.00%</v>
      </c>
      <c r="L60" s="2">
        <f t="shared" ref="L60:L65" si="34">ROUND(H60*(LEFT(M60,5)+1),0)</f>
        <v>0</v>
      </c>
      <c r="M60" s="854" t="str">
        <f>TEXT('MYP Assumptions'!F75,"0.00%")&amp;", CPI"</f>
        <v>3.35%, CPI</v>
      </c>
      <c r="O60" s="83" t="str">
        <f t="shared" si="30"/>
        <v>0.00%</v>
      </c>
      <c r="P60" s="2">
        <f t="shared" ref="P60:P65" si="35">ROUND(L60*(LEFT(Q60,5)+1),0)</f>
        <v>0</v>
      </c>
      <c r="Q60" s="854" t="str">
        <f>TEXT('MYP Assumptions'!G75,"0.00%")&amp;", CPI"</f>
        <v>3.02%, CPI</v>
      </c>
      <c r="S60" s="83" t="str">
        <f t="shared" si="31"/>
        <v>0.00%</v>
      </c>
      <c r="T60" s="2">
        <f t="shared" ref="T60:T65" si="36">ROUND(P60*(LEFT(U60,5)+1),0)</f>
        <v>0</v>
      </c>
      <c r="U60" s="81" t="str">
        <f>TEXT('MYP Assumptions'!H75,"0.00%")&amp;", CPI"</f>
        <v>2.73%, CPI</v>
      </c>
      <c r="W60" s="83" t="str">
        <f t="shared" si="32"/>
        <v>0.00%</v>
      </c>
      <c r="X60" s="2">
        <f t="shared" ref="X60:X65" si="37">ROUND(T60*(LEFT(Y60,5)+1),0)</f>
        <v>0</v>
      </c>
      <c r="Y60" s="81" t="str">
        <f>TEXT('MYP Assumptions'!I75,"0.00%")&amp;", CPI"</f>
        <v>2.73%, CPI</v>
      </c>
      <c r="AA60" s="83" t="str">
        <f t="shared" si="33"/>
        <v>0.00%</v>
      </c>
      <c r="AB60" s="2">
        <f t="shared" ref="AB60:AB65" si="38">ROUND(X60*(LEFT(AC60,5)+1),0)</f>
        <v>0</v>
      </c>
      <c r="AC60" s="81" t="str">
        <f>TEXT('MYP Assumptions'!J75,"0.00%")&amp;", CPI"</f>
        <v>2.73%, CPI</v>
      </c>
    </row>
    <row r="61" spans="1:29" hidden="1" x14ac:dyDescent="0.25">
      <c r="A61" s="66"/>
      <c r="B61" s="939" t="s">
        <v>95</v>
      </c>
      <c r="C61" s="857" t="s">
        <v>97</v>
      </c>
      <c r="D61" s="2">
        <v>0</v>
      </c>
      <c r="E61" s="863"/>
      <c r="F61" s="2"/>
      <c r="G61" s="83" t="str">
        <f t="shared" si="27"/>
        <v>0.00%</v>
      </c>
      <c r="H61" s="2">
        <f t="shared" si="28"/>
        <v>0</v>
      </c>
      <c r="I61" s="854" t="str">
        <f>TEXT('MYP Assumptions'!E75,"0.00%")&amp;", CPI"</f>
        <v>3.42%, CPI</v>
      </c>
      <c r="J61" s="66"/>
      <c r="K61" s="83" t="str">
        <f t="shared" si="29"/>
        <v>0.00%</v>
      </c>
      <c r="L61" s="2">
        <f t="shared" si="34"/>
        <v>0</v>
      </c>
      <c r="M61" s="854" t="str">
        <f>TEXT('MYP Assumptions'!F75,"0.00%")&amp;", CPI"</f>
        <v>3.35%, CPI</v>
      </c>
      <c r="O61" s="83" t="str">
        <f t="shared" si="30"/>
        <v>0.00%</v>
      </c>
      <c r="P61" s="2">
        <f t="shared" si="35"/>
        <v>0</v>
      </c>
      <c r="Q61" s="854" t="str">
        <f>TEXT('MYP Assumptions'!G75,"0.00%")&amp;", CPI"</f>
        <v>3.02%, CPI</v>
      </c>
      <c r="S61" s="83" t="str">
        <f t="shared" si="31"/>
        <v>0.00%</v>
      </c>
      <c r="T61" s="2">
        <f t="shared" si="36"/>
        <v>0</v>
      </c>
      <c r="U61" s="81" t="str">
        <f>TEXT('MYP Assumptions'!H75,"0.00%")&amp;", CPI"</f>
        <v>2.73%, CPI</v>
      </c>
      <c r="W61" s="83" t="str">
        <f t="shared" si="32"/>
        <v>0.00%</v>
      </c>
      <c r="X61" s="2">
        <f t="shared" si="37"/>
        <v>0</v>
      </c>
      <c r="Y61" s="81" t="str">
        <f>TEXT('MYP Assumptions'!I75,"0.00%")&amp;", CPI"</f>
        <v>2.73%, CPI</v>
      </c>
      <c r="AA61" s="83" t="str">
        <f t="shared" si="33"/>
        <v>0.00%</v>
      </c>
      <c r="AB61" s="2">
        <f t="shared" si="38"/>
        <v>0</v>
      </c>
      <c r="AC61" s="81" t="str">
        <f>TEXT('MYP Assumptions'!J75,"0.00%")&amp;", CPI"</f>
        <v>2.73%, CPI</v>
      </c>
    </row>
    <row r="62" spans="1:29" x14ac:dyDescent="0.25">
      <c r="A62" s="66"/>
      <c r="B62" s="939" t="s">
        <v>22</v>
      </c>
      <c r="C62" s="857" t="s">
        <v>21</v>
      </c>
      <c r="D62" s="2">
        <v>410.9</v>
      </c>
      <c r="E62" s="863"/>
      <c r="F62" s="2"/>
      <c r="G62" s="83">
        <f t="shared" si="27"/>
        <v>-1</v>
      </c>
      <c r="H62" s="2">
        <v>0</v>
      </c>
      <c r="I62" s="854" t="s">
        <v>220</v>
      </c>
      <c r="J62" s="66"/>
      <c r="K62" s="83" t="str">
        <f t="shared" si="29"/>
        <v>0.00%</v>
      </c>
      <c r="L62" s="2">
        <f t="shared" si="34"/>
        <v>0</v>
      </c>
      <c r="M62" s="854" t="str">
        <f>TEXT('MYP Assumptions'!F75,"0.00%")&amp;", CPI"</f>
        <v>3.35%, CPI</v>
      </c>
      <c r="O62" s="83" t="str">
        <f t="shared" si="30"/>
        <v>0.00%</v>
      </c>
      <c r="P62" s="2">
        <f t="shared" si="35"/>
        <v>0</v>
      </c>
      <c r="Q62" s="854" t="str">
        <f>TEXT('MYP Assumptions'!G75,"0.00%")&amp;", CPI"</f>
        <v>3.02%, CPI</v>
      </c>
      <c r="S62" s="83" t="str">
        <f t="shared" si="31"/>
        <v>0.00%</v>
      </c>
      <c r="T62" s="2">
        <f t="shared" si="36"/>
        <v>0</v>
      </c>
      <c r="U62" s="81" t="str">
        <f>TEXT('MYP Assumptions'!H75,"0.00%")&amp;", CPI"</f>
        <v>2.73%, CPI</v>
      </c>
      <c r="W62" s="83" t="str">
        <f t="shared" si="32"/>
        <v>0.00%</v>
      </c>
      <c r="X62" s="2">
        <f t="shared" si="37"/>
        <v>0</v>
      </c>
      <c r="Y62" s="81" t="str">
        <f>TEXT('MYP Assumptions'!I75,"0.00%")&amp;", CPI"</f>
        <v>2.73%, CPI</v>
      </c>
      <c r="AA62" s="83" t="str">
        <f t="shared" si="33"/>
        <v>0.00%</v>
      </c>
      <c r="AB62" s="2">
        <f t="shared" si="38"/>
        <v>0</v>
      </c>
      <c r="AC62" s="81" t="str">
        <f>TEXT('MYP Assumptions'!J75,"0.00%")&amp;", CPI"</f>
        <v>2.73%, CPI</v>
      </c>
    </row>
    <row r="63" spans="1:29" hidden="1" x14ac:dyDescent="0.25">
      <c r="A63" s="66"/>
      <c r="B63" s="939" t="s">
        <v>20</v>
      </c>
      <c r="C63" s="857" t="s">
        <v>19</v>
      </c>
      <c r="D63" s="2">
        <v>0</v>
      </c>
      <c r="E63" s="863"/>
      <c r="F63" s="2"/>
      <c r="G63" s="83" t="str">
        <f t="shared" si="27"/>
        <v>0.00%</v>
      </c>
      <c r="H63" s="2">
        <f t="shared" si="28"/>
        <v>0</v>
      </c>
      <c r="I63" s="854" t="str">
        <f>TEXT('MYP Assumptions'!E75,"0.00%")&amp;", CPI"</f>
        <v>3.42%, CPI</v>
      </c>
      <c r="J63" s="66"/>
      <c r="K63" s="83" t="str">
        <f t="shared" si="29"/>
        <v>0.00%</v>
      </c>
      <c r="L63" s="2">
        <f t="shared" si="34"/>
        <v>0</v>
      </c>
      <c r="M63" s="854" t="str">
        <f>TEXT('MYP Assumptions'!F75,"0.00%")&amp;", CPI"</f>
        <v>3.35%, CPI</v>
      </c>
      <c r="O63" s="83" t="str">
        <f t="shared" si="30"/>
        <v>0.00%</v>
      </c>
      <c r="P63" s="2">
        <f t="shared" si="35"/>
        <v>0</v>
      </c>
      <c r="Q63" s="854" t="str">
        <f>TEXT('MYP Assumptions'!G75,"0.00%")&amp;", CPI"</f>
        <v>3.02%, CPI</v>
      </c>
      <c r="S63" s="83" t="str">
        <f t="shared" si="31"/>
        <v>0.00%</v>
      </c>
      <c r="T63" s="2">
        <f t="shared" si="36"/>
        <v>0</v>
      </c>
      <c r="U63" s="81" t="str">
        <f>TEXT('MYP Assumptions'!H75,"0.00%")&amp;", CPI"</f>
        <v>2.73%, CPI</v>
      </c>
      <c r="W63" s="83" t="str">
        <f t="shared" si="32"/>
        <v>0.00%</v>
      </c>
      <c r="X63" s="2">
        <f t="shared" si="37"/>
        <v>0</v>
      </c>
      <c r="Y63" s="81" t="str">
        <f>TEXT('MYP Assumptions'!I75,"0.00%")&amp;", CPI"</f>
        <v>2.73%, CPI</v>
      </c>
      <c r="AA63" s="83" t="str">
        <f t="shared" si="33"/>
        <v>0.00%</v>
      </c>
      <c r="AB63" s="2">
        <f t="shared" si="38"/>
        <v>0</v>
      </c>
      <c r="AC63" s="81" t="str">
        <f>TEXT('MYP Assumptions'!J75,"0.00%")&amp;", CPI"</f>
        <v>2.73%, CPI</v>
      </c>
    </row>
    <row r="64" spans="1:29" hidden="1" x14ac:dyDescent="0.25">
      <c r="A64" s="66"/>
      <c r="B64" s="939" t="s">
        <v>18</v>
      </c>
      <c r="C64" s="857" t="s">
        <v>17</v>
      </c>
      <c r="D64" s="2">
        <v>0</v>
      </c>
      <c r="E64" s="863"/>
      <c r="F64" s="2"/>
      <c r="G64" s="83" t="str">
        <f t="shared" si="27"/>
        <v>0.00%</v>
      </c>
      <c r="H64" s="2">
        <f t="shared" si="28"/>
        <v>0</v>
      </c>
      <c r="I64" s="854" t="str">
        <f>TEXT('MYP Assumptions'!E75,"0.00%")&amp;", CPI"</f>
        <v>3.42%, CPI</v>
      </c>
      <c r="J64" s="66"/>
      <c r="K64" s="83" t="str">
        <f t="shared" si="29"/>
        <v>0.00%</v>
      </c>
      <c r="L64" s="2">
        <f t="shared" si="34"/>
        <v>0</v>
      </c>
      <c r="M64" s="854" t="str">
        <f>TEXT('MYP Assumptions'!F75,"0.00%")&amp;", CPI"</f>
        <v>3.35%, CPI</v>
      </c>
      <c r="O64" s="83" t="str">
        <f t="shared" si="30"/>
        <v>0.00%</v>
      </c>
      <c r="P64" s="2">
        <f t="shared" si="35"/>
        <v>0</v>
      </c>
      <c r="Q64" s="854" t="str">
        <f>TEXT('MYP Assumptions'!G75,"0.00%")&amp;", CPI"</f>
        <v>3.02%, CPI</v>
      </c>
      <c r="S64" s="83" t="str">
        <f t="shared" si="31"/>
        <v>0.00%</v>
      </c>
      <c r="T64" s="2">
        <f t="shared" si="36"/>
        <v>0</v>
      </c>
      <c r="U64" s="81" t="str">
        <f>TEXT('MYP Assumptions'!H75,"0.00%")&amp;", CPI"</f>
        <v>2.73%, CPI</v>
      </c>
      <c r="W64" s="83" t="str">
        <f t="shared" si="32"/>
        <v>0.00%</v>
      </c>
      <c r="X64" s="2">
        <f t="shared" si="37"/>
        <v>0</v>
      </c>
      <c r="Y64" s="81" t="str">
        <f>TEXT('MYP Assumptions'!I75,"0.00%")&amp;", CPI"</f>
        <v>2.73%, CPI</v>
      </c>
      <c r="AA64" s="83" t="str">
        <f t="shared" si="33"/>
        <v>0.00%</v>
      </c>
      <c r="AB64" s="2">
        <f t="shared" si="38"/>
        <v>0</v>
      </c>
      <c r="AC64" s="81" t="str">
        <f>TEXT('MYP Assumptions'!J75,"0.00%")&amp;", CPI"</f>
        <v>2.73%, CPI</v>
      </c>
    </row>
    <row r="65" spans="1:29" hidden="1" x14ac:dyDescent="0.25">
      <c r="A65" s="66"/>
      <c r="B65" s="939">
        <v>4000</v>
      </c>
      <c r="C65" s="941">
        <v>0</v>
      </c>
      <c r="D65" s="2">
        <v>0</v>
      </c>
      <c r="E65" s="863"/>
      <c r="F65" s="2"/>
      <c r="G65" s="83" t="str">
        <f t="shared" si="27"/>
        <v>0.00%</v>
      </c>
      <c r="H65" s="2">
        <f t="shared" si="28"/>
        <v>0</v>
      </c>
      <c r="I65" s="854" t="str">
        <f>TEXT('MYP Assumptions'!E75,"0.00%")&amp;", CPI"</f>
        <v>3.42%, CPI</v>
      </c>
      <c r="J65" s="66"/>
      <c r="K65" s="83" t="str">
        <f t="shared" si="29"/>
        <v>0.00%</v>
      </c>
      <c r="L65" s="2">
        <f t="shared" si="34"/>
        <v>0</v>
      </c>
      <c r="M65" s="854" t="str">
        <f>TEXT('MYP Assumptions'!F75,"0.00%")&amp;", CPI"</f>
        <v>3.35%, CPI</v>
      </c>
      <c r="O65" s="83" t="str">
        <f t="shared" si="30"/>
        <v>0.00%</v>
      </c>
      <c r="P65" s="2">
        <f t="shared" si="35"/>
        <v>0</v>
      </c>
      <c r="Q65" s="854" t="str">
        <f>TEXT('MYP Assumptions'!G75,"0.00%")&amp;", CPI"</f>
        <v>3.02%, CPI</v>
      </c>
      <c r="S65" s="83" t="str">
        <f t="shared" si="31"/>
        <v>0.00%</v>
      </c>
      <c r="T65" s="2">
        <f t="shared" si="36"/>
        <v>0</v>
      </c>
      <c r="U65" s="81" t="str">
        <f>TEXT('MYP Assumptions'!H75,"0.00%")&amp;", CPI"</f>
        <v>2.73%, CPI</v>
      </c>
      <c r="W65" s="83" t="str">
        <f t="shared" si="32"/>
        <v>0.00%</v>
      </c>
      <c r="X65" s="2">
        <f t="shared" si="37"/>
        <v>0</v>
      </c>
      <c r="Y65" s="81" t="str">
        <f>TEXT('MYP Assumptions'!I75,"0.00%")&amp;", CPI"</f>
        <v>2.73%, CPI</v>
      </c>
      <c r="AA65" s="83" t="str">
        <f t="shared" si="33"/>
        <v>0.00%</v>
      </c>
      <c r="AB65" s="2">
        <f t="shared" si="38"/>
        <v>0</v>
      </c>
      <c r="AC65" s="81" t="str">
        <f>TEXT('MYP Assumptions'!J75,"0.00%")&amp;", CPI"</f>
        <v>2.73%, CPI</v>
      </c>
    </row>
    <row r="66" spans="1:29" x14ac:dyDescent="0.25">
      <c r="A66" s="29"/>
      <c r="B66" s="857"/>
      <c r="D66" s="8">
        <f>SUM(D59:D65)</f>
        <v>410.9</v>
      </c>
      <c r="E66" s="863"/>
      <c r="F66" s="2"/>
      <c r="G66" s="83">
        <f t="shared" si="27"/>
        <v>-1</v>
      </c>
      <c r="H66" s="8">
        <f>SUM(H59:H65)</f>
        <v>0</v>
      </c>
      <c r="I66" s="1292">
        <f>+H66-D66</f>
        <v>-410.9</v>
      </c>
      <c r="J66" s="29"/>
      <c r="K66" s="83" t="str">
        <f t="shared" si="29"/>
        <v>0.00%</v>
      </c>
      <c r="L66" s="8">
        <f>SUM(L59:L65)</f>
        <v>0</v>
      </c>
      <c r="M66" s="1292">
        <f>+L66-H66</f>
        <v>0</v>
      </c>
      <c r="O66" s="83" t="str">
        <f t="shared" si="30"/>
        <v>0.00%</v>
      </c>
      <c r="P66" s="8">
        <f>SUM(P59:P65)</f>
        <v>0</v>
      </c>
      <c r="Q66" s="1292">
        <f>+P66-L66</f>
        <v>0</v>
      </c>
      <c r="S66" s="83" t="str">
        <f t="shared" si="31"/>
        <v>0.00%</v>
      </c>
      <c r="T66" s="8">
        <f>SUM(T59:T65)</f>
        <v>0</v>
      </c>
      <c r="U66" s="73"/>
      <c r="W66" s="83" t="str">
        <f t="shared" si="32"/>
        <v>0.00%</v>
      </c>
      <c r="X66" s="8">
        <f>SUM(X59:X65)</f>
        <v>0</v>
      </c>
      <c r="Y66" s="73"/>
      <c r="AA66" s="83" t="str">
        <f t="shared" si="33"/>
        <v>0.00%</v>
      </c>
      <c r="AB66" s="8">
        <f>SUM(AB59:AB65)</f>
        <v>0</v>
      </c>
      <c r="AC66" s="73"/>
    </row>
    <row r="67" spans="1:29" x14ac:dyDescent="0.25">
      <c r="A67" s="66"/>
      <c r="E67" s="863"/>
      <c r="F67" s="2"/>
      <c r="H67" s="2"/>
      <c r="I67" s="871"/>
      <c r="J67" s="66"/>
      <c r="L67" s="2"/>
      <c r="M67" s="948"/>
      <c r="Q67" s="948"/>
      <c r="T67" s="2"/>
      <c r="U67" s="73"/>
      <c r="X67" s="2"/>
      <c r="Y67" s="73"/>
      <c r="AB67" s="2"/>
      <c r="AC67" s="73"/>
    </row>
    <row r="68" spans="1:29" s="4" customFormat="1" x14ac:dyDescent="0.25">
      <c r="A68" s="58"/>
      <c r="B68" s="936" t="s">
        <v>16</v>
      </c>
      <c r="C68" s="873"/>
      <c r="D68" s="6"/>
      <c r="E68" s="864"/>
      <c r="F68" s="6"/>
      <c r="G68" s="373"/>
      <c r="H68" s="6"/>
      <c r="I68" s="873"/>
      <c r="J68" s="58"/>
      <c r="K68" s="380"/>
      <c r="L68" s="6"/>
      <c r="M68" s="950"/>
      <c r="O68" s="380"/>
      <c r="P68" s="6"/>
      <c r="Q68" s="950"/>
      <c r="R68" s="111"/>
      <c r="U68" s="71"/>
      <c r="Y68" s="71"/>
      <c r="AC68" s="71"/>
    </row>
    <row r="69" spans="1:29" x14ac:dyDescent="0.25">
      <c r="A69" s="66"/>
      <c r="B69" s="939" t="s">
        <v>5</v>
      </c>
      <c r="C69" s="857" t="s">
        <v>4</v>
      </c>
      <c r="D69" s="2">
        <v>103.32</v>
      </c>
      <c r="E69" s="862"/>
      <c r="F69" s="2"/>
      <c r="G69" s="83">
        <f t="shared" ref="G69:G74" si="39">IF(D69=0,"0.00%",(H69-D69)/D69)</f>
        <v>0.93573364305071638</v>
      </c>
      <c r="H69" s="2">
        <v>200</v>
      </c>
      <c r="I69" s="854"/>
      <c r="J69" s="66"/>
      <c r="K69" s="83">
        <f t="shared" ref="K69:K82" si="40">IF(H69=0,"0.00%",(L69-H69)/H69)</f>
        <v>0</v>
      </c>
      <c r="L69" s="2">
        <v>200</v>
      </c>
      <c r="M69" s="854" t="s">
        <v>174</v>
      </c>
      <c r="O69" s="83">
        <f t="shared" ref="O69:O82" si="41">IF(L69=0,"0.00%",(P69-L69)/L69)</f>
        <v>0</v>
      </c>
      <c r="P69" s="2">
        <f>+L69</f>
        <v>200</v>
      </c>
      <c r="Q69" s="854" t="s">
        <v>174</v>
      </c>
      <c r="S69" s="83">
        <f t="shared" ref="S69:S82" si="42">IF(P69=0,"0.00%",(T69-P69)/P69)</f>
        <v>2.5000000000000001E-2</v>
      </c>
      <c r="T69" s="2">
        <f>ROUND(P69*(LEFT(U69,5)+1),0)</f>
        <v>205</v>
      </c>
      <c r="U69" s="81" t="str">
        <f>TEXT('MYP Assumptions'!H75,"0.00%")&amp;", CPI"</f>
        <v>2.73%, CPI</v>
      </c>
      <c r="W69" s="83">
        <f t="shared" ref="W69:W82" si="43">IF(T69=0,"0.00%",(X69-T69)/T69)</f>
        <v>2.9268292682926831E-2</v>
      </c>
      <c r="X69" s="2">
        <f>ROUND(T69*(LEFT(Y69,5)+1),0)</f>
        <v>211</v>
      </c>
      <c r="Y69" s="81" t="str">
        <f>TEXT('MYP Assumptions'!I75,"0.00%")&amp;", CPI"</f>
        <v>2.73%, CPI</v>
      </c>
      <c r="AA69" s="83">
        <f t="shared" ref="AA69:AA82" si="44">IF(X69=0,"0.00%",(AB69-X69)/X69)</f>
        <v>2.843601895734597E-2</v>
      </c>
      <c r="AB69" s="2">
        <f>ROUND(X69*(LEFT(AC69,5)+1),0)</f>
        <v>217</v>
      </c>
      <c r="AC69" s="81" t="str">
        <f>TEXT('MYP Assumptions'!J75,"0.00%")&amp;", CPI"</f>
        <v>2.73%, CPI</v>
      </c>
    </row>
    <row r="70" spans="1:29" hidden="1" x14ac:dyDescent="0.25">
      <c r="A70" s="66"/>
      <c r="B70" s="939" t="s">
        <v>13</v>
      </c>
      <c r="C70" s="857" t="s">
        <v>12</v>
      </c>
      <c r="D70" s="2">
        <v>0</v>
      </c>
      <c r="E70" s="862"/>
      <c r="F70" s="2"/>
      <c r="G70" s="83" t="str">
        <f t="shared" si="39"/>
        <v>0.00%</v>
      </c>
      <c r="H70" s="2">
        <f>ROUND(D70*(LEFT(I70,5)+1),0)</f>
        <v>0</v>
      </c>
      <c r="I70" s="854" t="str">
        <f>TEXT('MYP Assumptions'!E75,"0.00%")&amp;", CPI"</f>
        <v>3.42%, CPI</v>
      </c>
      <c r="J70" s="66"/>
      <c r="K70" s="83" t="str">
        <f t="shared" si="40"/>
        <v>0.00%</v>
      </c>
      <c r="L70" s="2">
        <f t="shared" ref="L70:L81" si="45">ROUND(H70*(LEFT(M70,5)+1),0)</f>
        <v>0</v>
      </c>
      <c r="M70" s="854" t="str">
        <f>TEXT('MYP Assumptions'!F75,"0.00%")&amp;", CPI"</f>
        <v>3.35%, CPI</v>
      </c>
      <c r="O70" s="83" t="str">
        <f t="shared" si="41"/>
        <v>0.00%</v>
      </c>
      <c r="P70" s="2">
        <f t="shared" ref="P70:P81" si="46">ROUND(L70*(LEFT(Q70,5)+1),0)</f>
        <v>0</v>
      </c>
      <c r="Q70" s="854" t="str">
        <f>TEXT('MYP Assumptions'!G75,"0.00%")&amp;", CPI"</f>
        <v>3.02%, CPI</v>
      </c>
      <c r="S70" s="83" t="str">
        <f t="shared" si="42"/>
        <v>0.00%</v>
      </c>
      <c r="T70" s="2">
        <f t="shared" ref="T70:T81" si="47">ROUND(P70*(LEFT(U70,5)+1),0)</f>
        <v>0</v>
      </c>
      <c r="U70" s="81" t="str">
        <f>TEXT('MYP Assumptions'!H75,"0.00%")&amp;", CPI"</f>
        <v>2.73%, CPI</v>
      </c>
      <c r="W70" s="83" t="str">
        <f t="shared" si="43"/>
        <v>0.00%</v>
      </c>
      <c r="X70" s="2">
        <f t="shared" ref="X70:X81" si="48">ROUND(T70*(LEFT(Y70,5)+1),0)</f>
        <v>0</v>
      </c>
      <c r="Y70" s="81" t="str">
        <f>TEXT('MYP Assumptions'!I75,"0.00%")&amp;", CPI"</f>
        <v>2.73%, CPI</v>
      </c>
      <c r="AA70" s="83" t="str">
        <f t="shared" si="44"/>
        <v>0.00%</v>
      </c>
      <c r="AB70" s="2">
        <f t="shared" ref="AB70:AB81" si="49">ROUND(X70*(LEFT(AC70,5)+1),0)</f>
        <v>0</v>
      </c>
      <c r="AC70" s="81" t="str">
        <f>TEXT('MYP Assumptions'!J75,"0.00%")&amp;", CPI"</f>
        <v>2.73%, CPI</v>
      </c>
    </row>
    <row r="71" spans="1:29" hidden="1" x14ac:dyDescent="0.25">
      <c r="A71" s="66"/>
      <c r="B71" s="939" t="s">
        <v>128</v>
      </c>
      <c r="C71" s="857" t="s">
        <v>129</v>
      </c>
      <c r="D71" s="2">
        <v>0</v>
      </c>
      <c r="E71" s="862" t="s">
        <v>735</v>
      </c>
      <c r="F71" s="2"/>
      <c r="G71" s="83" t="str">
        <f t="shared" si="39"/>
        <v>0.00%</v>
      </c>
      <c r="H71" s="2">
        <f t="shared" ref="H71:H76" si="50">ROUND(D71*(LEFT(I71,5)+1),0)</f>
        <v>0</v>
      </c>
      <c r="I71" s="854" t="str">
        <f>TEXT('MYP Assumptions'!E75,"0.00%")&amp;", CPI"</f>
        <v>3.42%, CPI</v>
      </c>
      <c r="J71" s="66"/>
      <c r="K71" s="83" t="str">
        <f t="shared" si="40"/>
        <v>0.00%</v>
      </c>
      <c r="L71" s="2">
        <f t="shared" si="45"/>
        <v>0</v>
      </c>
      <c r="M71" s="854" t="str">
        <f>TEXT('MYP Assumptions'!F75,"0.00%")&amp;", CPI"</f>
        <v>3.35%, CPI</v>
      </c>
      <c r="O71" s="83" t="str">
        <f t="shared" si="41"/>
        <v>0.00%</v>
      </c>
      <c r="P71" s="2">
        <f t="shared" si="46"/>
        <v>0</v>
      </c>
      <c r="Q71" s="854" t="str">
        <f>TEXT('MYP Assumptions'!G75,"0.00%")&amp;", CPI"</f>
        <v>3.02%, CPI</v>
      </c>
      <c r="S71" s="83" t="str">
        <f t="shared" si="42"/>
        <v>0.00%</v>
      </c>
      <c r="T71" s="2">
        <f t="shared" si="47"/>
        <v>0</v>
      </c>
      <c r="U71" s="81" t="str">
        <f>TEXT('MYP Assumptions'!H75,"0.00%")&amp;", CPI"</f>
        <v>2.73%, CPI</v>
      </c>
      <c r="W71" s="83" t="str">
        <f t="shared" si="43"/>
        <v>0.00%</v>
      </c>
      <c r="X71" s="2">
        <f t="shared" si="48"/>
        <v>0</v>
      </c>
      <c r="Y71" s="81" t="str">
        <f>TEXT('MYP Assumptions'!I75,"0.00%")&amp;", CPI"</f>
        <v>2.73%, CPI</v>
      </c>
      <c r="AA71" s="83" t="str">
        <f t="shared" si="44"/>
        <v>0.00%</v>
      </c>
      <c r="AB71" s="2">
        <f t="shared" si="49"/>
        <v>0</v>
      </c>
      <c r="AC71" s="81" t="str">
        <f>TEXT('MYP Assumptions'!J75,"0.00%")&amp;", CPI"</f>
        <v>2.73%, CPI</v>
      </c>
    </row>
    <row r="72" spans="1:29" hidden="1" x14ac:dyDescent="0.25">
      <c r="A72" s="66"/>
      <c r="B72" s="939" t="s">
        <v>11</v>
      </c>
      <c r="C72" s="857" t="s">
        <v>10</v>
      </c>
      <c r="D72" s="2">
        <v>0</v>
      </c>
      <c r="E72" s="862"/>
      <c r="F72" s="2"/>
      <c r="G72" s="83" t="str">
        <f t="shared" si="39"/>
        <v>0.00%</v>
      </c>
      <c r="H72" s="2">
        <f t="shared" si="50"/>
        <v>0</v>
      </c>
      <c r="I72" s="854" t="str">
        <f>TEXT('MYP Assumptions'!E75,"0.00%")&amp;", CPI"</f>
        <v>3.42%, CPI</v>
      </c>
      <c r="J72" s="66"/>
      <c r="K72" s="83" t="str">
        <f t="shared" si="40"/>
        <v>0.00%</v>
      </c>
      <c r="L72" s="2">
        <f t="shared" si="45"/>
        <v>0</v>
      </c>
      <c r="M72" s="854" t="str">
        <f>TEXT('MYP Assumptions'!F75,"0.00%")&amp;", CPI"</f>
        <v>3.35%, CPI</v>
      </c>
      <c r="O72" s="83" t="str">
        <f t="shared" si="41"/>
        <v>0.00%</v>
      </c>
      <c r="P72" s="2">
        <f t="shared" si="46"/>
        <v>0</v>
      </c>
      <c r="Q72" s="854" t="str">
        <f>TEXT('MYP Assumptions'!G75,"0.00%")&amp;", CPI"</f>
        <v>3.02%, CPI</v>
      </c>
      <c r="S72" s="83" t="str">
        <f t="shared" si="42"/>
        <v>0.00%</v>
      </c>
      <c r="T72" s="2">
        <f t="shared" si="47"/>
        <v>0</v>
      </c>
      <c r="U72" s="81" t="str">
        <f>TEXT('MYP Assumptions'!H75,"0.00%")&amp;", CPI"</f>
        <v>2.73%, CPI</v>
      </c>
      <c r="W72" s="83" t="str">
        <f t="shared" si="43"/>
        <v>0.00%</v>
      </c>
      <c r="X72" s="2">
        <f t="shared" si="48"/>
        <v>0</v>
      </c>
      <c r="Y72" s="81" t="str">
        <f>TEXT('MYP Assumptions'!I75,"0.00%")&amp;", CPI"</f>
        <v>2.73%, CPI</v>
      </c>
      <c r="AA72" s="83" t="str">
        <f t="shared" si="44"/>
        <v>0.00%</v>
      </c>
      <c r="AB72" s="2">
        <f t="shared" si="49"/>
        <v>0</v>
      </c>
      <c r="AC72" s="81" t="str">
        <f>TEXT('MYP Assumptions'!J75,"0.00%")&amp;", CPI"</f>
        <v>2.73%, CPI</v>
      </c>
    </row>
    <row r="73" spans="1:29" hidden="1" x14ac:dyDescent="0.25">
      <c r="A73" s="66"/>
      <c r="B73" s="939" t="s">
        <v>120</v>
      </c>
      <c r="C73" s="857" t="s">
        <v>121</v>
      </c>
      <c r="D73" s="2">
        <v>0</v>
      </c>
      <c r="E73" s="862"/>
      <c r="F73" s="2"/>
      <c r="G73" s="83" t="str">
        <f t="shared" si="39"/>
        <v>0.00%</v>
      </c>
      <c r="H73" s="2">
        <f t="shared" si="50"/>
        <v>0</v>
      </c>
      <c r="I73" s="854" t="str">
        <f>TEXT('MYP Assumptions'!E75,"0.00%")&amp;", CPI"</f>
        <v>3.42%, CPI</v>
      </c>
      <c r="J73" s="66"/>
      <c r="K73" s="83" t="str">
        <f t="shared" si="40"/>
        <v>0.00%</v>
      </c>
      <c r="L73" s="2">
        <f t="shared" si="45"/>
        <v>0</v>
      </c>
      <c r="M73" s="854" t="str">
        <f>TEXT('MYP Assumptions'!F75,"0.00%")&amp;", CPI"</f>
        <v>3.35%, CPI</v>
      </c>
      <c r="O73" s="83" t="str">
        <f t="shared" si="41"/>
        <v>0.00%</v>
      </c>
      <c r="P73" s="2">
        <f t="shared" si="46"/>
        <v>0</v>
      </c>
      <c r="Q73" s="854" t="str">
        <f>TEXT('MYP Assumptions'!G75,"0.00%")&amp;", CPI"</f>
        <v>3.02%, CPI</v>
      </c>
      <c r="S73" s="83" t="str">
        <f t="shared" si="42"/>
        <v>0.00%</v>
      </c>
      <c r="T73" s="2">
        <f t="shared" si="47"/>
        <v>0</v>
      </c>
      <c r="U73" s="81" t="str">
        <f>TEXT('MYP Assumptions'!H75,"0.00%")&amp;", CPI"</f>
        <v>2.73%, CPI</v>
      </c>
      <c r="W73" s="83" t="str">
        <f t="shared" si="43"/>
        <v>0.00%</v>
      </c>
      <c r="X73" s="2">
        <f t="shared" si="48"/>
        <v>0</v>
      </c>
      <c r="Y73" s="81" t="str">
        <f>TEXT('MYP Assumptions'!I75,"0.00%")&amp;", CPI"</f>
        <v>2.73%, CPI</v>
      </c>
      <c r="AA73" s="83" t="str">
        <f t="shared" si="44"/>
        <v>0.00%</v>
      </c>
      <c r="AB73" s="2">
        <f t="shared" si="49"/>
        <v>0</v>
      </c>
      <c r="AC73" s="81" t="str">
        <f>TEXT('MYP Assumptions'!J75,"0.00%")&amp;", CPI"</f>
        <v>2.73%, CPI</v>
      </c>
    </row>
    <row r="74" spans="1:29" hidden="1" x14ac:dyDescent="0.25">
      <c r="A74" s="66"/>
      <c r="B74" s="939" t="s">
        <v>126</v>
      </c>
      <c r="C74" s="857" t="s">
        <v>127</v>
      </c>
      <c r="D74" s="2">
        <v>0</v>
      </c>
      <c r="E74" s="862"/>
      <c r="F74" s="2"/>
      <c r="G74" s="83" t="str">
        <f t="shared" si="39"/>
        <v>0.00%</v>
      </c>
      <c r="H74" s="2">
        <f t="shared" si="50"/>
        <v>0</v>
      </c>
      <c r="I74" s="854" t="str">
        <f>TEXT('MYP Assumptions'!E75,"0.00%")&amp;", CPI"</f>
        <v>3.42%, CPI</v>
      </c>
      <c r="J74" s="66"/>
      <c r="K74" s="83" t="str">
        <f t="shared" si="40"/>
        <v>0.00%</v>
      </c>
      <c r="L74" s="2">
        <f t="shared" si="45"/>
        <v>0</v>
      </c>
      <c r="M74" s="854" t="str">
        <f>TEXT('MYP Assumptions'!F75,"0.00%")&amp;", CPI"</f>
        <v>3.35%, CPI</v>
      </c>
      <c r="O74" s="83" t="str">
        <f t="shared" si="41"/>
        <v>0.00%</v>
      </c>
      <c r="P74" s="2">
        <f t="shared" si="46"/>
        <v>0</v>
      </c>
      <c r="Q74" s="854" t="str">
        <f>TEXT('MYP Assumptions'!G75,"0.00%")&amp;", CPI"</f>
        <v>3.02%, CPI</v>
      </c>
      <c r="S74" s="83" t="str">
        <f t="shared" si="42"/>
        <v>0.00%</v>
      </c>
      <c r="T74" s="2">
        <f t="shared" si="47"/>
        <v>0</v>
      </c>
      <c r="U74" s="81" t="str">
        <f>TEXT('MYP Assumptions'!H75,"0.00%")&amp;", CPI"</f>
        <v>2.73%, CPI</v>
      </c>
      <c r="W74" s="83" t="str">
        <f t="shared" si="43"/>
        <v>0.00%</v>
      </c>
      <c r="X74" s="2">
        <f t="shared" si="48"/>
        <v>0</v>
      </c>
      <c r="Y74" s="81" t="str">
        <f>TEXT('MYP Assumptions'!I75,"0.00%")&amp;", CPI"</f>
        <v>2.73%, CPI</v>
      </c>
      <c r="AA74" s="83" t="str">
        <f t="shared" si="44"/>
        <v>0.00%</v>
      </c>
      <c r="AB74" s="2">
        <f t="shared" si="49"/>
        <v>0</v>
      </c>
      <c r="AC74" s="81" t="str">
        <f>TEXT('MYP Assumptions'!J75,"0.00%")&amp;", CPI"</f>
        <v>2.73%, CPI</v>
      </c>
    </row>
    <row r="75" spans="1:29" hidden="1" x14ac:dyDescent="0.25">
      <c r="A75" s="66"/>
      <c r="B75" s="939" t="s">
        <v>9</v>
      </c>
      <c r="C75" s="857" t="s">
        <v>8</v>
      </c>
      <c r="D75" s="2">
        <v>0</v>
      </c>
      <c r="E75" s="862"/>
      <c r="F75" s="2"/>
      <c r="G75" s="83" t="str">
        <f>IF(D75=0,"0.00%",(H75-D75)/D75)</f>
        <v>0.00%</v>
      </c>
      <c r="H75" s="2">
        <f t="shared" si="50"/>
        <v>0</v>
      </c>
      <c r="I75" s="854" t="str">
        <f>TEXT('MYP Assumptions'!E75,"0.00%")&amp;", CPI"</f>
        <v>3.42%, CPI</v>
      </c>
      <c r="J75" s="66"/>
      <c r="K75" s="83" t="str">
        <f t="shared" si="40"/>
        <v>0.00%</v>
      </c>
      <c r="L75" s="2">
        <f t="shared" si="45"/>
        <v>0</v>
      </c>
      <c r="M75" s="854" t="str">
        <f>TEXT('MYP Assumptions'!F75,"0.00%")&amp;", CPI"</f>
        <v>3.35%, CPI</v>
      </c>
      <c r="O75" s="83" t="str">
        <f t="shared" si="41"/>
        <v>0.00%</v>
      </c>
      <c r="P75" s="2">
        <f t="shared" si="46"/>
        <v>0</v>
      </c>
      <c r="Q75" s="854" t="str">
        <f>TEXT('MYP Assumptions'!G75,"0.00%")&amp;", CPI"</f>
        <v>3.02%, CPI</v>
      </c>
      <c r="S75" s="83" t="str">
        <f t="shared" si="42"/>
        <v>0.00%</v>
      </c>
      <c r="T75" s="2">
        <f t="shared" si="47"/>
        <v>0</v>
      </c>
      <c r="U75" s="81" t="str">
        <f>TEXT('MYP Assumptions'!H75,"0.00%")&amp;", CPI"</f>
        <v>2.73%, CPI</v>
      </c>
      <c r="W75" s="83" t="str">
        <f t="shared" si="43"/>
        <v>0.00%</v>
      </c>
      <c r="X75" s="2">
        <f t="shared" si="48"/>
        <v>0</v>
      </c>
      <c r="Y75" s="81" t="str">
        <f>TEXT('MYP Assumptions'!I75,"0.00%")&amp;", CPI"</f>
        <v>2.73%, CPI</v>
      </c>
      <c r="AA75" s="83" t="str">
        <f t="shared" si="44"/>
        <v>0.00%</v>
      </c>
      <c r="AB75" s="2">
        <f t="shared" si="49"/>
        <v>0</v>
      </c>
      <c r="AC75" s="81" t="str">
        <f>TEXT('MYP Assumptions'!J75,"0.00%")&amp;", CPI"</f>
        <v>2.73%, CPI</v>
      </c>
    </row>
    <row r="76" spans="1:29" hidden="1" x14ac:dyDescent="0.25">
      <c r="A76" s="66"/>
      <c r="B76" s="939" t="s">
        <v>122</v>
      </c>
      <c r="C76" s="857" t="s">
        <v>123</v>
      </c>
      <c r="D76" s="2">
        <v>0</v>
      </c>
      <c r="E76" s="862"/>
      <c r="F76" s="2"/>
      <c r="G76" s="83" t="str">
        <f t="shared" ref="G76:G82" si="51">IF(D76=0,"0.00%",(H76-D76)/D76)</f>
        <v>0.00%</v>
      </c>
      <c r="H76" s="2">
        <f t="shared" si="50"/>
        <v>0</v>
      </c>
      <c r="I76" s="854" t="str">
        <f>TEXT('MYP Assumptions'!E75,"0.00%")&amp;", CPI"</f>
        <v>3.42%, CPI</v>
      </c>
      <c r="J76" s="66"/>
      <c r="K76" s="83" t="str">
        <f t="shared" si="40"/>
        <v>0.00%</v>
      </c>
      <c r="L76" s="2">
        <f t="shared" si="45"/>
        <v>0</v>
      </c>
      <c r="M76" s="854" t="str">
        <f>TEXT('MYP Assumptions'!F75,"0.00%")&amp;", CPI"</f>
        <v>3.35%, CPI</v>
      </c>
      <c r="O76" s="83" t="str">
        <f t="shared" si="41"/>
        <v>0.00%</v>
      </c>
      <c r="P76" s="2">
        <f t="shared" si="46"/>
        <v>0</v>
      </c>
      <c r="Q76" s="854" t="str">
        <f>TEXT('MYP Assumptions'!G75,"0.00%")&amp;", CPI"</f>
        <v>3.02%, CPI</v>
      </c>
      <c r="S76" s="83" t="str">
        <f t="shared" si="42"/>
        <v>0.00%</v>
      </c>
      <c r="T76" s="2">
        <f t="shared" si="47"/>
        <v>0</v>
      </c>
      <c r="U76" s="81" t="str">
        <f>TEXT('MYP Assumptions'!H75,"0.00%")&amp;", CPI"</f>
        <v>2.73%, CPI</v>
      </c>
      <c r="W76" s="83" t="str">
        <f t="shared" si="43"/>
        <v>0.00%</v>
      </c>
      <c r="X76" s="2">
        <f t="shared" si="48"/>
        <v>0</v>
      </c>
      <c r="Y76" s="81" t="str">
        <f>TEXT('MYP Assumptions'!I75,"0.00%")&amp;", CPI"</f>
        <v>2.73%, CPI</v>
      </c>
      <c r="AA76" s="83" t="str">
        <f t="shared" si="44"/>
        <v>0.00%</v>
      </c>
      <c r="AB76" s="2">
        <f t="shared" si="49"/>
        <v>0</v>
      </c>
      <c r="AC76" s="81" t="str">
        <f>TEXT('MYP Assumptions'!J75,"0.00%")&amp;", CPI"</f>
        <v>2.73%, CPI</v>
      </c>
    </row>
    <row r="77" spans="1:29" hidden="1" x14ac:dyDescent="0.25">
      <c r="A77" s="66"/>
      <c r="B77" s="939" t="s">
        <v>7</v>
      </c>
      <c r="C77" s="857" t="s">
        <v>6</v>
      </c>
      <c r="D77" s="2">
        <v>0</v>
      </c>
      <c r="E77" s="862"/>
      <c r="F77" s="2"/>
      <c r="G77" s="83" t="str">
        <f t="shared" si="51"/>
        <v>0.00%</v>
      </c>
      <c r="H77" s="2">
        <f>ROUND(D77*(LEFT(I77,5)+1),0)</f>
        <v>0</v>
      </c>
      <c r="I77" s="854" t="str">
        <f>TEXT('MYP Assumptions'!E75,"0.00%")&amp;", CPI"</f>
        <v>3.42%, CPI</v>
      </c>
      <c r="J77" s="66"/>
      <c r="K77" s="83" t="str">
        <f t="shared" si="40"/>
        <v>0.00%</v>
      </c>
      <c r="L77" s="2">
        <f t="shared" si="45"/>
        <v>0</v>
      </c>
      <c r="M77" s="854" t="str">
        <f>TEXT('MYP Assumptions'!F75,"0.00%")&amp;", CPI"</f>
        <v>3.35%, CPI</v>
      </c>
      <c r="O77" s="83" t="str">
        <f t="shared" si="41"/>
        <v>0.00%</v>
      </c>
      <c r="P77" s="2">
        <f t="shared" si="46"/>
        <v>0</v>
      </c>
      <c r="Q77" s="854" t="str">
        <f>TEXT('MYP Assumptions'!G75,"0.00%")&amp;", CPI"</f>
        <v>3.02%, CPI</v>
      </c>
      <c r="S77" s="83" t="str">
        <f t="shared" si="42"/>
        <v>0.00%</v>
      </c>
      <c r="T77" s="2">
        <f t="shared" si="47"/>
        <v>0</v>
      </c>
      <c r="U77" s="81" t="str">
        <f>TEXT('MYP Assumptions'!H75,"0.00%")&amp;", CPI"</f>
        <v>2.73%, CPI</v>
      </c>
      <c r="W77" s="83" t="str">
        <f t="shared" si="43"/>
        <v>0.00%</v>
      </c>
      <c r="X77" s="2">
        <f t="shared" si="48"/>
        <v>0</v>
      </c>
      <c r="Y77" s="81" t="str">
        <f>TEXT('MYP Assumptions'!I75,"0.00%")&amp;", CPI"</f>
        <v>2.73%, CPI</v>
      </c>
      <c r="AA77" s="83" t="str">
        <f t="shared" si="44"/>
        <v>0.00%</v>
      </c>
      <c r="AB77" s="2">
        <f t="shared" si="49"/>
        <v>0</v>
      </c>
      <c r="AC77" s="81" t="str">
        <f>TEXT('MYP Assumptions'!J75,"0.00%")&amp;", CPI"</f>
        <v>2.73%, CPI</v>
      </c>
    </row>
    <row r="78" spans="1:29" hidden="1" x14ac:dyDescent="0.25">
      <c r="A78" s="66"/>
      <c r="B78" s="939" t="s">
        <v>5</v>
      </c>
      <c r="C78" s="857" t="s">
        <v>4</v>
      </c>
      <c r="D78" s="2">
        <v>0</v>
      </c>
      <c r="E78" s="862" t="s">
        <v>736</v>
      </c>
      <c r="F78" s="2"/>
      <c r="G78" s="83" t="str">
        <f t="shared" si="51"/>
        <v>0.00%</v>
      </c>
      <c r="H78" s="2">
        <f>ROUND(D78*(LEFT(I78,5)+1),0)</f>
        <v>0</v>
      </c>
      <c r="I78" s="854" t="str">
        <f>TEXT('MYP Assumptions'!E75,"0.00%")&amp;", CPI"</f>
        <v>3.42%, CPI</v>
      </c>
      <c r="J78" s="66"/>
      <c r="K78" s="83" t="str">
        <f t="shared" si="40"/>
        <v>0.00%</v>
      </c>
      <c r="L78" s="2">
        <f t="shared" si="45"/>
        <v>0</v>
      </c>
      <c r="M78" s="854" t="str">
        <f>TEXT('MYP Assumptions'!F75,"0.00%")&amp;", CPI"</f>
        <v>3.35%, CPI</v>
      </c>
      <c r="O78" s="83" t="str">
        <f t="shared" si="41"/>
        <v>0.00%</v>
      </c>
      <c r="P78" s="2">
        <f t="shared" si="46"/>
        <v>0</v>
      </c>
      <c r="Q78" s="854" t="str">
        <f>TEXT('MYP Assumptions'!G75,"0.00%")&amp;", CPI"</f>
        <v>3.02%, CPI</v>
      </c>
      <c r="S78" s="83" t="str">
        <f t="shared" si="42"/>
        <v>0.00%</v>
      </c>
      <c r="T78" s="2">
        <f t="shared" si="47"/>
        <v>0</v>
      </c>
      <c r="U78" s="81" t="str">
        <f>TEXT('MYP Assumptions'!H75,"0.00%")&amp;", CPI"</f>
        <v>2.73%, CPI</v>
      </c>
      <c r="W78" s="83" t="str">
        <f t="shared" si="43"/>
        <v>0.00%</v>
      </c>
      <c r="X78" s="2">
        <f t="shared" si="48"/>
        <v>0</v>
      </c>
      <c r="Y78" s="81" t="str">
        <f>TEXT('MYP Assumptions'!I75,"0.00%")&amp;", CPI"</f>
        <v>2.73%, CPI</v>
      </c>
      <c r="AA78" s="83" t="str">
        <f t="shared" si="44"/>
        <v>0.00%</v>
      </c>
      <c r="AB78" s="2">
        <f t="shared" si="49"/>
        <v>0</v>
      </c>
      <c r="AC78" s="81" t="str">
        <f>TEXT('MYP Assumptions'!J75,"0.00%")&amp;", CPI"</f>
        <v>2.73%, CPI</v>
      </c>
    </row>
    <row r="79" spans="1:29" hidden="1" x14ac:dyDescent="0.25">
      <c r="A79" s="66"/>
      <c r="B79" s="939" t="s">
        <v>3</v>
      </c>
      <c r="C79" s="857" t="s">
        <v>2</v>
      </c>
      <c r="D79" s="2">
        <v>0</v>
      </c>
      <c r="E79" s="862"/>
      <c r="F79" s="2"/>
      <c r="G79" s="83" t="str">
        <f t="shared" si="51"/>
        <v>0.00%</v>
      </c>
      <c r="H79" s="2">
        <f>ROUND(D79*(LEFT(I79,5)+1),0)</f>
        <v>0</v>
      </c>
      <c r="I79" s="854" t="str">
        <f>TEXT('MYP Assumptions'!E75,"0.00%")&amp;", CPI"</f>
        <v>3.42%, CPI</v>
      </c>
      <c r="J79" s="66"/>
      <c r="K79" s="83" t="str">
        <f t="shared" si="40"/>
        <v>0.00%</v>
      </c>
      <c r="L79" s="2">
        <f t="shared" si="45"/>
        <v>0</v>
      </c>
      <c r="M79" s="854" t="str">
        <f>TEXT('MYP Assumptions'!F75,"0.00%")&amp;", CPI"</f>
        <v>3.35%, CPI</v>
      </c>
      <c r="O79" s="83" t="str">
        <f t="shared" si="41"/>
        <v>0.00%</v>
      </c>
      <c r="P79" s="2">
        <f t="shared" si="46"/>
        <v>0</v>
      </c>
      <c r="Q79" s="854" t="str">
        <f>TEXT('MYP Assumptions'!G75,"0.00%")&amp;", CPI"</f>
        <v>3.02%, CPI</v>
      </c>
      <c r="S79" s="83" t="str">
        <f t="shared" si="42"/>
        <v>0.00%</v>
      </c>
      <c r="T79" s="2">
        <f t="shared" si="47"/>
        <v>0</v>
      </c>
      <c r="U79" s="81" t="str">
        <f>TEXT('MYP Assumptions'!H75,"0.00%")&amp;", CPI"</f>
        <v>2.73%, CPI</v>
      </c>
      <c r="W79" s="83" t="str">
        <f t="shared" si="43"/>
        <v>0.00%</v>
      </c>
      <c r="X79" s="2">
        <f t="shared" si="48"/>
        <v>0</v>
      </c>
      <c r="Y79" s="81" t="str">
        <f>TEXT('MYP Assumptions'!I75,"0.00%")&amp;", CPI"</f>
        <v>2.73%, CPI</v>
      </c>
      <c r="AA79" s="83" t="str">
        <f t="shared" si="44"/>
        <v>0.00%</v>
      </c>
      <c r="AB79" s="2">
        <f t="shared" si="49"/>
        <v>0</v>
      </c>
      <c r="AC79" s="81" t="str">
        <f>TEXT('MYP Assumptions'!J75,"0.00%")&amp;", CPI"</f>
        <v>2.73%, CPI</v>
      </c>
    </row>
    <row r="80" spans="1:29" hidden="1" x14ac:dyDescent="0.25">
      <c r="A80" s="66"/>
      <c r="B80" s="939" t="s">
        <v>124</v>
      </c>
      <c r="C80" s="857" t="s">
        <v>125</v>
      </c>
      <c r="D80" s="2">
        <v>0</v>
      </c>
      <c r="E80" s="862"/>
      <c r="F80" s="2"/>
      <c r="G80" s="83" t="str">
        <f t="shared" si="51"/>
        <v>0.00%</v>
      </c>
      <c r="H80" s="2">
        <f>ROUND(D80*(LEFT(I80,5)+1),0)</f>
        <v>0</v>
      </c>
      <c r="I80" s="854" t="str">
        <f>TEXT('MYP Assumptions'!E75,"0.00%")&amp;", CPI"</f>
        <v>3.42%, CPI</v>
      </c>
      <c r="J80" s="66"/>
      <c r="K80" s="83" t="str">
        <f t="shared" si="40"/>
        <v>0.00%</v>
      </c>
      <c r="L80" s="2">
        <f t="shared" si="45"/>
        <v>0</v>
      </c>
      <c r="M80" s="854" t="str">
        <f>TEXT('MYP Assumptions'!F75,"0.00%")&amp;", CPI"</f>
        <v>3.35%, CPI</v>
      </c>
      <c r="O80" s="83" t="str">
        <f t="shared" si="41"/>
        <v>0.00%</v>
      </c>
      <c r="P80" s="2">
        <f t="shared" si="46"/>
        <v>0</v>
      </c>
      <c r="Q80" s="854" t="str">
        <f>TEXT('MYP Assumptions'!G75,"0.00%")&amp;", CPI"</f>
        <v>3.02%, CPI</v>
      </c>
      <c r="S80" s="83" t="str">
        <f t="shared" si="42"/>
        <v>0.00%</v>
      </c>
      <c r="T80" s="2">
        <f t="shared" si="47"/>
        <v>0</v>
      </c>
      <c r="U80" s="81" t="str">
        <f>TEXT('MYP Assumptions'!H75,"0.00%")&amp;", CPI"</f>
        <v>2.73%, CPI</v>
      </c>
      <c r="W80" s="83" t="str">
        <f t="shared" si="43"/>
        <v>0.00%</v>
      </c>
      <c r="X80" s="2">
        <f t="shared" si="48"/>
        <v>0</v>
      </c>
      <c r="Y80" s="81" t="str">
        <f>TEXT('MYP Assumptions'!I75,"0.00%")&amp;", CPI"</f>
        <v>2.73%, CPI</v>
      </c>
      <c r="AA80" s="83" t="str">
        <f t="shared" si="44"/>
        <v>0.00%</v>
      </c>
      <c r="AB80" s="2">
        <f t="shared" si="49"/>
        <v>0</v>
      </c>
      <c r="AC80" s="81" t="str">
        <f>TEXT('MYP Assumptions'!J75,"0.00%")&amp;", CPI"</f>
        <v>2.73%, CPI</v>
      </c>
    </row>
    <row r="81" spans="1:29" hidden="1" x14ac:dyDescent="0.25">
      <c r="A81" s="66"/>
      <c r="B81" s="939" t="s">
        <v>1</v>
      </c>
      <c r="D81" s="2">
        <f>'RS 3010-ALL'!AF80</f>
        <v>0</v>
      </c>
      <c r="E81" s="862"/>
      <c r="F81" s="2"/>
      <c r="G81" s="83" t="str">
        <f t="shared" si="51"/>
        <v>0.00%</v>
      </c>
      <c r="H81" s="2">
        <f>ROUND(D81*(LEFT(I81,5)+1),0)</f>
        <v>0</v>
      </c>
      <c r="I81" s="854" t="str">
        <f>TEXT('MYP Assumptions'!E75,"0.00%")&amp;", CPI"</f>
        <v>3.42%, CPI</v>
      </c>
      <c r="J81" s="66"/>
      <c r="K81" s="83" t="str">
        <f t="shared" si="40"/>
        <v>0.00%</v>
      </c>
      <c r="L81" s="2">
        <f t="shared" si="45"/>
        <v>0</v>
      </c>
      <c r="M81" s="854" t="str">
        <f>TEXT('MYP Assumptions'!F75,"0.00%")&amp;", CPI"</f>
        <v>3.35%, CPI</v>
      </c>
      <c r="O81" s="83" t="str">
        <f t="shared" si="41"/>
        <v>0.00%</v>
      </c>
      <c r="P81" s="2">
        <f t="shared" si="46"/>
        <v>0</v>
      </c>
      <c r="Q81" s="854" t="str">
        <f>TEXT('MYP Assumptions'!G75,"0.00%")&amp;", CPI"</f>
        <v>3.02%, CPI</v>
      </c>
      <c r="S81" s="83" t="str">
        <f t="shared" si="42"/>
        <v>0.00%</v>
      </c>
      <c r="T81" s="2">
        <f t="shared" si="47"/>
        <v>0</v>
      </c>
      <c r="U81" s="81" t="str">
        <f>TEXT('MYP Assumptions'!H75,"0.00%")&amp;", CPI"</f>
        <v>2.73%, CPI</v>
      </c>
      <c r="W81" s="83" t="str">
        <f t="shared" si="43"/>
        <v>0.00%</v>
      </c>
      <c r="X81" s="2">
        <f t="shared" si="48"/>
        <v>0</v>
      </c>
      <c r="Y81" s="81" t="str">
        <f>TEXT('MYP Assumptions'!I75,"0.00%")&amp;", CPI"</f>
        <v>2.73%, CPI</v>
      </c>
      <c r="AA81" s="83" t="str">
        <f t="shared" si="44"/>
        <v>0.00%</v>
      </c>
      <c r="AB81" s="2">
        <f t="shared" si="49"/>
        <v>0</v>
      </c>
      <c r="AC81" s="81" t="str">
        <f>TEXT('MYP Assumptions'!J75,"0.00%")&amp;", CPI"</f>
        <v>2.73%, CPI</v>
      </c>
    </row>
    <row r="82" spans="1:29" x14ac:dyDescent="0.25">
      <c r="A82" s="29"/>
      <c r="D82" s="8">
        <f>SUM(D69:D81)</f>
        <v>103.32</v>
      </c>
      <c r="E82" s="862"/>
      <c r="F82" s="2"/>
      <c r="G82" s="83">
        <f t="shared" si="51"/>
        <v>0.93573364305071638</v>
      </c>
      <c r="H82" s="8">
        <f>SUM(H69:H81)</f>
        <v>200</v>
      </c>
      <c r="I82" s="1292">
        <f>+H82-D82</f>
        <v>96.68</v>
      </c>
      <c r="J82" s="29"/>
      <c r="K82" s="83">
        <f t="shared" si="40"/>
        <v>0</v>
      </c>
      <c r="L82" s="8">
        <f>SUM(L69:L81)</f>
        <v>200</v>
      </c>
      <c r="M82" s="1292">
        <f>+L82-H82</f>
        <v>0</v>
      </c>
      <c r="O82" s="83">
        <f t="shared" si="41"/>
        <v>0</v>
      </c>
      <c r="P82" s="8">
        <f>SUM(P69:P81)</f>
        <v>200</v>
      </c>
      <c r="Q82" s="1292">
        <f>+P82-L82</f>
        <v>0</v>
      </c>
      <c r="S82" s="83">
        <f t="shared" si="42"/>
        <v>2.5000000000000001E-2</v>
      </c>
      <c r="T82" s="8">
        <f>SUM(T69:T81)</f>
        <v>205</v>
      </c>
      <c r="U82" s="73"/>
      <c r="W82" s="83">
        <f t="shared" si="43"/>
        <v>2.9268292682926831E-2</v>
      </c>
      <c r="X82" s="8">
        <f>SUM(X69:X81)</f>
        <v>211</v>
      </c>
      <c r="Y82" s="73"/>
      <c r="AA82" s="83">
        <f t="shared" si="44"/>
        <v>2.843601895734597E-2</v>
      </c>
      <c r="AB82" s="8">
        <f>SUM(AB69:AB81)</f>
        <v>217</v>
      </c>
      <c r="AC82" s="73"/>
    </row>
    <row r="83" spans="1:29" x14ac:dyDescent="0.25">
      <c r="A83" s="66"/>
      <c r="B83" s="936"/>
      <c r="E83" s="862"/>
      <c r="F83" s="2"/>
      <c r="G83" s="83"/>
      <c r="H83" s="2"/>
      <c r="I83" s="871"/>
      <c r="J83" s="66"/>
      <c r="L83" s="2"/>
      <c r="M83" s="948"/>
      <c r="Q83" s="948"/>
      <c r="T83" s="2"/>
      <c r="U83" s="73"/>
      <c r="X83" s="2"/>
      <c r="Y83" s="73"/>
      <c r="AB83" s="2"/>
      <c r="AC83" s="73"/>
    </row>
    <row r="84" spans="1:29" x14ac:dyDescent="0.25">
      <c r="A84" s="66"/>
      <c r="E84" s="863"/>
      <c r="F84" s="2"/>
      <c r="H84" s="2"/>
      <c r="I84" s="871"/>
      <c r="J84" s="66"/>
      <c r="L84" s="2"/>
      <c r="M84" s="948"/>
      <c r="Q84" s="948"/>
      <c r="T84" s="2"/>
      <c r="U84" s="73"/>
      <c r="X84" s="2"/>
      <c r="Y84" s="73"/>
      <c r="AB84" s="2"/>
      <c r="AC84" s="73"/>
    </row>
    <row r="85" spans="1:29" x14ac:dyDescent="0.25">
      <c r="A85" s="29"/>
      <c r="B85" s="936" t="s">
        <v>0</v>
      </c>
      <c r="D85" s="8">
        <f>SUM(D82,D66,D55,D13)</f>
        <v>142850.68</v>
      </c>
      <c r="E85" s="863"/>
      <c r="F85" s="2"/>
      <c r="G85" s="83">
        <f>IF(D85=0,"0.00%",(H85-D85)/D85)</f>
        <v>-0.22960814747259162</v>
      </c>
      <c r="H85" s="8">
        <f>SUM(H82,H66,H55,H13)</f>
        <v>110051</v>
      </c>
      <c r="I85" s="872"/>
      <c r="J85" s="29"/>
      <c r="K85" s="83">
        <f>IF(H85=0,"0.00%",(L85-H85)/H85)</f>
        <v>3.7864262932640322E-2</v>
      </c>
      <c r="L85" s="8">
        <f>SUM(L82,L66,L55,L13)</f>
        <v>114218</v>
      </c>
      <c r="M85" s="948"/>
      <c r="O85" s="83">
        <f>IF(L85=0,"0.00%",(P85-L85)/L85)</f>
        <v>3.9109422332732145E-2</v>
      </c>
      <c r="P85" s="8">
        <f>SUM(P82,P66,P55,P13)</f>
        <v>118685</v>
      </c>
      <c r="Q85" s="948"/>
      <c r="S85" s="83">
        <f>IF(P85=0,"0.00%",(T85-P85)/P85)</f>
        <v>2.4476555588322031E-2</v>
      </c>
      <c r="T85" s="8">
        <f>SUM(T82,T66,T55,T13)</f>
        <v>121590</v>
      </c>
      <c r="U85" s="73"/>
      <c r="W85" s="83">
        <f>IF(T85=0,"0.00%",(X85-T85)/T85)</f>
        <v>2.8480960605312938E-2</v>
      </c>
      <c r="X85" s="8">
        <f>SUM(X82,X66,X55,X13)</f>
        <v>125053</v>
      </c>
      <c r="Y85" s="73"/>
      <c r="AA85" s="83">
        <f>IF(X85=0,"0.00%",(AB85-X85)/X85)</f>
        <v>-0.22063445099277906</v>
      </c>
      <c r="AB85" s="8">
        <f>SUM(AB82,AB66,AB55,AB13)</f>
        <v>97462</v>
      </c>
      <c r="AC85" s="73"/>
    </row>
    <row r="86" spans="1:29" x14ac:dyDescent="0.25">
      <c r="A86" s="66"/>
      <c r="E86" s="863"/>
      <c r="F86" s="2"/>
      <c r="H86" s="2"/>
      <c r="I86" s="871"/>
      <c r="J86" s="66"/>
      <c r="L86" s="2"/>
      <c r="M86" s="948"/>
      <c r="Q86" s="948"/>
      <c r="T86" s="2"/>
      <c r="U86" s="73"/>
      <c r="X86" s="2"/>
      <c r="Y86" s="73"/>
      <c r="AB86" s="2"/>
      <c r="AC86" s="73"/>
    </row>
    <row r="87" spans="1:29" x14ac:dyDescent="0.25">
      <c r="A87" s="66"/>
      <c r="B87" s="936" t="s">
        <v>138</v>
      </c>
      <c r="D87" s="3">
        <f>D11-D85</f>
        <v>0</v>
      </c>
      <c r="E87" s="863"/>
      <c r="G87" s="83" t="str">
        <f>IF(D87=0,"0.00%",(H87-D87)/D87)</f>
        <v>0.00%</v>
      </c>
      <c r="H87" s="3">
        <f>H11-H85</f>
        <v>0</v>
      </c>
      <c r="I87" s="871"/>
      <c r="J87" s="66"/>
      <c r="K87" s="83" t="str">
        <f>IF(H87=0,"0.00%",(L87-H87)/H87)</f>
        <v>0.00%</v>
      </c>
      <c r="L87" s="3">
        <f>L11-L85</f>
        <v>0</v>
      </c>
      <c r="M87" s="948"/>
      <c r="O87" s="83" t="str">
        <f>IF(L87=0,"0.00%",(P87-L87)/L87)</f>
        <v>0.00%</v>
      </c>
      <c r="P87" s="3">
        <f>P11-P85</f>
        <v>0</v>
      </c>
      <c r="Q87" s="948"/>
      <c r="S87" s="83" t="str">
        <f>IF(P87=0,"0.00%",(T87-P87)/P87)</f>
        <v>0.00%</v>
      </c>
      <c r="T87" s="3">
        <f>T11-T85</f>
        <v>-46750.040000000008</v>
      </c>
      <c r="U87" s="73"/>
      <c r="W87" s="83">
        <f>IF(T87=0,"0.00%",(X87-T87)/T87)</f>
        <v>-0.39485570493629524</v>
      </c>
      <c r="X87" s="3">
        <f>X11-X85</f>
        <v>-28290.520000000004</v>
      </c>
      <c r="Y87" s="73"/>
      <c r="AA87" s="83">
        <f>IF(X87=0,"0.00%",(AB87-X87)/X87)</f>
        <v>-0.97527369592358137</v>
      </c>
      <c r="AB87" s="3">
        <f>AB11-AB85</f>
        <v>-699.52000000000407</v>
      </c>
      <c r="AC87" s="73"/>
    </row>
    <row r="88" spans="1:29" x14ac:dyDescent="0.25">
      <c r="B88" s="936"/>
      <c r="C88" s="930"/>
      <c r="D88" s="3"/>
      <c r="E88" s="863"/>
      <c r="H88" s="3"/>
      <c r="I88" s="871"/>
      <c r="J88" s="66"/>
      <c r="L88" s="3"/>
      <c r="M88" s="948"/>
      <c r="P88" s="3"/>
      <c r="Q88" s="948"/>
      <c r="T88" s="44"/>
      <c r="U88" s="73"/>
      <c r="X88" s="44"/>
      <c r="Y88" s="73"/>
      <c r="AB88" s="44"/>
      <c r="AC88" s="73"/>
    </row>
    <row r="89" spans="1:29" x14ac:dyDescent="0.25">
      <c r="B89" s="936" t="s">
        <v>136</v>
      </c>
      <c r="C89" s="932"/>
      <c r="D89" s="3">
        <f>D7+D87</f>
        <v>0</v>
      </c>
      <c r="G89" s="83" t="str">
        <f>IF(D89=0,"0.00%",(H89-D89)/D89)</f>
        <v>0.00%</v>
      </c>
      <c r="H89" s="3">
        <f>H7+H87</f>
        <v>0</v>
      </c>
      <c r="I89" s="871"/>
      <c r="J89" s="66"/>
      <c r="K89" s="83" t="str">
        <f>IF(H89=0,"0.00%",(L89-H89)/H89)</f>
        <v>0.00%</v>
      </c>
      <c r="L89" s="3">
        <f>L7+L87</f>
        <v>0</v>
      </c>
      <c r="M89" s="948"/>
      <c r="O89" s="83" t="str">
        <f>IF(L89=0,"0.00%",(P89-L89)/L89)</f>
        <v>0.00%</v>
      </c>
      <c r="P89" s="3">
        <f>P7+P87</f>
        <v>0</v>
      </c>
      <c r="Q89" s="948"/>
      <c r="S89" s="83" t="str">
        <f>IF(P89=0,"0.00%",(T89-P89)/P89)</f>
        <v>0.00%</v>
      </c>
      <c r="T89" s="49">
        <f>T7+T87</f>
        <v>-46750.040000000008</v>
      </c>
      <c r="U89" s="73"/>
      <c r="W89" s="83">
        <f>IF(T89=0,"0.00%",(X89-T89)/T89)</f>
        <v>0.60514429506370471</v>
      </c>
      <c r="X89" s="49">
        <f>X7+X87</f>
        <v>-75040.560000000012</v>
      </c>
      <c r="Y89" s="73"/>
      <c r="AA89" s="83">
        <f>IF(X89=0,"0.00%",(AB89-X89)/X89)</f>
        <v>9.3218920541105234E-3</v>
      </c>
      <c r="AB89" s="49">
        <f>AB7+AB87</f>
        <v>-75740.080000000016</v>
      </c>
      <c r="AC89" s="73"/>
    </row>
    <row r="90" spans="1:29" x14ac:dyDescent="0.25">
      <c r="C90" s="873"/>
      <c r="G90" s="374"/>
      <c r="H90" s="5"/>
      <c r="I90" s="872"/>
      <c r="J90" s="29"/>
      <c r="L90" s="5"/>
      <c r="M90" s="948"/>
      <c r="P90" s="5"/>
      <c r="Q90" s="948"/>
      <c r="T90" s="5"/>
      <c r="U90" s="73"/>
      <c r="X90" s="5"/>
      <c r="Y90" s="73"/>
      <c r="AB90" s="5"/>
      <c r="AC90" s="73"/>
    </row>
    <row r="91" spans="1:29" x14ac:dyDescent="0.25">
      <c r="C91" s="868"/>
      <c r="G91" s="374"/>
      <c r="H91" s="36"/>
      <c r="I91" s="871"/>
      <c r="J91" s="66"/>
      <c r="L91" s="2"/>
      <c r="M91" s="948"/>
      <c r="Q91" s="948"/>
      <c r="T91" s="2"/>
      <c r="U91" s="73"/>
      <c r="X91" s="2"/>
      <c r="Y91" s="73"/>
      <c r="AB91" s="2"/>
      <c r="AC91" s="73"/>
    </row>
    <row r="92" spans="1:29" x14ac:dyDescent="0.25">
      <c r="C92" s="868"/>
      <c r="G92" s="374"/>
      <c r="H92" s="36"/>
      <c r="I92" s="871"/>
      <c r="J92" s="66"/>
      <c r="L92" s="2"/>
      <c r="M92" s="948"/>
      <c r="Q92" s="948"/>
      <c r="T92" s="2"/>
      <c r="U92" s="73"/>
      <c r="X92" s="2"/>
      <c r="Y92" s="73"/>
      <c r="AB92" s="2"/>
      <c r="AC92" s="73"/>
    </row>
    <row r="93" spans="1:29" x14ac:dyDescent="0.25">
      <c r="C93" s="868"/>
      <c r="G93" s="374"/>
      <c r="H93" s="36"/>
      <c r="I93" s="871"/>
      <c r="J93" s="66"/>
      <c r="L93" s="2"/>
      <c r="M93" s="948"/>
      <c r="Q93" s="948"/>
      <c r="T93" s="2"/>
      <c r="U93" s="73"/>
      <c r="X93" s="2"/>
      <c r="Y93" s="73"/>
      <c r="AB93" s="2"/>
      <c r="AC93" s="73"/>
    </row>
    <row r="94" spans="1:29" x14ac:dyDescent="0.25">
      <c r="C94" s="868"/>
      <c r="G94" s="374"/>
      <c r="H94" s="36"/>
      <c r="I94" s="871"/>
      <c r="J94" s="66"/>
      <c r="L94" s="2"/>
      <c r="M94" s="948"/>
      <c r="Q94" s="948"/>
      <c r="T94" s="2"/>
      <c r="U94" s="73"/>
      <c r="X94" s="2"/>
      <c r="Y94" s="73"/>
      <c r="AB94" s="2"/>
      <c r="AC94" s="73"/>
    </row>
    <row r="95" spans="1:29" s="137" customFormat="1" ht="11.25" x14ac:dyDescent="0.2">
      <c r="A95" s="131"/>
      <c r="B95" s="942"/>
      <c r="C95" s="943" t="s">
        <v>223</v>
      </c>
      <c r="D95" s="134">
        <f>+D82+D66+D53+D41+D30</f>
        <v>140049.69</v>
      </c>
      <c r="E95" s="865"/>
      <c r="G95" s="133" t="s">
        <v>223</v>
      </c>
      <c r="H95" s="134">
        <f>+H82+H66+H53+H41+H30</f>
        <v>107893</v>
      </c>
      <c r="I95" s="874"/>
      <c r="J95" s="135"/>
      <c r="K95" s="133" t="s">
        <v>223</v>
      </c>
      <c r="L95" s="134">
        <f>+L82+L66+L53+L41+L30</f>
        <v>111978</v>
      </c>
      <c r="M95" s="951"/>
      <c r="O95" s="133" t="s">
        <v>223</v>
      </c>
      <c r="P95" s="134">
        <f>+P82+P66+P53+P41+P30</f>
        <v>116358</v>
      </c>
      <c r="Q95" s="951"/>
      <c r="R95" s="139"/>
      <c r="S95" s="133" t="s">
        <v>223</v>
      </c>
      <c r="T95" s="134">
        <f>+T82+T66+T53+T41+T30</f>
        <v>120123</v>
      </c>
      <c r="U95" s="138"/>
      <c r="W95" s="133" t="s">
        <v>223</v>
      </c>
      <c r="X95" s="134">
        <f>+X82+X66+X53+X41+X30</f>
        <v>123156</v>
      </c>
      <c r="Y95" s="138"/>
      <c r="AA95" s="133" t="s">
        <v>223</v>
      </c>
      <c r="AB95" s="134">
        <f>+AB82+AB66+AB53+AB41+AB30</f>
        <v>126293</v>
      </c>
      <c r="AC95" s="138"/>
    </row>
    <row r="96" spans="1:29" s="137" customFormat="1" ht="11.25" x14ac:dyDescent="0.2">
      <c r="A96" s="140"/>
      <c r="B96" s="942"/>
      <c r="C96" s="944" t="s">
        <v>224</v>
      </c>
      <c r="D96" s="142">
        <f>+D13</f>
        <v>2800.99</v>
      </c>
      <c r="E96" s="866"/>
      <c r="F96" s="144"/>
      <c r="G96" s="375" t="s">
        <v>224</v>
      </c>
      <c r="H96" s="142">
        <f>+H13</f>
        <v>2158</v>
      </c>
      <c r="I96" s="875"/>
      <c r="J96" s="143"/>
      <c r="K96" s="375" t="s">
        <v>224</v>
      </c>
      <c r="L96" s="142">
        <f>+L13</f>
        <v>2240</v>
      </c>
      <c r="M96" s="951"/>
      <c r="O96" s="375" t="s">
        <v>224</v>
      </c>
      <c r="P96" s="142">
        <f>+P13</f>
        <v>2327</v>
      </c>
      <c r="Q96" s="865"/>
      <c r="R96" s="139"/>
      <c r="S96" s="141" t="s">
        <v>224</v>
      </c>
      <c r="T96" s="142">
        <f>+T13</f>
        <v>1467</v>
      </c>
      <c r="W96" s="141" t="s">
        <v>224</v>
      </c>
      <c r="X96" s="142">
        <f>+X13</f>
        <v>1897</v>
      </c>
      <c r="AA96" s="141" t="s">
        <v>224</v>
      </c>
      <c r="AB96" s="142">
        <f>+AB13</f>
        <v>-28831</v>
      </c>
    </row>
    <row r="97" spans="1:28" s="137" customFormat="1" ht="11.25" x14ac:dyDescent="0.2">
      <c r="A97" s="140"/>
      <c r="B97" s="942"/>
      <c r="C97" s="944"/>
      <c r="D97" s="145">
        <f>+D95+D96</f>
        <v>142850.68</v>
      </c>
      <c r="E97" s="866"/>
      <c r="F97" s="144"/>
      <c r="G97" s="375"/>
      <c r="H97" s="145">
        <f>+H95+H96</f>
        <v>110051</v>
      </c>
      <c r="I97" s="875"/>
      <c r="J97" s="143"/>
      <c r="K97" s="375"/>
      <c r="L97" s="145">
        <f>+L95+L96</f>
        <v>114218</v>
      </c>
      <c r="M97" s="865"/>
      <c r="O97" s="375"/>
      <c r="P97" s="145">
        <f>+P95+P96</f>
        <v>118685</v>
      </c>
      <c r="Q97" s="865"/>
      <c r="R97" s="139"/>
      <c r="S97" s="141"/>
      <c r="T97" s="145">
        <f>+T95+T96</f>
        <v>121590</v>
      </c>
      <c r="W97" s="141"/>
      <c r="X97" s="145">
        <f>+X95+X96</f>
        <v>125053</v>
      </c>
      <c r="AA97" s="141"/>
      <c r="AB97" s="145">
        <f>+AB95+AB96</f>
        <v>97462</v>
      </c>
    </row>
    <row r="98" spans="1:28" ht="15" customHeight="1" x14ac:dyDescent="0.25">
      <c r="A98" s="66"/>
      <c r="B98" s="945"/>
      <c r="C98" s="945"/>
      <c r="D98" s="5">
        <f>+D85-D97</f>
        <v>0</v>
      </c>
      <c r="E98" s="863"/>
      <c r="F98" s="2"/>
      <c r="G98" s="376"/>
      <c r="H98" s="5">
        <f>+H85-H97</f>
        <v>0</v>
      </c>
      <c r="K98" s="376"/>
      <c r="L98" s="5">
        <f>+L85-L97</f>
        <v>0</v>
      </c>
      <c r="O98" s="376"/>
      <c r="P98" s="5">
        <f>+P85-P97</f>
        <v>0</v>
      </c>
      <c r="S98" s="103"/>
      <c r="T98" s="5">
        <f>+T85-T97</f>
        <v>0</v>
      </c>
      <c r="W98" s="103"/>
      <c r="X98" s="5">
        <f>+X85-X97</f>
        <v>0</v>
      </c>
      <c r="AA98" s="103"/>
      <c r="AB98" s="5">
        <f>+AB85-AB97</f>
        <v>0</v>
      </c>
    </row>
    <row r="99" spans="1:28" x14ac:dyDescent="0.25">
      <c r="A99" s="66"/>
      <c r="B99" s="945"/>
      <c r="C99" s="945"/>
      <c r="D99" s="36"/>
      <c r="E99" s="863"/>
      <c r="F99" s="2"/>
    </row>
    <row r="100" spans="1:28" x14ac:dyDescent="0.25">
      <c r="A100" s="66"/>
      <c r="B100" s="932"/>
      <c r="C100" s="868"/>
      <c r="D100" s="25"/>
      <c r="E100" s="863"/>
      <c r="F100" s="2"/>
    </row>
    <row r="101" spans="1:28" x14ac:dyDescent="0.25">
      <c r="B101" s="932"/>
      <c r="C101" s="868"/>
      <c r="D101" s="36"/>
    </row>
    <row r="102" spans="1:28" x14ac:dyDescent="0.25">
      <c r="B102" s="932"/>
      <c r="C102" s="868"/>
      <c r="D102" s="36"/>
    </row>
    <row r="103" spans="1:28" ht="15" customHeight="1" x14ac:dyDescent="0.25">
      <c r="B103" s="932"/>
      <c r="C103" s="868"/>
      <c r="D103" s="36"/>
    </row>
    <row r="104" spans="1:28" x14ac:dyDescent="0.25">
      <c r="B104" s="932"/>
      <c r="C104" s="868"/>
      <c r="D104" s="36"/>
    </row>
    <row r="105" spans="1:28" x14ac:dyDescent="0.25">
      <c r="B105" s="932"/>
      <c r="C105" s="868"/>
      <c r="D105" s="36"/>
    </row>
    <row r="106" spans="1:28" ht="15" customHeight="1" x14ac:dyDescent="0.25">
      <c r="B106" s="2209"/>
      <c r="C106" s="2209"/>
      <c r="D106" s="36"/>
    </row>
    <row r="107" spans="1:28" x14ac:dyDescent="0.25">
      <c r="B107" s="2209"/>
      <c r="C107" s="2209"/>
      <c r="D107" s="36"/>
    </row>
    <row r="108" spans="1:28" x14ac:dyDescent="0.25">
      <c r="B108" s="932"/>
      <c r="C108" s="868"/>
      <c r="D108" s="6"/>
    </row>
    <row r="109" spans="1:28" x14ac:dyDescent="0.25">
      <c r="B109" s="932"/>
      <c r="C109" s="868"/>
      <c r="D109" s="36"/>
    </row>
    <row r="110" spans="1:28" x14ac:dyDescent="0.25">
      <c r="B110" s="932"/>
      <c r="C110" s="868"/>
      <c r="D110" s="36"/>
    </row>
    <row r="111" spans="1:28" ht="28.5" customHeight="1" x14ac:dyDescent="0.25">
      <c r="B111" s="932"/>
      <c r="C111" s="868"/>
      <c r="D111" s="25"/>
    </row>
    <row r="112" spans="1:28" x14ac:dyDescent="0.25">
      <c r="B112" s="932"/>
      <c r="C112" s="868"/>
      <c r="D112" s="36"/>
    </row>
    <row r="113" spans="2:4" x14ac:dyDescent="0.25">
      <c r="B113" s="932"/>
      <c r="C113" s="868"/>
      <c r="D113" s="36"/>
    </row>
    <row r="114" spans="2:4" x14ac:dyDescent="0.25">
      <c r="B114" s="932"/>
      <c r="C114" s="868"/>
      <c r="D114" s="36"/>
    </row>
    <row r="115" spans="2:4" x14ac:dyDescent="0.25">
      <c r="B115" s="932"/>
      <c r="C115" s="868"/>
      <c r="D115" s="36"/>
    </row>
    <row r="116" spans="2:4" x14ac:dyDescent="0.25">
      <c r="B116" s="932"/>
      <c r="C116" s="868"/>
      <c r="D116" s="36"/>
    </row>
    <row r="117" spans="2:4" x14ac:dyDescent="0.25">
      <c r="B117" s="932"/>
      <c r="C117" s="868"/>
      <c r="D117" s="36"/>
    </row>
    <row r="118" spans="2:4" x14ac:dyDescent="0.25">
      <c r="B118" s="932"/>
      <c r="C118" s="868"/>
      <c r="D118" s="36"/>
    </row>
    <row r="119" spans="2:4" x14ac:dyDescent="0.25">
      <c r="B119" s="932"/>
      <c r="C119" s="868"/>
      <c r="D119" s="36"/>
    </row>
    <row r="120" spans="2:4" x14ac:dyDescent="0.25">
      <c r="B120" s="932"/>
      <c r="C120" s="868"/>
      <c r="D120" s="36"/>
    </row>
    <row r="121" spans="2:4" x14ac:dyDescent="0.25">
      <c r="B121" s="932"/>
      <c r="C121" s="868"/>
      <c r="D121" s="36"/>
    </row>
    <row r="122" spans="2:4" x14ac:dyDescent="0.25">
      <c r="B122" s="932"/>
      <c r="C122" s="868"/>
      <c r="D122" s="36"/>
    </row>
    <row r="123" spans="2:4" x14ac:dyDescent="0.25">
      <c r="B123" s="932"/>
      <c r="C123" s="868"/>
      <c r="D123" s="36"/>
    </row>
    <row r="124" spans="2:4" x14ac:dyDescent="0.25">
      <c r="B124" s="932"/>
      <c r="C124" s="868"/>
      <c r="D124" s="36"/>
    </row>
    <row r="125" spans="2:4" x14ac:dyDescent="0.25">
      <c r="B125" s="932"/>
      <c r="C125" s="868"/>
      <c r="D125" s="36"/>
    </row>
    <row r="126" spans="2:4" x14ac:dyDescent="0.25">
      <c r="B126" s="932"/>
      <c r="C126" s="868"/>
      <c r="D126" s="36"/>
    </row>
  </sheetData>
  <sheetProtection password="B79F" sheet="1" objects="1" scenarios="1"/>
  <mergeCells count="1">
    <mergeCell ref="B106:C107"/>
  </mergeCells>
  <pageMargins left="0.25" right="0.25" top="0.5" bottom="0.5" header="0.25" footer="0.25"/>
  <pageSetup paperSize="5" scale="74" orientation="portrait" r:id="rId1"/>
  <headerFooter>
    <oddHeader>&amp;L&amp;F</oddHeader>
    <oddFooter>&amp;R&amp;A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29"/>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1.7109375" style="146" customWidth="1"/>
    <col min="2" max="2" width="8.5703125" style="930" customWidth="1"/>
    <col min="3" max="3" width="18.28515625" style="857" customWidth="1"/>
    <col min="4" max="4" width="16" style="2" customWidth="1"/>
    <col min="5" max="5" width="17.7109375" style="857" hidden="1" customWidth="1"/>
    <col min="6" max="6" width="6" style="39" customWidth="1"/>
    <col min="7" max="7" width="9.42578125" style="52" bestFit="1" customWidth="1"/>
    <col min="8" max="8" width="13.85546875" style="122" bestFit="1" customWidth="1"/>
    <col min="9" max="9" width="26" style="868" hidden="1" customWidth="1"/>
    <col min="10" max="10" width="5.7109375" style="59" customWidth="1"/>
    <col min="11" max="11" width="9.42578125" style="377" bestFit="1" customWidth="1"/>
    <col min="12" max="12" width="14" style="123" bestFit="1" customWidth="1"/>
    <col min="13" max="13" width="26" style="857" hidden="1" customWidth="1"/>
    <col min="14" max="14" width="5.7109375" style="39" customWidth="1"/>
    <col min="15" max="15" width="9.42578125" style="377" bestFit="1" customWidth="1"/>
    <col min="16" max="16" width="14" style="2" bestFit="1" customWidth="1"/>
    <col min="17" max="17" width="24.85546875" style="857"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930" t="s">
        <v>61</v>
      </c>
      <c r="C1" s="933" t="s">
        <v>225</v>
      </c>
      <c r="D1" s="1065"/>
      <c r="E1" s="1060"/>
      <c r="F1" s="1061"/>
      <c r="G1" s="1873"/>
      <c r="H1" s="1066"/>
      <c r="I1" s="1060"/>
      <c r="K1" s="1865"/>
      <c r="L1" s="1062"/>
      <c r="M1" s="1060"/>
      <c r="N1" s="59"/>
      <c r="O1" s="1865"/>
      <c r="P1" s="1062"/>
      <c r="Q1" s="1060"/>
      <c r="T1" s="86">
        <v>0</v>
      </c>
      <c r="U1" s="98"/>
      <c r="X1" s="86">
        <v>0</v>
      </c>
      <c r="Y1" s="98"/>
      <c r="AB1" s="86">
        <v>0</v>
      </c>
      <c r="AC1" s="98"/>
    </row>
    <row r="2" spans="1:29" ht="17.25" x14ac:dyDescent="0.4">
      <c r="B2" s="932" t="s">
        <v>59</v>
      </c>
      <c r="C2" s="933">
        <v>5640</v>
      </c>
      <c r="D2" s="1066"/>
      <c r="E2" s="1060"/>
      <c r="F2" s="1061"/>
      <c r="G2" s="1874"/>
      <c r="H2" s="1066"/>
      <c r="I2" s="1060"/>
      <c r="K2" s="1865"/>
      <c r="L2" s="1063"/>
      <c r="M2" s="1060"/>
      <c r="N2" s="59"/>
      <c r="O2" s="1865"/>
      <c r="P2" s="1063"/>
      <c r="Q2" s="1060"/>
      <c r="T2" s="87">
        <v>0</v>
      </c>
      <c r="U2" s="98"/>
      <c r="X2" s="87">
        <v>0</v>
      </c>
      <c r="Y2" s="98"/>
      <c r="AB2" s="87">
        <v>0</v>
      </c>
      <c r="AC2" s="98"/>
    </row>
    <row r="3" spans="1:29" x14ac:dyDescent="0.25">
      <c r="D3" s="1067"/>
      <c r="E3" s="1064"/>
      <c r="F3" s="1068"/>
      <c r="G3" s="1875"/>
      <c r="H3" s="1067"/>
      <c r="I3" s="1064"/>
      <c r="K3" s="1865"/>
      <c r="L3" s="1062"/>
      <c r="M3" s="1041"/>
      <c r="N3" s="59"/>
      <c r="O3" s="1865"/>
      <c r="P3" s="1062"/>
      <c r="Q3" s="1041"/>
      <c r="T3" s="86">
        <f>SUM(T1:T2)</f>
        <v>0</v>
      </c>
      <c r="U3" s="51"/>
      <c r="X3" s="86">
        <f>SUM(X1:X2)</f>
        <v>0</v>
      </c>
      <c r="Y3" s="51"/>
      <c r="AB3" s="86">
        <f>SUM(AB1:AB2)</f>
        <v>0</v>
      </c>
      <c r="AC3" s="51"/>
    </row>
    <row r="4" spans="1:29" x14ac:dyDescent="0.25">
      <c r="D4" s="66"/>
      <c r="E4" s="1041"/>
      <c r="F4" s="59"/>
      <c r="G4" s="1876"/>
      <c r="H4" s="1062"/>
      <c r="I4" s="1041"/>
      <c r="K4" s="1865"/>
      <c r="L4" s="1062"/>
      <c r="M4" s="1041"/>
      <c r="N4" s="59"/>
      <c r="O4" s="1865"/>
      <c r="P4" s="1062"/>
      <c r="Q4" s="1041"/>
      <c r="T4" s="86"/>
      <c r="U4" s="51"/>
      <c r="X4" s="86"/>
      <c r="Y4" s="51"/>
      <c r="AB4" s="86"/>
      <c r="AC4" s="51"/>
    </row>
    <row r="5" spans="1:29" ht="15.75" x14ac:dyDescent="0.25">
      <c r="B5" s="934" t="s">
        <v>56</v>
      </c>
      <c r="P5" s="123"/>
      <c r="T5" s="73"/>
      <c r="X5" s="73"/>
      <c r="AB5" s="73"/>
    </row>
    <row r="6" spans="1:29" s="89" customFormat="1" ht="15.75" x14ac:dyDescent="0.25">
      <c r="A6" s="147"/>
      <c r="B6" s="935"/>
      <c r="C6" s="935"/>
      <c r="D6" s="284" t="s">
        <v>55</v>
      </c>
      <c r="E6" s="858"/>
      <c r="G6" s="371"/>
      <c r="H6" s="324" t="str">
        <f>LEFT(D6,4)+1&amp;"-"&amp;RIGHT(D6,4)+1</f>
        <v>2017-2018</v>
      </c>
      <c r="I6" s="869"/>
      <c r="J6" s="93"/>
      <c r="K6" s="378"/>
      <c r="L6" s="124" t="str">
        <f>LEFT(H6,4)+1&amp;"-"&amp;RIGHT(H6,4)+1</f>
        <v>2018-2019</v>
      </c>
      <c r="M6" s="946"/>
      <c r="N6" s="96"/>
      <c r="O6" s="381"/>
      <c r="P6" s="124" t="str">
        <f>LEFT(L6,4)+1&amp;"-"&amp;RIGHT(L6,4)+1</f>
        <v>2019-2020</v>
      </c>
      <c r="Q6" s="94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936" t="s">
        <v>54</v>
      </c>
      <c r="D7" s="2">
        <v>0</v>
      </c>
      <c r="E7" s="928"/>
      <c r="H7" s="2">
        <f>D92</f>
        <v>0</v>
      </c>
      <c r="I7" s="928"/>
      <c r="J7" s="60"/>
      <c r="L7" s="2">
        <f>H92</f>
        <v>0</v>
      </c>
      <c r="M7" s="928"/>
      <c r="P7" s="2">
        <f>L92</f>
        <v>0</v>
      </c>
      <c r="Q7" s="928"/>
      <c r="T7" s="2">
        <f>P92</f>
        <v>0</v>
      </c>
      <c r="U7" s="105"/>
      <c r="X7" s="2">
        <f>T92</f>
        <v>-218204</v>
      </c>
      <c r="Y7" s="105"/>
      <c r="AB7" s="2">
        <f>X92</f>
        <v>-442038</v>
      </c>
      <c r="AC7" s="105"/>
    </row>
    <row r="8" spans="1:29" x14ac:dyDescent="0.25">
      <c r="E8" s="928"/>
      <c r="H8" s="2"/>
      <c r="I8" s="928"/>
      <c r="L8" s="2"/>
      <c r="M8" s="928"/>
      <c r="Q8" s="928"/>
      <c r="U8" s="105"/>
      <c r="Y8" s="105"/>
      <c r="AC8" s="105"/>
    </row>
    <row r="9" spans="1:29" x14ac:dyDescent="0.25">
      <c r="B9" s="930" t="s">
        <v>52</v>
      </c>
      <c r="C9" s="857" t="s">
        <v>53</v>
      </c>
      <c r="D9" s="2">
        <v>175676.28</v>
      </c>
      <c r="E9" s="928"/>
      <c r="G9" s="83">
        <f>IF(D9=0,"0.00%",(H9-D9)/D9)</f>
        <v>0.31327348233922075</v>
      </c>
      <c r="H9" s="3">
        <v>230711</v>
      </c>
      <c r="I9" s="928" t="s">
        <v>174</v>
      </c>
      <c r="J9" s="61"/>
      <c r="K9" s="83">
        <f>IF(H9=0,"0.00%",(L9-H9)/H9)</f>
        <v>-6.5575546896333506E-2</v>
      </c>
      <c r="L9" s="3">
        <v>215582</v>
      </c>
      <c r="M9" s="928" t="s">
        <v>1002</v>
      </c>
      <c r="O9" s="83">
        <f>IF(L9=0,"0.00%",(P9-L9)/L9)</f>
        <v>6.2157322967594693E-3</v>
      </c>
      <c r="P9" s="3">
        <v>216922</v>
      </c>
      <c r="Q9" s="928" t="s">
        <v>1002</v>
      </c>
      <c r="S9" s="83">
        <f>IF(P9=0,"0.00%",(T9-P9)/P9)</f>
        <v>-1</v>
      </c>
      <c r="T9" s="3">
        <f>T3</f>
        <v>0</v>
      </c>
      <c r="U9" s="105"/>
      <c r="W9" s="83" t="str">
        <f>IF(T9=0,"0.00%",(X9-T9)/T9)</f>
        <v>0.00%</v>
      </c>
      <c r="X9" s="3">
        <f>X3</f>
        <v>0</v>
      </c>
      <c r="Y9" s="105"/>
      <c r="AA9" s="83" t="str">
        <f>IF(X9=0,"0.00%",(AB9-X9)/X9)</f>
        <v>0.00%</v>
      </c>
      <c r="AB9" s="3">
        <f>AB3</f>
        <v>0</v>
      </c>
      <c r="AC9" s="105"/>
    </row>
    <row r="10" spans="1:29" x14ac:dyDescent="0.25">
      <c r="C10" s="857" t="s">
        <v>51</v>
      </c>
      <c r="D10" s="2">
        <v>0</v>
      </c>
      <c r="E10" s="928"/>
      <c r="G10" s="83" t="str">
        <f t="shared" ref="G10:G15" si="0">IF(D10=0,"0.00%",(H10-D10)/D10)</f>
        <v>0.00%</v>
      </c>
      <c r="H10" s="3">
        <v>0</v>
      </c>
      <c r="I10" s="928"/>
      <c r="J10" s="61"/>
      <c r="K10" s="83" t="str">
        <f>IF(H10=0,"0.00%",(L10-H10)/H10)</f>
        <v>0.00%</v>
      </c>
      <c r="L10" s="3">
        <f>-H2</f>
        <v>0</v>
      </c>
      <c r="M10" s="928"/>
      <c r="O10" s="83" t="str">
        <f>IF(L10=0,"0.00%",(P10-L10)/L10)</f>
        <v>0.00%</v>
      </c>
      <c r="P10" s="3">
        <f>-L2</f>
        <v>0</v>
      </c>
      <c r="Q10" s="928"/>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936" t="s">
        <v>137</v>
      </c>
      <c r="D11" s="8">
        <f>SUM(D9:D10)</f>
        <v>175676.28</v>
      </c>
      <c r="E11" s="928"/>
      <c r="G11" s="83">
        <f t="shared" si="0"/>
        <v>0.31327348233922075</v>
      </c>
      <c r="H11" s="8">
        <f>SUM(H9:H10)</f>
        <v>230711</v>
      </c>
      <c r="I11" s="1292">
        <f>+H11-D11</f>
        <v>55034.720000000001</v>
      </c>
      <c r="J11" s="62"/>
      <c r="K11" s="83">
        <f>IF(H11=0,"0.00%",(L11-H11)/H11)</f>
        <v>-6.5575546896333506E-2</v>
      </c>
      <c r="L11" s="8">
        <f>SUM(L9:L10)</f>
        <v>215582</v>
      </c>
      <c r="M11" s="1292">
        <f>+L11-H11</f>
        <v>-15129</v>
      </c>
      <c r="O11" s="83">
        <f>IF(L11=0,"0.00%",(P11-L11)/L11)</f>
        <v>6.2157322967594693E-3</v>
      </c>
      <c r="P11" s="8">
        <f>SUM(P9:P10)</f>
        <v>216922</v>
      </c>
      <c r="Q11" s="1292">
        <f>+P11-L11</f>
        <v>1340</v>
      </c>
      <c r="S11" s="83">
        <f>IF(P11=0,"0.00%",(T11-P11)/P11)</f>
        <v>-1</v>
      </c>
      <c r="T11" s="78">
        <f>SUM(T9:T10)</f>
        <v>0</v>
      </c>
      <c r="U11" s="105"/>
      <c r="W11" s="83" t="str">
        <f>IF(T11=0,"0.00%",(X11-T11)/T11)</f>
        <v>0.00%</v>
      </c>
      <c r="X11" s="78">
        <f>SUM(X9:X10)</f>
        <v>0</v>
      </c>
      <c r="Y11" s="105"/>
      <c r="AA11" s="83" t="str">
        <f>IF(X11=0,"0.00%",(AB11-X11)/X11)</f>
        <v>0.00%</v>
      </c>
      <c r="AB11" s="78">
        <f>SUM(AB9:AB10)</f>
        <v>0</v>
      </c>
      <c r="AC11" s="105"/>
    </row>
    <row r="12" spans="1:29" x14ac:dyDescent="0.25">
      <c r="E12" s="928"/>
      <c r="H12" s="3"/>
      <c r="I12" s="928"/>
      <c r="J12" s="63"/>
      <c r="K12" s="52"/>
      <c r="L12" s="3"/>
      <c r="M12" s="928"/>
      <c r="O12" s="52"/>
      <c r="P12" s="3"/>
      <c r="Q12" s="928"/>
      <c r="S12" s="46"/>
      <c r="T12" s="44"/>
      <c r="U12" s="105"/>
      <c r="W12" s="46"/>
      <c r="X12" s="44"/>
      <c r="Y12" s="105"/>
      <c r="AA12" s="46"/>
      <c r="AB12" s="44"/>
      <c r="AC12" s="105"/>
    </row>
    <row r="13" spans="1:29" x14ac:dyDescent="0.25">
      <c r="B13" s="937"/>
      <c r="C13" s="938" t="s">
        <v>64</v>
      </c>
      <c r="D13" s="9">
        <f>ROUND(D11-(D11/(1+B13)),0)</f>
        <v>0</v>
      </c>
      <c r="E13" s="928"/>
      <c r="G13" s="83" t="str">
        <f t="shared" si="0"/>
        <v>0.00%</v>
      </c>
      <c r="H13" s="9">
        <f>ROUND(H11-(H11/(1+B13)),0)</f>
        <v>0</v>
      </c>
      <c r="I13" s="928"/>
      <c r="J13" s="64"/>
      <c r="K13" s="83" t="str">
        <f>IF(H13=0,"0.00%",(L13-H13)/H13)</f>
        <v>0.00%</v>
      </c>
      <c r="L13" s="9">
        <f>ROUND(L11-(L11/(1+B13)),0)</f>
        <v>0</v>
      </c>
      <c r="M13" s="928"/>
      <c r="O13" s="83" t="str">
        <f>IF(L13=0,"0.00%",(P13-L13)/L13)</f>
        <v>0.00%</v>
      </c>
      <c r="P13" s="9">
        <f>ROUND(P11-(P11/(1+B13)),0)</f>
        <v>0</v>
      </c>
      <c r="Q13" s="928"/>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928"/>
      <c r="H14" s="3"/>
      <c r="I14" s="928"/>
      <c r="J14" s="63"/>
      <c r="K14" s="52"/>
      <c r="L14" s="3"/>
      <c r="M14" s="928"/>
      <c r="O14" s="52"/>
      <c r="P14" s="3"/>
      <c r="Q14" s="928"/>
      <c r="S14" s="46"/>
      <c r="T14" s="44"/>
      <c r="U14" s="105"/>
      <c r="W14" s="46"/>
      <c r="X14" s="44"/>
      <c r="Y14" s="105"/>
      <c r="AA14" s="46"/>
      <c r="AB14" s="44"/>
      <c r="AC14" s="105"/>
    </row>
    <row r="15" spans="1:29" x14ac:dyDescent="0.25">
      <c r="B15" s="936" t="s">
        <v>50</v>
      </c>
      <c r="D15" s="10">
        <f>D11-D13</f>
        <v>175676.28</v>
      </c>
      <c r="E15" s="928"/>
      <c r="G15" s="83">
        <f t="shared" si="0"/>
        <v>0.31327348233922075</v>
      </c>
      <c r="H15" s="9">
        <f>H11-H13</f>
        <v>230711</v>
      </c>
      <c r="I15" s="1292">
        <f>+H15-D15</f>
        <v>55034.720000000001</v>
      </c>
      <c r="J15" s="62"/>
      <c r="K15" s="83">
        <f>IF(H15=0,"0.00%",(L15-H15)/H15)</f>
        <v>-6.5575546896333506E-2</v>
      </c>
      <c r="L15" s="9">
        <f>L11-L13</f>
        <v>215582</v>
      </c>
      <c r="M15" s="1292">
        <f>+L15-H15</f>
        <v>-15129</v>
      </c>
      <c r="O15" s="83">
        <f>IF(L15=0,"0.00%",(P15-L15)/L15)</f>
        <v>6.2157322967594693E-3</v>
      </c>
      <c r="P15" s="9">
        <f>P11-P13</f>
        <v>216922</v>
      </c>
      <c r="Q15" s="1292">
        <f>+P15-L15</f>
        <v>1340</v>
      </c>
      <c r="S15" s="83">
        <f>IF(P15=0,"0.00%",(T15-P15)/P15)</f>
        <v>-1</v>
      </c>
      <c r="T15" s="19">
        <f>T11-T13</f>
        <v>0</v>
      </c>
      <c r="U15" s="105"/>
      <c r="W15" s="83" t="str">
        <f>IF(T15=0,"0.00%",(X15-T15)/T15)</f>
        <v>0.00%</v>
      </c>
      <c r="X15" s="19">
        <f>X11-X13</f>
        <v>0</v>
      </c>
      <c r="Y15" s="105"/>
      <c r="AA15" s="83" t="str">
        <f>IF(X15=0,"0.00%",(AB15-X15)/X15)</f>
        <v>0.00%</v>
      </c>
      <c r="AB15" s="19">
        <f>AB11-AB13</f>
        <v>0</v>
      </c>
      <c r="AC15" s="105"/>
    </row>
    <row r="16" spans="1:29" x14ac:dyDescent="0.25">
      <c r="E16" s="928"/>
      <c r="H16" s="3"/>
      <c r="I16" s="928"/>
      <c r="J16" s="62"/>
      <c r="L16" s="3"/>
      <c r="M16" s="928"/>
      <c r="P16" s="3"/>
      <c r="Q16" s="928"/>
      <c r="T16" s="49"/>
      <c r="U16" s="105"/>
      <c r="X16" s="49"/>
      <c r="Y16" s="105"/>
      <c r="AB16" s="49"/>
      <c r="AC16" s="105"/>
    </row>
    <row r="17" spans="1:29" x14ac:dyDescent="0.25">
      <c r="C17" s="930"/>
      <c r="E17" s="928"/>
      <c r="H17" s="3"/>
      <c r="I17" s="928"/>
      <c r="J17" s="63"/>
      <c r="L17" s="3"/>
      <c r="M17" s="928"/>
      <c r="P17" s="3"/>
      <c r="Q17" s="928"/>
      <c r="T17" s="44"/>
      <c r="U17" s="105"/>
      <c r="X17" s="44"/>
      <c r="Y17" s="105"/>
      <c r="AB17" s="44"/>
      <c r="AC17" s="105"/>
    </row>
    <row r="18" spans="1:29" x14ac:dyDescent="0.25">
      <c r="A18" s="148"/>
      <c r="D18" s="29" t="s">
        <v>826</v>
      </c>
      <c r="E18" s="929"/>
      <c r="F18" s="32"/>
      <c r="H18" s="29" t="s">
        <v>177</v>
      </c>
      <c r="I18" s="929"/>
      <c r="J18" s="65"/>
      <c r="M18" s="929"/>
      <c r="Q18" s="929"/>
      <c r="U18" s="106"/>
      <c r="Y18" s="106"/>
      <c r="AC18" s="106"/>
    </row>
    <row r="19" spans="1:29" ht="17.25" x14ac:dyDescent="0.4">
      <c r="A19" s="149"/>
      <c r="D19" s="35" t="s">
        <v>827</v>
      </c>
      <c r="E19" s="860"/>
      <c r="F19" s="34"/>
      <c r="H19" s="35" t="s">
        <v>48</v>
      </c>
      <c r="I19" s="870"/>
      <c r="J19" s="29"/>
      <c r="L19" s="14" t="s">
        <v>48</v>
      </c>
      <c r="M19" s="1003">
        <v>0.02</v>
      </c>
      <c r="P19" s="14" t="s">
        <v>48</v>
      </c>
      <c r="Q19" s="1003">
        <v>0.02</v>
      </c>
      <c r="T19" s="14" t="s">
        <v>48</v>
      </c>
      <c r="U19" s="104">
        <v>0.02</v>
      </c>
      <c r="X19" s="14" t="s">
        <v>48</v>
      </c>
      <c r="Y19" s="104">
        <v>0.02</v>
      </c>
      <c r="AB19" s="14" t="s">
        <v>48</v>
      </c>
      <c r="AC19" s="104">
        <v>0.02</v>
      </c>
    </row>
    <row r="20" spans="1:29" s="13" customFormat="1" x14ac:dyDescent="0.25">
      <c r="A20" s="150"/>
      <c r="B20" s="936" t="s">
        <v>46</v>
      </c>
      <c r="C20" s="938"/>
      <c r="D20" s="10"/>
      <c r="E20" s="861"/>
      <c r="F20" s="10"/>
      <c r="G20" s="372"/>
      <c r="H20" s="10"/>
      <c r="I20" s="864"/>
      <c r="J20" s="57"/>
      <c r="K20" s="379"/>
      <c r="L20" s="10"/>
      <c r="M20" s="947"/>
      <c r="O20" s="379"/>
      <c r="P20" s="10"/>
      <c r="Q20" s="947"/>
      <c r="R20" s="111"/>
      <c r="T20" s="10"/>
      <c r="U20" s="74"/>
      <c r="X20" s="10"/>
      <c r="Y20" s="74"/>
      <c r="AB20" s="10"/>
      <c r="AC20" s="74"/>
    </row>
    <row r="21" spans="1:29" x14ac:dyDescent="0.25">
      <c r="A21" s="151"/>
      <c r="B21" s="939">
        <v>1206</v>
      </c>
      <c r="C21" s="857" t="s">
        <v>226</v>
      </c>
      <c r="D21" s="2">
        <v>29188.86</v>
      </c>
      <c r="E21" s="863"/>
      <c r="F21" s="2"/>
      <c r="G21" s="83">
        <f t="shared" ref="G21:G30" si="1">IF(D21=0,"0.00%",(H21-D21)/D21)</f>
        <v>1.1696243018740511E-3</v>
      </c>
      <c r="H21" s="2">
        <v>29223</v>
      </c>
      <c r="I21" s="854"/>
      <c r="J21" s="66"/>
      <c r="K21" s="83">
        <f t="shared" ref="K21:K27" si="2">IF(H21=0,"0.00%",(L21-H21)/H21)</f>
        <v>1.9984258974095746E-2</v>
      </c>
      <c r="L21" s="2">
        <f>ROUND(H21*(1+M19),0)</f>
        <v>29807</v>
      </c>
      <c r="M21" s="871" t="str">
        <f>TEXT(M19,"0.0%")&amp;" = Est. S &amp; C"</f>
        <v>2.0% = Est. S &amp; C</v>
      </c>
      <c r="O21" s="83">
        <f t="shared" ref="O21:O27" si="3">IF(L21=0,"0.00%",(P21-L21)/L21)</f>
        <v>1.9995303116717551E-2</v>
      </c>
      <c r="P21" s="2">
        <f>ROUND(L21*(1+Q19),0)</f>
        <v>30403</v>
      </c>
      <c r="Q21" s="871" t="str">
        <f>TEXT(Q19,"0.0%")&amp;" = Est. S &amp; C"</f>
        <v>2.0% = Est. S &amp; C</v>
      </c>
      <c r="S21" s="83">
        <f t="shared" ref="S21:S27" si="4">IF(P21=0,"0.00%",(T21-P21)/P21)</f>
        <v>1.9998026510541722E-2</v>
      </c>
      <c r="T21" s="2">
        <f>ROUND(P21*(1+U19),0)</f>
        <v>31011</v>
      </c>
      <c r="U21" s="36" t="str">
        <f>TEXT(U19,"0.0%")&amp;" = Est. S &amp; C"</f>
        <v>2.0% = Est. S &amp; C</v>
      </c>
      <c r="W21" s="83">
        <f t="shared" ref="W21:W27" si="5">IF(T21=0,"0.00%",(X21-T21)/T21)</f>
        <v>1.9992905743123408E-2</v>
      </c>
      <c r="X21" s="2">
        <f>ROUND(T21*(1+Y19),0)</f>
        <v>31631</v>
      </c>
      <c r="Y21" s="36" t="str">
        <f>TEXT(Y19,"0.0%")&amp;" = Est. S &amp; C"</f>
        <v>2.0% = Est. S &amp; C</v>
      </c>
      <c r="AA21" s="83">
        <f t="shared" ref="AA21:AA27" si="6">IF(X21=0,"0.00%",(AB21-X21)/X21)</f>
        <v>2.0012013531029688E-2</v>
      </c>
      <c r="AB21" s="2">
        <f>ROUND(X21*(1+AC19),0)</f>
        <v>32264</v>
      </c>
      <c r="AC21" s="36" t="str">
        <f>TEXT(AC19,"0.0%")&amp;" = Est. S &amp; C"</f>
        <v>2.0% = Est. S &amp; C</v>
      </c>
    </row>
    <row r="22" spans="1:29" x14ac:dyDescent="0.25">
      <c r="A22" s="152"/>
      <c r="B22" s="939">
        <v>1281</v>
      </c>
      <c r="C22" s="857" t="s">
        <v>227</v>
      </c>
      <c r="D22" s="2">
        <v>3745</v>
      </c>
      <c r="E22" s="863"/>
      <c r="F22" s="2"/>
      <c r="G22" s="83">
        <f t="shared" si="1"/>
        <v>1.4686248331108143E-2</v>
      </c>
      <c r="H22" s="2">
        <v>3800</v>
      </c>
      <c r="I22" s="871"/>
      <c r="J22" s="66"/>
      <c r="K22" s="83">
        <f t="shared" si="2"/>
        <v>0</v>
      </c>
      <c r="L22" s="2">
        <f>+H22</f>
        <v>3800</v>
      </c>
      <c r="M22" s="871" t="s">
        <v>174</v>
      </c>
      <c r="O22" s="83">
        <f t="shared" si="3"/>
        <v>0</v>
      </c>
      <c r="P22" s="2">
        <f>+L22</f>
        <v>3800</v>
      </c>
      <c r="Q22" s="871" t="str">
        <f>+M22</f>
        <v>Flat</v>
      </c>
      <c r="S22" s="83">
        <f t="shared" si="4"/>
        <v>0.02</v>
      </c>
      <c r="T22" s="2">
        <f>ROUND(P22*(1+U19),0)</f>
        <v>3876</v>
      </c>
      <c r="U22" s="36" t="str">
        <f>TEXT(U19,"0.0%")&amp;" = Est. S &amp; C"</f>
        <v>2.0% = Est. S &amp; C</v>
      </c>
      <c r="W22" s="83">
        <f t="shared" si="5"/>
        <v>2.0123839009287926E-2</v>
      </c>
      <c r="X22" s="2">
        <f>ROUND(T22*(1+Y19),0)</f>
        <v>3954</v>
      </c>
      <c r="Y22" s="36" t="str">
        <f>TEXT(Y19,"0.0%")&amp;" = Est. S &amp; C"</f>
        <v>2.0% = Est. S &amp; C</v>
      </c>
      <c r="AA22" s="83">
        <f t="shared" si="6"/>
        <v>1.9979767324228629E-2</v>
      </c>
      <c r="AB22" s="2">
        <f>ROUND(X22*(1+AC19),0)</f>
        <v>4033</v>
      </c>
      <c r="AC22" s="36" t="str">
        <f>TEXT(AC19,"0.0%")&amp;" = Est. S &amp; C"</f>
        <v>2.0% = Est. S &amp; C</v>
      </c>
    </row>
    <row r="23" spans="1:29" hidden="1" x14ac:dyDescent="0.25">
      <c r="A23" s="152"/>
      <c r="B23" s="939"/>
      <c r="D23" s="2">
        <v>0</v>
      </c>
      <c r="E23" s="863"/>
      <c r="F23" s="2"/>
      <c r="G23" s="83" t="str">
        <f t="shared" si="1"/>
        <v>0.00%</v>
      </c>
      <c r="H23" s="2">
        <f t="shared" ref="H23:H27" si="7">ROUND(D23*(1+$I$19),0)</f>
        <v>0</v>
      </c>
      <c r="I23" s="871" t="str">
        <f t="shared" ref="I23:I28" si="8">TEXT($I$19,"0.0%")&amp;" = Est. S &amp; C"</f>
        <v>0.0% = Est. S &amp; C</v>
      </c>
      <c r="J23" s="66"/>
      <c r="K23" s="83" t="str">
        <f t="shared" si="2"/>
        <v>0.00%</v>
      </c>
      <c r="L23" s="2">
        <f>ROUND(H23*(1+M19),0)</f>
        <v>0</v>
      </c>
      <c r="M23" s="871" t="str">
        <f>TEXT(M19,"0.0%")&amp;" = Est. S &amp; C"</f>
        <v>2.0% = Est. S &amp; C</v>
      </c>
      <c r="O23" s="83" t="str">
        <f t="shared" si="3"/>
        <v>0.00%</v>
      </c>
      <c r="P23" s="2">
        <f>ROUND(L23*(1+Q19),0)</f>
        <v>0</v>
      </c>
      <c r="Q23" s="871" t="str">
        <f>TEXT(Q19,"0.0%")&amp;" = Est. S &amp; C"</f>
        <v>2.0% = Est. S &amp; C</v>
      </c>
      <c r="S23" s="83" t="str">
        <f t="shared" si="4"/>
        <v>0.00%</v>
      </c>
      <c r="T23" s="2">
        <f>ROUND(P23*(1+U19),0)</f>
        <v>0</v>
      </c>
      <c r="U23" s="36" t="str">
        <f>TEXT(U19,"0.0%")&amp;" = Est. S &amp; C"</f>
        <v>2.0% = Est. S &amp; C</v>
      </c>
      <c r="W23" s="83" t="str">
        <f t="shared" si="5"/>
        <v>0.00%</v>
      </c>
      <c r="X23" s="2">
        <f>ROUND(T23*(1+Y19),0)</f>
        <v>0</v>
      </c>
      <c r="Y23" s="36" t="str">
        <f>TEXT(Y19,"0.0%")&amp;" = Est. S &amp; C"</f>
        <v>2.0% = Est. S &amp; C</v>
      </c>
      <c r="AA23" s="83" t="str">
        <f t="shared" si="6"/>
        <v>0.00%</v>
      </c>
      <c r="AB23" s="2">
        <f>ROUND(X23*(1+AC19),0)</f>
        <v>0</v>
      </c>
      <c r="AC23" s="36" t="str">
        <f>TEXT(AC19,"0.0%")&amp;" = Est. S &amp; C"</f>
        <v>2.0% = Est. S &amp; C</v>
      </c>
    </row>
    <row r="24" spans="1:29" hidden="1" x14ac:dyDescent="0.25">
      <c r="A24" s="152"/>
      <c r="B24" s="939"/>
      <c r="D24" s="2">
        <v>0</v>
      </c>
      <c r="E24" s="863"/>
      <c r="F24" s="2"/>
      <c r="G24" s="83" t="str">
        <f t="shared" si="1"/>
        <v>0.00%</v>
      </c>
      <c r="H24" s="2">
        <f t="shared" si="7"/>
        <v>0</v>
      </c>
      <c r="I24" s="871" t="str">
        <f t="shared" si="8"/>
        <v>0.0% = Est. S &amp; C</v>
      </c>
      <c r="J24" s="66"/>
      <c r="K24" s="83" t="str">
        <f t="shared" si="2"/>
        <v>0.00%</v>
      </c>
      <c r="L24" s="2">
        <f>ROUND(H24*(1+M19),0)</f>
        <v>0</v>
      </c>
      <c r="M24" s="871" t="str">
        <f>TEXT(M19,"0.0%")&amp;" = Est. S &amp; C"</f>
        <v>2.0% = Est. S &amp; C</v>
      </c>
      <c r="O24" s="83" t="str">
        <f t="shared" si="3"/>
        <v>0.00%</v>
      </c>
      <c r="P24" s="2">
        <f>ROUND(L24*(1+Q19),0)</f>
        <v>0</v>
      </c>
      <c r="Q24" s="871" t="str">
        <f>TEXT(Q19,"0.0%")&amp;" = Est. S &amp; C"</f>
        <v>2.0% = Est. S &amp; C</v>
      </c>
      <c r="S24" s="83" t="str">
        <f t="shared" si="4"/>
        <v>0.00%</v>
      </c>
      <c r="T24" s="2">
        <f>ROUND(P24*(1+U19),0)</f>
        <v>0</v>
      </c>
      <c r="U24" s="36" t="str">
        <f>TEXT(U19,"0.0%")&amp;" = Est. S &amp; C"</f>
        <v>2.0% = Est. S &amp; C</v>
      </c>
      <c r="W24" s="83" t="str">
        <f t="shared" si="5"/>
        <v>0.00%</v>
      </c>
      <c r="X24" s="2">
        <f>ROUND(T24*(1+Y19),0)</f>
        <v>0</v>
      </c>
      <c r="Y24" s="36" t="str">
        <f>TEXT(Y19,"0.0%")&amp;" = Est. S &amp; C"</f>
        <v>2.0% = Est. S &amp; C</v>
      </c>
      <c r="AA24" s="83" t="str">
        <f t="shared" si="6"/>
        <v>0.00%</v>
      </c>
      <c r="AB24" s="2">
        <f>ROUND(X24*(1+AC19),0)</f>
        <v>0</v>
      </c>
      <c r="AC24" s="36" t="str">
        <f>TEXT(AC19,"0.0%")&amp;" = Est. S &amp; C"</f>
        <v>2.0% = Est. S &amp; C</v>
      </c>
    </row>
    <row r="25" spans="1:29" hidden="1" x14ac:dyDescent="0.25">
      <c r="A25" s="152"/>
      <c r="B25" s="939"/>
      <c r="D25" s="2">
        <v>0</v>
      </c>
      <c r="E25" s="863"/>
      <c r="F25" s="2"/>
      <c r="G25" s="83" t="str">
        <f t="shared" si="1"/>
        <v>0.00%</v>
      </c>
      <c r="H25" s="2">
        <f t="shared" si="7"/>
        <v>0</v>
      </c>
      <c r="I25" s="871" t="str">
        <f t="shared" si="8"/>
        <v>0.0% = Est. S &amp; C</v>
      </c>
      <c r="J25" s="66"/>
      <c r="K25" s="83" t="str">
        <f t="shared" si="2"/>
        <v>0.00%</v>
      </c>
      <c r="L25" s="2">
        <f>ROUND(H25*(1+M19),0)</f>
        <v>0</v>
      </c>
      <c r="M25" s="871" t="str">
        <f>TEXT(M19,"0.0%")&amp;" = Est. S &amp; C"</f>
        <v>2.0% = Est. S &amp; C</v>
      </c>
      <c r="O25" s="83" t="str">
        <f t="shared" si="3"/>
        <v>0.00%</v>
      </c>
      <c r="P25" s="2">
        <f>ROUND(L25*(1+Q19),0)</f>
        <v>0</v>
      </c>
      <c r="Q25" s="871" t="str">
        <f>TEXT(Q19,"0.0%")&amp;" = Est. S &amp; C"</f>
        <v>2.0% = Est. S &amp; C</v>
      </c>
      <c r="S25" s="83" t="str">
        <f t="shared" si="4"/>
        <v>0.00%</v>
      </c>
      <c r="T25" s="2">
        <f>ROUND(P25*(1+U19),0)</f>
        <v>0</v>
      </c>
      <c r="U25" s="36" t="str">
        <f>TEXT(U19,"0.0%")&amp;" = Est. S &amp; C"</f>
        <v>2.0% = Est. S &amp; C</v>
      </c>
      <c r="W25" s="83" t="str">
        <f t="shared" si="5"/>
        <v>0.00%</v>
      </c>
      <c r="X25" s="2">
        <f>ROUND(T25*(1+Y19),0)</f>
        <v>0</v>
      </c>
      <c r="Y25" s="36" t="str">
        <f>TEXT(Y19,"0.0%")&amp;" = Est. S &amp; C"</f>
        <v>2.0% = Est. S &amp; C</v>
      </c>
      <c r="AA25" s="83" t="str">
        <f t="shared" si="6"/>
        <v>0.00%</v>
      </c>
      <c r="AB25" s="2">
        <f>ROUND(X25*(1+AC19),0)</f>
        <v>0</v>
      </c>
      <c r="AC25" s="36" t="str">
        <f>TEXT(AC19,"0.0%")&amp;" = Est. S &amp; C"</f>
        <v>2.0% = Est. S &amp; C</v>
      </c>
    </row>
    <row r="26" spans="1:29" hidden="1" x14ac:dyDescent="0.25">
      <c r="A26" s="152"/>
      <c r="B26" s="939"/>
      <c r="D26" s="2">
        <v>0</v>
      </c>
      <c r="E26" s="863"/>
      <c r="F26" s="2"/>
      <c r="G26" s="83" t="str">
        <f t="shared" si="1"/>
        <v>0.00%</v>
      </c>
      <c r="H26" s="2">
        <f t="shared" si="7"/>
        <v>0</v>
      </c>
      <c r="I26" s="871" t="str">
        <f t="shared" si="8"/>
        <v>0.0% = Est. S &amp; C</v>
      </c>
      <c r="J26" s="66"/>
      <c r="K26" s="83" t="str">
        <f t="shared" si="2"/>
        <v>0.00%</v>
      </c>
      <c r="L26" s="2">
        <f>ROUND(H26*(1+M19),0)</f>
        <v>0</v>
      </c>
      <c r="M26" s="382" t="str">
        <f>TEXT(M19,"0.0%")&amp;" = Est. S &amp; C"</f>
        <v>2.0% = Est. S &amp; C</v>
      </c>
      <c r="O26" s="83" t="str">
        <f t="shared" si="3"/>
        <v>0.00%</v>
      </c>
      <c r="P26" s="2">
        <f>ROUND(L26*(1+Q19),0)</f>
        <v>0</v>
      </c>
      <c r="Q26" s="871" t="str">
        <f>TEXT(Q19,"0.0%")&amp;" = Est. S &amp; C"</f>
        <v>2.0% = Est. S &amp; C</v>
      </c>
      <c r="S26" s="83" t="str">
        <f t="shared" si="4"/>
        <v>0.00%</v>
      </c>
      <c r="T26" s="2">
        <f>ROUND(P26*(1+U19),0)</f>
        <v>0</v>
      </c>
      <c r="U26" s="36" t="str">
        <f>TEXT(U19,"0.0%")&amp;" = Est. S &amp; C"</f>
        <v>2.0% = Est. S &amp; C</v>
      </c>
      <c r="W26" s="83" t="str">
        <f t="shared" si="5"/>
        <v>0.00%</v>
      </c>
      <c r="X26" s="2">
        <f>ROUND(T26*(1+Y19),0)</f>
        <v>0</v>
      </c>
      <c r="Y26" s="36" t="str">
        <f>TEXT(Y19,"0.0%")&amp;" = Est. S &amp; C"</f>
        <v>2.0% = Est. S &amp; C</v>
      </c>
      <c r="AA26" s="83" t="str">
        <f t="shared" si="6"/>
        <v>0.00%</v>
      </c>
      <c r="AB26" s="2">
        <f>ROUND(X26*(1+AC19),0)</f>
        <v>0</v>
      </c>
      <c r="AC26" s="36" t="str">
        <f>TEXT(AC19,"0.0%")&amp;" = Est. S &amp; C"</f>
        <v>2.0% = Est. S &amp; C</v>
      </c>
    </row>
    <row r="27" spans="1:29" hidden="1" x14ac:dyDescent="0.25">
      <c r="A27" s="152"/>
      <c r="B27" s="939"/>
      <c r="D27" s="2">
        <v>0</v>
      </c>
      <c r="E27" s="863"/>
      <c r="F27" s="2"/>
      <c r="G27" s="83" t="str">
        <f t="shared" si="1"/>
        <v>0.00%</v>
      </c>
      <c r="H27" s="2">
        <f t="shared" si="7"/>
        <v>0</v>
      </c>
      <c r="I27" s="871" t="str">
        <f t="shared" si="8"/>
        <v>0.0% = Est. S &amp; C</v>
      </c>
      <c r="J27" s="66"/>
      <c r="K27" s="83" t="str">
        <f t="shared" si="2"/>
        <v>0.00%</v>
      </c>
      <c r="L27" s="2">
        <f>ROUND(H27*(1+M19),0)</f>
        <v>0</v>
      </c>
      <c r="M27" s="871" t="str">
        <f>TEXT(M19,"0.0%")&amp;" = Est. S &amp; C"</f>
        <v>2.0% = Est. S &amp; C</v>
      </c>
      <c r="O27" s="83" t="str">
        <f t="shared" si="3"/>
        <v>0.00%</v>
      </c>
      <c r="P27" s="2">
        <f>ROUND(L27*(1+Q19),0)</f>
        <v>0</v>
      </c>
      <c r="Q27" s="871" t="str">
        <f>TEXT(Q19,"0.0%")&amp;" = Est. S &amp; C"</f>
        <v>2.0% = Est. S &amp; C</v>
      </c>
      <c r="S27" s="83" t="str">
        <f t="shared" si="4"/>
        <v>0.00%</v>
      </c>
      <c r="T27" s="2">
        <f>ROUND(P27*(1+U19),0)</f>
        <v>0</v>
      </c>
      <c r="U27" s="36" t="str">
        <f>TEXT(U19,"0.0%")&amp;" = Est. S &amp; C"</f>
        <v>2.0% = Est. S &amp; C</v>
      </c>
      <c r="W27" s="83" t="str">
        <f t="shared" si="5"/>
        <v>0.00%</v>
      </c>
      <c r="X27" s="2">
        <f>ROUND(T27*(1+Y19),0)</f>
        <v>0</v>
      </c>
      <c r="Y27" s="36" t="str">
        <f>TEXT(Y19,"0.0%")&amp;" = Est. S &amp; C"</f>
        <v>2.0% = Est. S &amp; C</v>
      </c>
      <c r="AA27" s="83" t="str">
        <f t="shared" si="6"/>
        <v>0.00%</v>
      </c>
      <c r="AB27" s="2">
        <f>ROUND(X27*(1+AC19),0)</f>
        <v>0</v>
      </c>
      <c r="AC27" s="36" t="str">
        <f>TEXT(AC19,"0.0%")&amp;" = Est. S &amp; C"</f>
        <v>2.0% = Est. S &amp; C</v>
      </c>
    </row>
    <row r="28" spans="1:29" hidden="1" x14ac:dyDescent="0.25">
      <c r="A28" s="152"/>
      <c r="B28" s="939"/>
      <c r="D28" s="2">
        <v>0</v>
      </c>
      <c r="E28" s="863"/>
      <c r="F28" s="2"/>
      <c r="G28" s="83" t="str">
        <f>IF(D28=0,"0.00%",(H28-D28)/D28)</f>
        <v>0.00%</v>
      </c>
      <c r="H28" s="2">
        <f>ROUND(D28*(1+$I$19),0)</f>
        <v>0</v>
      </c>
      <c r="I28" s="871" t="str">
        <f t="shared" si="8"/>
        <v>0.0% = Est. S &amp; C</v>
      </c>
      <c r="J28" s="66"/>
      <c r="K28" s="83" t="str">
        <f>IF(H28=0,"0.00%",(L28-H28)/H28)</f>
        <v>0.00%</v>
      </c>
      <c r="L28" s="2">
        <f>ROUND(H28*(1+M20),0)</f>
        <v>0</v>
      </c>
      <c r="M28" s="871" t="str">
        <f>TEXT(M20,"0.0%")&amp;" = Est. S &amp; C"</f>
        <v>0.0% = Est. S &amp; C</v>
      </c>
      <c r="O28" s="83" t="str">
        <f>IF(L28=0,"0.00%",(P28-L28)/L28)</f>
        <v>0.00%</v>
      </c>
      <c r="P28" s="2">
        <f>ROUND(L28*(1+Q20),0)</f>
        <v>0</v>
      </c>
      <c r="Q28" s="871"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939"/>
      <c r="E29" s="863"/>
      <c r="F29" s="2"/>
      <c r="G29" s="83"/>
      <c r="H29" s="2"/>
      <c r="I29" s="871"/>
      <c r="J29" s="66"/>
      <c r="L29" s="2"/>
      <c r="M29" s="948"/>
      <c r="Q29" s="948"/>
      <c r="T29" s="2"/>
      <c r="U29" s="73"/>
      <c r="X29" s="2"/>
      <c r="Y29" s="73"/>
      <c r="AB29" s="2"/>
      <c r="AC29" s="73"/>
    </row>
    <row r="30" spans="1:29" x14ac:dyDescent="0.25">
      <c r="A30" s="153"/>
      <c r="B30" s="939"/>
      <c r="D30" s="8">
        <f>SUM(D21:D29)</f>
        <v>32933.86</v>
      </c>
      <c r="E30" s="863"/>
      <c r="F30" s="2"/>
      <c r="G30" s="83">
        <f t="shared" si="1"/>
        <v>2.7066368776693475E-3</v>
      </c>
      <c r="H30" s="8">
        <f>SUM(H21:H29)</f>
        <v>33023</v>
      </c>
      <c r="I30" s="1292">
        <f>+H30-D30</f>
        <v>89.139999999999418</v>
      </c>
      <c r="J30" s="29"/>
      <c r="K30" s="83">
        <f>IF(H30=0,"0.00%",(L30-H30)/H30)</f>
        <v>1.7684644035974927E-2</v>
      </c>
      <c r="L30" s="8">
        <f>SUM(L21:L29)</f>
        <v>33607</v>
      </c>
      <c r="M30" s="1292">
        <f>+L30-H30</f>
        <v>584</v>
      </c>
      <c r="O30" s="83">
        <f>IF(L30=0,"0.00%",(P30-L30)/L30)</f>
        <v>1.7734400571309549E-2</v>
      </c>
      <c r="P30" s="8">
        <f>SUM(P21:P29)</f>
        <v>34203</v>
      </c>
      <c r="Q30" s="1292">
        <f>+P30-L30</f>
        <v>596</v>
      </c>
      <c r="S30" s="83">
        <f>IF(P30=0,"0.00%",(T30-P30)/P30)</f>
        <v>1.9998245767915094E-2</v>
      </c>
      <c r="T30" s="8">
        <f>SUM(T21:T29)</f>
        <v>34887</v>
      </c>
      <c r="U30" s="73"/>
      <c r="W30" s="83">
        <f>IF(T30=0,"0.00%",(X30-T30)/T30)</f>
        <v>2.000745263278585E-2</v>
      </c>
      <c r="X30" s="8">
        <f>SUM(X21:X29)</f>
        <v>35585</v>
      </c>
      <c r="Y30" s="73"/>
      <c r="AA30" s="83">
        <f>IF(X30=0,"0.00%",(AB30-X30)/X30)</f>
        <v>2.0008430518476887E-2</v>
      </c>
      <c r="AB30" s="8">
        <f>SUM(AB21:AB29)</f>
        <v>36297</v>
      </c>
      <c r="AC30" s="73"/>
    </row>
    <row r="31" spans="1:29" x14ac:dyDescent="0.25">
      <c r="A31" s="152"/>
      <c r="E31" s="863"/>
      <c r="F31" s="2"/>
      <c r="H31" s="2"/>
      <c r="I31" s="854"/>
      <c r="J31" s="66"/>
      <c r="L31" s="2"/>
      <c r="M31" s="949"/>
      <c r="Q31" s="949"/>
      <c r="T31" s="2"/>
      <c r="U31" s="73"/>
      <c r="X31" s="2"/>
      <c r="Y31" s="73"/>
      <c r="AB31" s="2"/>
      <c r="AC31" s="73"/>
    </row>
    <row r="32" spans="1:29" s="4" customFormat="1" x14ac:dyDescent="0.25">
      <c r="A32" s="150"/>
      <c r="B32" s="940" t="s">
        <v>35</v>
      </c>
      <c r="C32" s="873"/>
      <c r="D32" s="6"/>
      <c r="E32" s="864"/>
      <c r="F32" s="6"/>
      <c r="G32" s="373"/>
      <c r="H32" s="6"/>
      <c r="I32" s="864"/>
      <c r="J32" s="57"/>
      <c r="K32" s="380"/>
      <c r="L32" s="6"/>
      <c r="M32" s="950"/>
      <c r="O32" s="380"/>
      <c r="P32" s="6"/>
      <c r="Q32" s="950"/>
      <c r="R32" s="111"/>
      <c r="T32" s="6"/>
      <c r="U32" s="71"/>
      <c r="X32" s="6"/>
      <c r="Y32" s="71"/>
      <c r="AB32" s="6"/>
      <c r="AC32" s="71"/>
    </row>
    <row r="33" spans="1:29" hidden="1" x14ac:dyDescent="0.25">
      <c r="A33" s="152"/>
      <c r="B33" s="939" t="s">
        <v>69</v>
      </c>
      <c r="C33" s="857" t="s">
        <v>70</v>
      </c>
      <c r="D33" s="2">
        <v>0</v>
      </c>
      <c r="E33" s="863"/>
      <c r="F33" s="2"/>
      <c r="G33" s="83" t="str">
        <f t="shared" ref="G33:G39" si="9">IF(D33=0,"0.00%",(H33-D33)/D33)</f>
        <v>0.00%</v>
      </c>
      <c r="H33" s="2">
        <f t="shared" ref="H33:H39" si="10">ROUND(D33*(1+$I$19),0)</f>
        <v>0</v>
      </c>
      <c r="I33" s="871" t="str">
        <f t="shared" ref="I33:I39" si="11">TEXT($I$19,"0.0%")&amp;" = Est. S &amp; C"</f>
        <v>0.0% = Est. S &amp; C</v>
      </c>
      <c r="J33" s="66"/>
      <c r="K33" s="83" t="str">
        <f t="shared" ref="K33:K39" si="12">IF(H33=0,"0.00%",(L33-H33)/H33)</f>
        <v>0.00%</v>
      </c>
      <c r="L33" s="2">
        <f>ROUND(H33*(1+M19),0)</f>
        <v>0</v>
      </c>
      <c r="M33" s="871" t="str">
        <f>TEXT(M19,"0.0%")&amp;" = Est. S &amp; C"</f>
        <v>2.0% = Est. S &amp; C</v>
      </c>
      <c r="O33" s="83" t="str">
        <f t="shared" ref="O33:O39" si="13">IF(L33=0,"0.00%",(P33-L33)/L33)</f>
        <v>0.00%</v>
      </c>
      <c r="P33" s="2">
        <f>ROUND(L33*(1+Q19),0)</f>
        <v>0</v>
      </c>
      <c r="Q33" s="871"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2"/>
      <c r="B34" s="939" t="s">
        <v>34</v>
      </c>
      <c r="C34" s="857" t="s">
        <v>33</v>
      </c>
      <c r="D34" s="2">
        <v>0</v>
      </c>
      <c r="E34" s="863"/>
      <c r="F34" s="2"/>
      <c r="G34" s="83" t="str">
        <f t="shared" si="9"/>
        <v>0.00%</v>
      </c>
      <c r="H34" s="2">
        <f t="shared" si="10"/>
        <v>0</v>
      </c>
      <c r="I34" s="871" t="str">
        <f t="shared" si="11"/>
        <v>0.0% = Est. S &amp; C</v>
      </c>
      <c r="J34" s="66"/>
      <c r="K34" s="83" t="str">
        <f t="shared" si="12"/>
        <v>0.00%</v>
      </c>
      <c r="L34" s="2">
        <f>ROUND(H34*(1+M19),0)</f>
        <v>0</v>
      </c>
      <c r="M34" s="871" t="str">
        <f>TEXT(M19,"0.0%")&amp;" = Est. S &amp; C"</f>
        <v>2.0% = Est. S &amp; C</v>
      </c>
      <c r="O34" s="83" t="str">
        <f t="shared" si="13"/>
        <v>0.00%</v>
      </c>
      <c r="P34" s="2">
        <f>ROUND(L34*(1+Q19),0)</f>
        <v>0</v>
      </c>
      <c r="Q34" s="871"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2"/>
      <c r="B35" s="939" t="s">
        <v>32</v>
      </c>
      <c r="C35" s="857" t="s">
        <v>31</v>
      </c>
      <c r="D35" s="2">
        <v>0</v>
      </c>
      <c r="E35" s="863"/>
      <c r="F35" s="2"/>
      <c r="G35" s="83" t="str">
        <f t="shared" si="9"/>
        <v>0.00%</v>
      </c>
      <c r="H35" s="2">
        <f t="shared" si="10"/>
        <v>0</v>
      </c>
      <c r="I35" s="871" t="str">
        <f t="shared" si="11"/>
        <v>0.0% = Est. S &amp; C</v>
      </c>
      <c r="J35" s="66"/>
      <c r="K35" s="83" t="str">
        <f t="shared" si="12"/>
        <v>0.00%</v>
      </c>
      <c r="L35" s="2">
        <f>ROUND(H35*(1+M19),0)</f>
        <v>0</v>
      </c>
      <c r="M35" s="871" t="str">
        <f>TEXT(M19,"0.0%")&amp;" = Est. S &amp; C"</f>
        <v>2.0% = Est. S &amp; C</v>
      </c>
      <c r="O35" s="83" t="str">
        <f t="shared" si="13"/>
        <v>0.00%</v>
      </c>
      <c r="P35" s="2">
        <f>ROUND(L35*(1+Q19),0)</f>
        <v>0</v>
      </c>
      <c r="Q35" s="871"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2"/>
      <c r="B36" s="939" t="s">
        <v>30</v>
      </c>
      <c r="C36" s="857" t="s">
        <v>29</v>
      </c>
      <c r="D36" s="2">
        <v>0</v>
      </c>
      <c r="E36" s="863"/>
      <c r="F36" s="2"/>
      <c r="G36" s="83" t="str">
        <f t="shared" si="9"/>
        <v>0.00%</v>
      </c>
      <c r="H36" s="2">
        <f t="shared" si="10"/>
        <v>0</v>
      </c>
      <c r="I36" s="871" t="str">
        <f t="shared" si="11"/>
        <v>0.0% = Est. S &amp; C</v>
      </c>
      <c r="J36" s="66"/>
      <c r="K36" s="83" t="str">
        <f t="shared" si="12"/>
        <v>0.00%</v>
      </c>
      <c r="L36" s="2">
        <f>ROUND(H36*(1+M19),0)</f>
        <v>0</v>
      </c>
      <c r="M36" s="871" t="str">
        <f>TEXT(M19,"0.0%")&amp;" = Est. S &amp; C"</f>
        <v>2.0% = Est. S &amp; C</v>
      </c>
      <c r="O36" s="83" t="str">
        <f t="shared" si="13"/>
        <v>0.00%</v>
      </c>
      <c r="P36" s="2">
        <f>ROUND(L36*(1+Q19),0)</f>
        <v>0</v>
      </c>
      <c r="Q36" s="871"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2"/>
      <c r="B37" s="939" t="s">
        <v>72</v>
      </c>
      <c r="C37" s="857" t="s">
        <v>71</v>
      </c>
      <c r="D37" s="2">
        <v>0</v>
      </c>
      <c r="E37" s="863"/>
      <c r="F37" s="2"/>
      <c r="G37" s="83" t="str">
        <f t="shared" si="9"/>
        <v>0.00%</v>
      </c>
      <c r="H37" s="2">
        <f t="shared" si="10"/>
        <v>0</v>
      </c>
      <c r="I37" s="871" t="str">
        <f t="shared" si="11"/>
        <v>0.0% = Est. S &amp; C</v>
      </c>
      <c r="J37" s="66"/>
      <c r="K37" s="83" t="str">
        <f t="shared" si="12"/>
        <v>0.00%</v>
      </c>
      <c r="L37" s="2">
        <f>ROUND(H37*(1+M19),0)</f>
        <v>0</v>
      </c>
      <c r="M37" s="871" t="str">
        <f>TEXT(M19,"0.0%")&amp;" = Est. S &amp; C"</f>
        <v>2.0% = Est. S &amp; C</v>
      </c>
      <c r="O37" s="83" t="str">
        <f t="shared" si="13"/>
        <v>0.00%</v>
      </c>
      <c r="P37" s="2">
        <f>ROUND(L37*(1+Q19),0)</f>
        <v>0</v>
      </c>
      <c r="Q37" s="871"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2"/>
      <c r="B38" s="939" t="s">
        <v>114</v>
      </c>
      <c r="C38" s="857" t="s">
        <v>117</v>
      </c>
      <c r="D38" s="2">
        <v>0</v>
      </c>
      <c r="E38" s="863"/>
      <c r="F38" s="2"/>
      <c r="G38" s="83" t="str">
        <f t="shared" si="9"/>
        <v>0.00%</v>
      </c>
      <c r="H38" s="2">
        <f t="shared" si="10"/>
        <v>0</v>
      </c>
      <c r="I38" s="871" t="str">
        <f t="shared" si="11"/>
        <v>0.0% = Est. S &amp; C</v>
      </c>
      <c r="J38" s="66"/>
      <c r="K38" s="83" t="str">
        <f t="shared" si="12"/>
        <v>0.00%</v>
      </c>
      <c r="L38" s="2">
        <f>ROUND(H38*(1+M19),0)</f>
        <v>0</v>
      </c>
      <c r="M38" s="871" t="str">
        <f>TEXT(M19,"0.0%")&amp;" = Est. S &amp; C"</f>
        <v>2.0% = Est. S &amp; C</v>
      </c>
      <c r="O38" s="83" t="str">
        <f t="shared" si="13"/>
        <v>0.00%</v>
      </c>
      <c r="P38" s="2">
        <f>ROUND(L38*(1+Q19),0)</f>
        <v>0</v>
      </c>
      <c r="Q38" s="871"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2"/>
      <c r="B39" s="939" t="s">
        <v>73</v>
      </c>
      <c r="C39" s="857" t="s">
        <v>74</v>
      </c>
      <c r="D39" s="2">
        <v>0</v>
      </c>
      <c r="E39" s="863"/>
      <c r="F39" s="2"/>
      <c r="G39" s="83" t="str">
        <f t="shared" si="9"/>
        <v>0.00%</v>
      </c>
      <c r="H39" s="2">
        <f t="shared" si="10"/>
        <v>0</v>
      </c>
      <c r="I39" s="871" t="str">
        <f t="shared" si="11"/>
        <v>0.0% = Est. S &amp; C</v>
      </c>
      <c r="J39" s="66"/>
      <c r="K39" s="83" t="str">
        <f t="shared" si="12"/>
        <v>0.00%</v>
      </c>
      <c r="L39" s="2">
        <f>ROUND(H39*(1+M19),0)</f>
        <v>0</v>
      </c>
      <c r="M39" s="871" t="str">
        <f>TEXT(M19,"0.0%")&amp;" = Est. S &amp; C"</f>
        <v>2.0% = Est. S &amp; C</v>
      </c>
      <c r="O39" s="83" t="str">
        <f t="shared" si="13"/>
        <v>0.00%</v>
      </c>
      <c r="P39" s="2">
        <f>ROUND(L39*(1+Q19),0)</f>
        <v>0</v>
      </c>
      <c r="Q39" s="871"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2"/>
      <c r="B40" s="939"/>
      <c r="E40" s="863"/>
      <c r="F40" s="2"/>
      <c r="H40" s="2"/>
      <c r="I40" s="871"/>
      <c r="J40" s="66"/>
      <c r="L40" s="2"/>
      <c r="M40" s="948"/>
      <c r="Q40" s="948"/>
      <c r="T40" s="2"/>
      <c r="U40" s="73"/>
      <c r="X40" s="2"/>
      <c r="Y40" s="73"/>
      <c r="AB40" s="2"/>
      <c r="AC40" s="73"/>
    </row>
    <row r="41" spans="1:29" x14ac:dyDescent="0.25">
      <c r="A41" s="153"/>
      <c r="B41" s="939"/>
      <c r="D41" s="8">
        <f>SUM(D33:D40)</f>
        <v>0</v>
      </c>
      <c r="E41" s="863"/>
      <c r="F41" s="2"/>
      <c r="G41" s="83" t="str">
        <f>IF(D41=0,"0.00%",(H41-D41)/D41)</f>
        <v>0.00%</v>
      </c>
      <c r="H41" s="8">
        <f>SUM(H33:H40)</f>
        <v>0</v>
      </c>
      <c r="I41" s="872"/>
      <c r="J41" s="29"/>
      <c r="K41" s="83" t="str">
        <f>IF(H41=0,"0.00%",(L41-H41)/H41)</f>
        <v>0.00%</v>
      </c>
      <c r="L41" s="8">
        <f>SUM(L33:L40)</f>
        <v>0</v>
      </c>
      <c r="M41" s="948"/>
      <c r="O41" s="83" t="str">
        <f>IF(L41=0,"0.00%",(P41-L41)/L41)</f>
        <v>0.00%</v>
      </c>
      <c r="P41" s="8">
        <f>SUM(P33:P40)</f>
        <v>0</v>
      </c>
      <c r="Q41" s="948"/>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x14ac:dyDescent="0.25">
      <c r="A42" s="152"/>
      <c r="B42" s="930" t="s">
        <v>28</v>
      </c>
      <c r="E42" s="863"/>
      <c r="F42" s="2"/>
      <c r="H42" s="2"/>
      <c r="I42" s="871"/>
      <c r="J42" s="66"/>
      <c r="L42" s="2"/>
      <c r="M42" s="948"/>
      <c r="Q42" s="948"/>
      <c r="T42" s="2"/>
      <c r="U42" s="73"/>
      <c r="X42" s="2"/>
      <c r="Y42" s="73"/>
      <c r="AB42" s="2"/>
      <c r="AC42" s="73"/>
    </row>
    <row r="43" spans="1:29" x14ac:dyDescent="0.25">
      <c r="A43" s="154"/>
      <c r="B43" s="936" t="s">
        <v>27</v>
      </c>
      <c r="E43" s="863"/>
      <c r="F43" s="2"/>
      <c r="H43" s="2"/>
      <c r="I43" s="871"/>
      <c r="J43" s="66"/>
      <c r="L43" s="2"/>
      <c r="M43" s="948"/>
      <c r="Q43" s="948"/>
      <c r="T43" s="2"/>
      <c r="U43" s="73"/>
      <c r="X43" s="2"/>
      <c r="Y43" s="73"/>
      <c r="AB43" s="2"/>
      <c r="AC43" s="73"/>
    </row>
    <row r="44" spans="1:29" x14ac:dyDescent="0.25">
      <c r="A44" s="152"/>
      <c r="B44" s="939" t="s">
        <v>83</v>
      </c>
      <c r="C44" s="857" t="s">
        <v>76</v>
      </c>
      <c r="D44" s="2">
        <v>4219</v>
      </c>
      <c r="E44" s="854" t="str">
        <f>TEXT('MYP Assumptions'!$D$55,"0.00%")&amp;", STRS rate"</f>
        <v>12.58%, STRS rate</v>
      </c>
      <c r="F44" s="2"/>
      <c r="G44" s="83">
        <f t="shared" ref="G44:G53" si="17">IF(D44=0,"0.00%",(H44-D44)/D44)</f>
        <v>0.12941455321166154</v>
      </c>
      <c r="H44" s="2">
        <v>4765</v>
      </c>
      <c r="I44" s="854" t="str">
        <f>TEXT('MYP Assumptions'!E55,"0.00%")&amp;", projected STRS rate"</f>
        <v>14.43%, projected STRS rate</v>
      </c>
      <c r="J44" s="66"/>
      <c r="K44" s="83">
        <f t="shared" ref="K44:K53" si="18">IF(H44=0,"0.00%",(L44-H44)/H44)</f>
        <v>0.14816369359916054</v>
      </c>
      <c r="L44" s="2">
        <f>ROUND(L30*LEFT(M44,6),0)</f>
        <v>5471</v>
      </c>
      <c r="M44" s="854" t="str">
        <f>TEXT('MYP Assumptions'!F55,"0.00%")&amp;", projected STRS rate"</f>
        <v>16.28%, projected STRS rate</v>
      </c>
      <c r="O44" s="83">
        <f t="shared" ref="O44:O53" si="19">IF(L44=0,"0.00%",(P44-L44)/L44)</f>
        <v>0.13343081703527693</v>
      </c>
      <c r="P44" s="2">
        <f>ROUND(P30*LEFT(Q44,6),0)</f>
        <v>6201</v>
      </c>
      <c r="Q44" s="854" t="str">
        <f>TEXT('MYP Assumptions'!G55,"0.00%")&amp;", projected STRS rate"</f>
        <v>18.13%, projected STRS rate</v>
      </c>
      <c r="S44" s="83">
        <f t="shared" ref="S44:S53" si="20">IF(P44=0,"0.00%",(T44-P44)/P44)</f>
        <v>7.4504112239961298E-2</v>
      </c>
      <c r="T44" s="2">
        <f>ROUND(T30*LEFT(U44,6),0)</f>
        <v>6663</v>
      </c>
      <c r="U44" s="81" t="str">
        <f>TEXT('MYP Assumptions'!H55,"0.00%")&amp;", projected STRS rate"</f>
        <v>19.10%, projected STRS rate</v>
      </c>
      <c r="W44" s="83">
        <f t="shared" ref="W44:W53" si="21">IF(T44=0,"0.00%",(X44-T44)/T44)</f>
        <v>2.0111061083595977E-2</v>
      </c>
      <c r="X44" s="2">
        <f>ROUND(X30*LEFT(Y44,6),0)</f>
        <v>6797</v>
      </c>
      <c r="Y44" s="81" t="str">
        <f>TEXT('MYP Assumptions'!I55,"0.00%")&amp;", projected STRS rate"</f>
        <v>19.10%, projected STRS rate</v>
      </c>
      <c r="AA44" s="83">
        <f t="shared" ref="AA44:AA53" si="22">IF(X44=0,"0.00%",(AB44-X44)/X44)</f>
        <v>2.0008827423863468E-2</v>
      </c>
      <c r="AB44" s="2">
        <f>ROUND(AB30*LEFT(AC44,6),0)</f>
        <v>6933</v>
      </c>
      <c r="AC44" s="81" t="str">
        <f>TEXT('MYP Assumptions'!J55,"0.00%")&amp;", projected STRS rate"</f>
        <v>19.10%, projected STRS rate</v>
      </c>
    </row>
    <row r="45" spans="1:29" x14ac:dyDescent="0.25">
      <c r="A45" s="152"/>
      <c r="B45" s="939" t="s">
        <v>84</v>
      </c>
      <c r="C45" s="857" t="s">
        <v>77</v>
      </c>
      <c r="D45" s="2">
        <v>0</v>
      </c>
      <c r="E45" s="854" t="str">
        <f>TEXT('MYP Assumptions'!$D$56,"0.00%")&amp;", PERS rate"</f>
        <v>13.89%, PERS rate</v>
      </c>
      <c r="F45" s="2"/>
      <c r="G45" s="83" t="str">
        <f t="shared" si="17"/>
        <v>0.00%</v>
      </c>
      <c r="H45" s="2">
        <v>0</v>
      </c>
      <c r="I45" s="854" t="str">
        <f>TEXT('MYP Assumptions'!E56,"0.00%")&amp;", projected PERS rate"</f>
        <v>15.53%, projected PERS rate</v>
      </c>
      <c r="J45" s="66"/>
      <c r="K45" s="83" t="str">
        <f t="shared" si="18"/>
        <v>0.00%</v>
      </c>
      <c r="L45" s="2">
        <f>ROUND(L41*LEFT(M45,6),0)</f>
        <v>0</v>
      </c>
      <c r="M45" s="854" t="str">
        <f>TEXT('MYP Assumptions'!F56,"0.00%")&amp;", projected PERS rate"</f>
        <v>18.10%, projected PERS rate</v>
      </c>
      <c r="O45" s="83" t="str">
        <f t="shared" si="19"/>
        <v>0.00%</v>
      </c>
      <c r="P45" s="2">
        <f>ROUND(P41*LEFT(Q45,6),0)</f>
        <v>0</v>
      </c>
      <c r="Q45" s="854" t="str">
        <f>TEXT('MYP Assumptions'!G56,"0.00%")&amp;", projected PERS rate"</f>
        <v>20.80%, projected PERS rate</v>
      </c>
      <c r="S45" s="83" t="str">
        <f t="shared" si="20"/>
        <v>0.00%</v>
      </c>
      <c r="T45" s="2">
        <f>ROUND(T41*LEFT(U45,6),0)</f>
        <v>0</v>
      </c>
      <c r="U45" s="81" t="str">
        <f>TEXT('MYP Assumptions'!H56,"0.00%")&amp;", projected PERS rate"</f>
        <v>23.80%, projected PERS rate</v>
      </c>
      <c r="W45" s="83" t="str">
        <f t="shared" si="21"/>
        <v>0.00%</v>
      </c>
      <c r="X45" s="2">
        <f>ROUND(X41*LEFT(Y45,6),0)</f>
        <v>0</v>
      </c>
      <c r="Y45" s="81" t="str">
        <f>TEXT('MYP Assumptions'!I56,"0.00%")&amp;", projected PERS rate"</f>
        <v>25.20%, projected PERS rate</v>
      </c>
      <c r="AA45" s="83" t="str">
        <f t="shared" si="22"/>
        <v>0.00%</v>
      </c>
      <c r="AB45" s="2">
        <f>ROUND(AB41*LEFT(AC45,6),0)</f>
        <v>0</v>
      </c>
      <c r="AC45" s="81" t="str">
        <f>TEXT('MYP Assumptions'!J56,"0.00%")&amp;", projected PERS rate"</f>
        <v>26.10%, projected PERS rate</v>
      </c>
    </row>
    <row r="46" spans="1:29" x14ac:dyDescent="0.25">
      <c r="A46" s="152"/>
      <c r="B46" s="939" t="s">
        <v>85</v>
      </c>
      <c r="C46" s="857" t="s">
        <v>78</v>
      </c>
      <c r="D46" s="2">
        <v>0</v>
      </c>
      <c r="E46" s="854" t="str">
        <f>TEXT('MYP Assumptions'!$D$57,"0.00%")&amp;", SS rate"</f>
        <v>6.20%, SS rate</v>
      </c>
      <c r="F46" s="2"/>
      <c r="G46" s="83" t="str">
        <f t="shared" si="17"/>
        <v>0.00%</v>
      </c>
      <c r="H46" s="2">
        <v>0</v>
      </c>
      <c r="I46" s="854" t="str">
        <f>TEXT('MYP Assumptions'!E57,"0.00%")&amp;", no rate change"</f>
        <v>6.20%, no rate change</v>
      </c>
      <c r="J46" s="66"/>
      <c r="K46" s="83" t="str">
        <f t="shared" si="18"/>
        <v>0.00%</v>
      </c>
      <c r="L46" s="2">
        <f>ROUND(L41*LEFT(M46,5),0)</f>
        <v>0</v>
      </c>
      <c r="M46" s="854" t="str">
        <f>TEXT('MYP Assumptions'!F57,"0.00%")&amp;", no rate change"</f>
        <v>6.20%, no rate change</v>
      </c>
      <c r="O46" s="83" t="str">
        <f t="shared" si="19"/>
        <v>0.00%</v>
      </c>
      <c r="P46" s="2">
        <f>ROUND(P41*LEFT(Q46,5),0)</f>
        <v>0</v>
      </c>
      <c r="Q46" s="854" t="str">
        <f>TEXT('MYP Assumptions'!G57,"0.00%")&amp;", no rate change"</f>
        <v>6.20%, no rate change</v>
      </c>
      <c r="S46" s="83" t="str">
        <f t="shared" si="20"/>
        <v>0.00%</v>
      </c>
      <c r="T46" s="2">
        <f>ROUND(T41*LEFT(U46,5),0)</f>
        <v>0</v>
      </c>
      <c r="U46" s="81" t="str">
        <f>TEXT('MYP Assumptions'!H57,"0.00%")&amp;", no rate change"</f>
        <v>6.20%, no rate change</v>
      </c>
      <c r="W46" s="83" t="str">
        <f t="shared" si="21"/>
        <v>0.00%</v>
      </c>
      <c r="X46" s="2">
        <f>ROUND(X41*LEFT(Y46,5),0)</f>
        <v>0</v>
      </c>
      <c r="Y46" s="81" t="str">
        <f>TEXT('MYP Assumptions'!I57,"0.00%")&amp;", no rate change"</f>
        <v>6.20%, no rate change</v>
      </c>
      <c r="AA46" s="83" t="str">
        <f t="shared" si="22"/>
        <v>0.00%</v>
      </c>
      <c r="AB46" s="2">
        <f>ROUND(AB41*LEFT(AC46,5),0)</f>
        <v>0</v>
      </c>
      <c r="AC46" s="81" t="str">
        <f>TEXT('MYP Assumptions'!J57,"0.00%")&amp;", no rate change"</f>
        <v>6.20%, no rate change</v>
      </c>
    </row>
    <row r="47" spans="1:29" x14ac:dyDescent="0.25">
      <c r="A47" s="152"/>
      <c r="B47" s="939" t="s">
        <v>86</v>
      </c>
      <c r="C47" s="857" t="s">
        <v>79</v>
      </c>
      <c r="D47" s="2">
        <v>465.89</v>
      </c>
      <c r="E47" s="854" t="str">
        <f>TEXT('MYP Assumptions'!$D$58,"0.00%")&amp;", Medicare rate"</f>
        <v>1.45%, Medicare rate</v>
      </c>
      <c r="F47" s="2"/>
      <c r="G47" s="83">
        <f t="shared" si="17"/>
        <v>0.12902187211573551</v>
      </c>
      <c r="H47" s="2">
        <v>526</v>
      </c>
      <c r="I47" s="854" t="str">
        <f>TEXT('MYP Assumptions'!E58,"0.00%")&amp;", no rate change"</f>
        <v>1.45%, no rate change</v>
      </c>
      <c r="J47" s="66"/>
      <c r="K47" s="83">
        <f t="shared" si="18"/>
        <v>-7.4144486692015205E-2</v>
      </c>
      <c r="L47" s="2">
        <f>ROUND((L41+L30)*LEFT(M47,5),0)</f>
        <v>487</v>
      </c>
      <c r="M47" s="854" t="str">
        <f>TEXT('MYP Assumptions'!F58,"0.00%")&amp;", no rate change"</f>
        <v>1.45%, no rate change</v>
      </c>
      <c r="O47" s="83">
        <f t="shared" si="19"/>
        <v>1.8480492813141684E-2</v>
      </c>
      <c r="P47" s="2">
        <f>ROUND((P41+P30)*LEFT(Q47,5),0)</f>
        <v>496</v>
      </c>
      <c r="Q47" s="854" t="str">
        <f>TEXT('MYP Assumptions'!G58,"0.00%")&amp;", no rate change"</f>
        <v>1.45%, no rate change</v>
      </c>
      <c r="S47" s="83">
        <f t="shared" si="20"/>
        <v>2.0161290322580645E-2</v>
      </c>
      <c r="T47" s="2">
        <f>ROUND((T41+T30)*LEFT(U47,5),0)</f>
        <v>506</v>
      </c>
      <c r="U47" s="81" t="str">
        <f>TEXT('MYP Assumptions'!H58,"0.00%")&amp;", no rate change"</f>
        <v>1.45%, no rate change</v>
      </c>
      <c r="W47" s="83">
        <f t="shared" si="21"/>
        <v>1.9762845849802372E-2</v>
      </c>
      <c r="X47" s="2">
        <f>ROUND((X41+X30)*LEFT(Y47,5),0)</f>
        <v>516</v>
      </c>
      <c r="Y47" s="81" t="str">
        <f>TEXT('MYP Assumptions'!I58,"0.00%")&amp;", no rate change"</f>
        <v>1.45%, no rate change</v>
      </c>
      <c r="AA47" s="83">
        <f t="shared" si="22"/>
        <v>1.937984496124031E-2</v>
      </c>
      <c r="AB47" s="2">
        <f>ROUND((AB41+AB30)*LEFT(AC47,5),0)</f>
        <v>526</v>
      </c>
      <c r="AC47" s="81" t="str">
        <f>TEXT('MYP Assumptions'!J58,"0.00%")&amp;", no rate change"</f>
        <v>1.45%, no rate change</v>
      </c>
    </row>
    <row r="48" spans="1:29" x14ac:dyDescent="0.25">
      <c r="A48" s="152"/>
      <c r="B48" s="939" t="s">
        <v>87</v>
      </c>
      <c r="C48" s="857" t="s">
        <v>80</v>
      </c>
      <c r="D48" s="2">
        <v>0</v>
      </c>
      <c r="E48" s="854"/>
      <c r="F48" s="2"/>
      <c r="G48" s="83" t="str">
        <f t="shared" si="17"/>
        <v>0.00%</v>
      </c>
      <c r="H48" s="2">
        <v>0</v>
      </c>
      <c r="I48" s="854" t="str">
        <f>TEXT('MYP Assumptions'!$M$65,"0.00%")&amp;", projected increase"</f>
        <v>7.00%, projected increase</v>
      </c>
      <c r="J48" s="66"/>
      <c r="K48" s="83" t="str">
        <f t="shared" si="18"/>
        <v>0.00%</v>
      </c>
      <c r="L48" s="2">
        <f>ROUND((H48)*(LEFT(M48,5)+1),0)</f>
        <v>0</v>
      </c>
      <c r="M48" s="854" t="str">
        <f>TEXT('MYP Assumptions'!$M$65,"0.00%")&amp;", projected increase"</f>
        <v>7.00%, projected increase</v>
      </c>
      <c r="O48" s="83" t="str">
        <f t="shared" si="19"/>
        <v>0.00%</v>
      </c>
      <c r="P48" s="2">
        <f>ROUND((L48)*(LEFT(Q48,5)+1),0)</f>
        <v>0</v>
      </c>
      <c r="Q48" s="854" t="str">
        <f>TEXT('MYP Assumptions'!$M$65,"0.00%")&amp;", projected increase"</f>
        <v>7.00%, projected increase</v>
      </c>
      <c r="S48" s="83" t="str">
        <f t="shared" si="20"/>
        <v>0.00%</v>
      </c>
      <c r="T48" s="2">
        <f>ROUND((P48)*(LEFT(U48,5)+1),0)</f>
        <v>0</v>
      </c>
      <c r="U48" s="81" t="str">
        <f>TEXT('MYP Assumptions'!$M$65,"0.00%")&amp;", projected increase"</f>
        <v>7.00%, projected increase</v>
      </c>
      <c r="W48" s="83" t="str">
        <f t="shared" si="21"/>
        <v>0.00%</v>
      </c>
      <c r="X48" s="2">
        <f>ROUND((T48)*(LEFT(Y48,5)+1),0)</f>
        <v>0</v>
      </c>
      <c r="Y48" s="81" t="str">
        <f>TEXT('MYP Assumptions'!$M$65,"0.00%")&amp;", projected increase"</f>
        <v>7.00%, projected increase</v>
      </c>
      <c r="AA48" s="83" t="str">
        <f t="shared" si="22"/>
        <v>0.00%</v>
      </c>
      <c r="AB48" s="2">
        <f>ROUND((X48)*(LEFT(AC48,5)+1),0)</f>
        <v>0</v>
      </c>
      <c r="AC48" s="81" t="str">
        <f>TEXT('MYP Assumptions'!$M$65,"0.00%")&amp;", projected increase"</f>
        <v>7.00%, projected increase</v>
      </c>
    </row>
    <row r="49" spans="1:29" x14ac:dyDescent="0.25">
      <c r="A49" s="152"/>
      <c r="B49" s="939" t="s">
        <v>88</v>
      </c>
      <c r="C49" s="857" t="s">
        <v>81</v>
      </c>
      <c r="D49" s="2">
        <v>16.04</v>
      </c>
      <c r="E49" s="854" t="str">
        <f>TEXT('MYP Assumptions'!$D$59,"0.00%")&amp;", SUI rate"</f>
        <v>0.05%, SUI rate</v>
      </c>
      <c r="F49" s="2"/>
      <c r="G49" s="83">
        <f t="shared" si="17"/>
        <v>0.18453865336658359</v>
      </c>
      <c r="H49" s="2">
        <v>19</v>
      </c>
      <c r="I49" s="854" t="str">
        <f>TEXT('MYP Assumptions'!E59,"0.00%")&amp;", no rate change"</f>
        <v>0.05%, no rate change</v>
      </c>
      <c r="J49" s="66"/>
      <c r="K49" s="83">
        <f t="shared" si="18"/>
        <v>-0.10526315789473684</v>
      </c>
      <c r="L49" s="2">
        <f>ROUND((L41+L30)*LEFT(M49,5),0)</f>
        <v>17</v>
      </c>
      <c r="M49" s="854" t="str">
        <f>TEXT('MYP Assumptions'!F59,"0.00%")&amp;", no rate change"</f>
        <v>0.05%, no rate change</v>
      </c>
      <c r="O49" s="83">
        <f t="shared" si="19"/>
        <v>0</v>
      </c>
      <c r="P49" s="2">
        <f>ROUND((P41+P30)*LEFT(Q49,5),0)</f>
        <v>17</v>
      </c>
      <c r="Q49" s="854" t="str">
        <f>TEXT('MYP Assumptions'!G59,"0.00%")&amp;", no rate change"</f>
        <v>0.05%, no rate change</v>
      </c>
      <c r="S49" s="83">
        <f t="shared" si="20"/>
        <v>0</v>
      </c>
      <c r="T49" s="2">
        <f>ROUND((T41+T30)*LEFT(U49,5),0)</f>
        <v>17</v>
      </c>
      <c r="U49" s="81" t="str">
        <f>TEXT('MYP Assumptions'!H59,"0.00%")&amp;", no rate change"</f>
        <v>0.05%, no rate change</v>
      </c>
      <c r="W49" s="83">
        <f t="shared" si="21"/>
        <v>5.8823529411764705E-2</v>
      </c>
      <c r="X49" s="2">
        <f>ROUND((X41+X30)*LEFT(Y49,5),0)</f>
        <v>18</v>
      </c>
      <c r="Y49" s="81" t="str">
        <f>TEXT('MYP Assumptions'!I59,"0.00%")&amp;", no rate change"</f>
        <v>0.05%, no rate change</v>
      </c>
      <c r="AA49" s="83">
        <f t="shared" si="22"/>
        <v>0</v>
      </c>
      <c r="AB49" s="2">
        <f>ROUND((AB41+AB30)*LEFT(AC49,5),0)</f>
        <v>18</v>
      </c>
      <c r="AC49" s="81" t="str">
        <f>TEXT('MYP Assumptions'!J59,"0.00%")&amp;", no rate change"</f>
        <v>0.05%, no rate change</v>
      </c>
    </row>
    <row r="50" spans="1:29" x14ac:dyDescent="0.25">
      <c r="A50" s="152"/>
      <c r="B50" s="939" t="s">
        <v>89</v>
      </c>
      <c r="C50" s="857" t="s">
        <v>82</v>
      </c>
      <c r="D50" s="2">
        <v>353.48</v>
      </c>
      <c r="E50" s="854" t="str">
        <f>TEXT('MYP Assumptions'!$D$60,"0.00%")&amp;", W/C rate"</f>
        <v>1.10%, W/C rate</v>
      </c>
      <c r="F50" s="2"/>
      <c r="G50" s="83">
        <f t="shared" si="17"/>
        <v>0.12877673418580959</v>
      </c>
      <c r="H50" s="2">
        <v>399</v>
      </c>
      <c r="I50" s="854" t="str">
        <f>TEXT('MYP Assumptions'!E60,"0.00%")&amp;", no rate change"</f>
        <v>0.80%, no rate change</v>
      </c>
      <c r="J50" s="66"/>
      <c r="K50" s="83">
        <f t="shared" si="18"/>
        <v>-0.32581453634085211</v>
      </c>
      <c r="L50" s="2">
        <f>ROUND((L41+L30)*LEFT(M50,5),0)</f>
        <v>269</v>
      </c>
      <c r="M50" s="854" t="str">
        <f>TEXT('MYP Assumptions'!F60,"0.00%")&amp;", no rate change"</f>
        <v>0.80%, no rate change</v>
      </c>
      <c r="O50" s="83">
        <f t="shared" si="19"/>
        <v>1.858736059479554E-2</v>
      </c>
      <c r="P50" s="2">
        <f>ROUND((P41+P30)*LEFT(Q50,5),0)</f>
        <v>274</v>
      </c>
      <c r="Q50" s="854" t="str">
        <f>TEXT('MYP Assumptions'!G60,"0.00%")&amp;", no rate change"</f>
        <v>0.80%, no rate change</v>
      </c>
      <c r="S50" s="83">
        <f t="shared" si="20"/>
        <v>1.824817518248175E-2</v>
      </c>
      <c r="T50" s="2">
        <f>ROUND((T41+T30)*LEFT(U50,5),0)</f>
        <v>279</v>
      </c>
      <c r="U50" s="81" t="str">
        <f>TEXT('MYP Assumptions'!H60,"0.00%")&amp;", no rate change"</f>
        <v>0.80%, no rate change</v>
      </c>
      <c r="W50" s="83">
        <f t="shared" si="21"/>
        <v>2.1505376344086023E-2</v>
      </c>
      <c r="X50" s="2">
        <f>ROUND((X41+X30)*LEFT(Y50,5),0)</f>
        <v>285</v>
      </c>
      <c r="Y50" s="81" t="str">
        <f>TEXT('MYP Assumptions'!I60,"0.00%")&amp;", no rate change"</f>
        <v>0.80%, no rate change</v>
      </c>
      <c r="AA50" s="83">
        <f t="shared" si="22"/>
        <v>1.7543859649122806E-2</v>
      </c>
      <c r="AB50" s="2">
        <f>ROUND((AB41+AB30)*LEFT(AC50,5),0)</f>
        <v>290</v>
      </c>
      <c r="AC50" s="81" t="str">
        <f>TEXT('MYP Assumptions'!J60,"0.00%")&amp;", no rate change"</f>
        <v>0.80%, no rate change</v>
      </c>
    </row>
    <row r="51" spans="1:29" x14ac:dyDescent="0.25">
      <c r="A51" s="152"/>
      <c r="B51" s="939" t="s">
        <v>91</v>
      </c>
      <c r="C51" s="857" t="s">
        <v>93</v>
      </c>
      <c r="D51" s="2">
        <v>625</v>
      </c>
      <c r="E51" s="863"/>
      <c r="F51" s="2"/>
      <c r="G51" s="83">
        <f t="shared" ref="G51" si="23">IF(D51=0,"0.00%",(H51-D51)/D51)</f>
        <v>0.2</v>
      </c>
      <c r="H51" s="2">
        <v>750</v>
      </c>
      <c r="I51" s="854"/>
      <c r="J51" s="66"/>
      <c r="K51" s="83">
        <f t="shared" ref="K51" si="24">IF(H51=0,"0.00%",(L51-H51)/H51)</f>
        <v>0</v>
      </c>
      <c r="L51" s="2">
        <f>H51</f>
        <v>750</v>
      </c>
      <c r="M51" s="854" t="s">
        <v>166</v>
      </c>
      <c r="O51" s="83">
        <f t="shared" ref="O51" si="25">IF(L51=0,"0.00%",(P51-L51)/L51)</f>
        <v>0</v>
      </c>
      <c r="P51" s="2">
        <f>L51</f>
        <v>750</v>
      </c>
      <c r="Q51" s="854" t="s">
        <v>166</v>
      </c>
      <c r="S51" s="83">
        <f t="shared" ref="S51" si="26">IF(P51=0,"0.00%",(T51-P51)/P51)</f>
        <v>0</v>
      </c>
      <c r="T51" s="2">
        <f>P51</f>
        <v>750</v>
      </c>
      <c r="U51" s="81" t="s">
        <v>166</v>
      </c>
      <c r="W51" s="83">
        <f t="shared" ref="W51" si="27">IF(T51=0,"0.00%",(X51-T51)/T51)</f>
        <v>0</v>
      </c>
      <c r="X51" s="2">
        <f>T51</f>
        <v>750</v>
      </c>
      <c r="Y51" s="81" t="s">
        <v>166</v>
      </c>
      <c r="AA51" s="83">
        <f t="shared" ref="AA51" si="28">IF(X51=0,"0.00%",(AB51-X51)/X51)</f>
        <v>0</v>
      </c>
      <c r="AB51" s="2">
        <f>X51</f>
        <v>750</v>
      </c>
      <c r="AC51" s="81" t="s">
        <v>166</v>
      </c>
    </row>
    <row r="52" spans="1:29" x14ac:dyDescent="0.25">
      <c r="A52" s="152"/>
      <c r="B52" s="939"/>
      <c r="E52" s="863"/>
      <c r="F52" s="2"/>
      <c r="G52" s="83"/>
      <c r="H52" s="2"/>
      <c r="I52" s="854"/>
      <c r="J52" s="66"/>
      <c r="K52" s="83"/>
      <c r="L52" s="2"/>
      <c r="M52" s="854"/>
      <c r="O52" s="83"/>
      <c r="Q52" s="854"/>
      <c r="S52" s="83"/>
      <c r="T52" s="2"/>
      <c r="U52" s="81"/>
      <c r="W52" s="83"/>
      <c r="X52" s="2"/>
      <c r="Y52" s="81"/>
      <c r="AA52" s="83"/>
      <c r="AB52" s="2"/>
      <c r="AC52" s="81"/>
    </row>
    <row r="53" spans="1:29" x14ac:dyDescent="0.25">
      <c r="A53" s="153"/>
      <c r="B53" s="939"/>
      <c r="D53" s="8">
        <f>SUM(D44:D52)</f>
        <v>5679.41</v>
      </c>
      <c r="E53" s="863"/>
      <c r="F53" s="2"/>
      <c r="G53" s="83">
        <f t="shared" si="17"/>
        <v>0.13726601882942069</v>
      </c>
      <c r="H53" s="8">
        <f>SUM(H44:H52)</f>
        <v>6459</v>
      </c>
      <c r="I53" s="1292">
        <f>+H53-D53</f>
        <v>779.59000000000015</v>
      </c>
      <c r="J53" s="29"/>
      <c r="K53" s="83">
        <f t="shared" si="18"/>
        <v>8.283015946740982E-2</v>
      </c>
      <c r="L53" s="8">
        <f>SUM(L44:L52)</f>
        <v>6994</v>
      </c>
      <c r="M53" s="1292">
        <f>+L53-H53</f>
        <v>535</v>
      </c>
      <c r="O53" s="83">
        <f t="shared" si="19"/>
        <v>0.1063768944809837</v>
      </c>
      <c r="P53" s="8">
        <f>SUM(P44:P52)</f>
        <v>7738</v>
      </c>
      <c r="Q53" s="1292">
        <f>+P53-L53</f>
        <v>744</v>
      </c>
      <c r="S53" s="83">
        <f t="shared" si="20"/>
        <v>6.1643835616438353E-2</v>
      </c>
      <c r="T53" s="8">
        <f>SUM(T44:T52)</f>
        <v>8215</v>
      </c>
      <c r="U53" s="73"/>
      <c r="W53" s="83">
        <f t="shared" si="21"/>
        <v>1.8381010346926355E-2</v>
      </c>
      <c r="X53" s="8">
        <f>SUM(X44:X52)</f>
        <v>8366</v>
      </c>
      <c r="Y53" s="73"/>
      <c r="AA53" s="83">
        <f t="shared" si="22"/>
        <v>1.8049246951948362E-2</v>
      </c>
      <c r="AB53" s="8">
        <f>SUM(AB44:AB52)</f>
        <v>8517</v>
      </c>
      <c r="AC53" s="73"/>
    </row>
    <row r="54" spans="1:29" x14ac:dyDescent="0.25">
      <c r="A54" s="154"/>
      <c r="B54" s="939"/>
      <c r="E54" s="863"/>
      <c r="F54" s="2"/>
      <c r="H54" s="2"/>
      <c r="I54" s="871"/>
      <c r="J54" s="66"/>
      <c r="L54" s="2"/>
      <c r="M54" s="948"/>
      <c r="Q54" s="948"/>
      <c r="T54" s="2"/>
      <c r="U54" s="73"/>
      <c r="X54" s="2"/>
      <c r="Y54" s="73"/>
      <c r="AB54" s="2"/>
      <c r="AC54" s="73"/>
    </row>
    <row r="55" spans="1:29" x14ac:dyDescent="0.25">
      <c r="A55" s="153"/>
      <c r="B55" s="936" t="s">
        <v>26</v>
      </c>
      <c r="D55" s="8">
        <f>SUM(D53,D41,D30)</f>
        <v>38613.270000000004</v>
      </c>
      <c r="E55" s="863"/>
      <c r="F55" s="2"/>
      <c r="G55" s="83">
        <f>IF(D55=0,"0.00%",(H55-D55)/D55)</f>
        <v>2.2498224056133963E-2</v>
      </c>
      <c r="H55" s="8">
        <f>SUM(H53,H41,H30)</f>
        <v>39482</v>
      </c>
      <c r="I55" s="1292">
        <f>+H55-D55</f>
        <v>868.72999999999593</v>
      </c>
      <c r="J55" s="29"/>
      <c r="K55" s="83">
        <f>IF(H55=0,"0.00%",(L55-H55)/H55)</f>
        <v>2.8342029279165189E-2</v>
      </c>
      <c r="L55" s="8">
        <f>SUM(L53,L41,L30)</f>
        <v>40601</v>
      </c>
      <c r="M55" s="1292">
        <f>+L55-H55</f>
        <v>1119</v>
      </c>
      <c r="O55" s="83">
        <f>IF(L55=0,"0.00%",(P55-L55)/L55)</f>
        <v>3.3004113199182283E-2</v>
      </c>
      <c r="P55" s="8">
        <f>SUM(P53,P41,P30)</f>
        <v>41941</v>
      </c>
      <c r="Q55" s="1292">
        <f>+P55-L55</f>
        <v>1340</v>
      </c>
      <c r="S55" s="83">
        <f>IF(P55=0,"0.00%",(T55-P55)/P55)</f>
        <v>2.7681743401444886E-2</v>
      </c>
      <c r="T55" s="8">
        <f>SUM(T53,T41,T30)</f>
        <v>43102</v>
      </c>
      <c r="U55" s="73"/>
      <c r="W55" s="83">
        <f>IF(T55=0,"0.00%",(X55-T55)/T55)</f>
        <v>1.9697461834717645E-2</v>
      </c>
      <c r="X55" s="8">
        <f>SUM(X53,X41,X30)</f>
        <v>43951</v>
      </c>
      <c r="Y55" s="73"/>
      <c r="AA55" s="83">
        <f>IF(X55=0,"0.00%",(AB55-X55)/X55)</f>
        <v>1.9635503173989214E-2</v>
      </c>
      <c r="AB55" s="8">
        <f>SUM(AB53,AB41,AB30)</f>
        <v>44814</v>
      </c>
      <c r="AC55" s="73"/>
    </row>
    <row r="56" spans="1:29" x14ac:dyDescent="0.25">
      <c r="A56" s="155"/>
      <c r="E56" s="863"/>
      <c r="F56" s="2"/>
      <c r="H56" s="2"/>
      <c r="I56" s="871"/>
      <c r="J56" s="66"/>
      <c r="L56" s="2"/>
      <c r="M56" s="948"/>
      <c r="Q56" s="948"/>
      <c r="T56" s="2"/>
      <c r="U56" s="73"/>
      <c r="X56" s="2"/>
      <c r="Y56" s="73"/>
      <c r="AB56" s="2"/>
      <c r="AC56" s="73"/>
    </row>
    <row r="57" spans="1:29" x14ac:dyDescent="0.25">
      <c r="A57" s="152"/>
      <c r="E57" s="863"/>
      <c r="F57" s="2"/>
      <c r="H57" s="2"/>
      <c r="I57" s="871"/>
      <c r="J57" s="66"/>
      <c r="L57" s="2"/>
      <c r="M57" s="948"/>
      <c r="Q57" s="948"/>
      <c r="T57" s="2"/>
      <c r="U57" s="73"/>
      <c r="X57" s="2"/>
      <c r="Y57" s="73"/>
      <c r="AB57" s="2"/>
      <c r="AC57" s="73"/>
    </row>
    <row r="58" spans="1:29" x14ac:dyDescent="0.25">
      <c r="A58" s="155"/>
      <c r="B58" s="940" t="s">
        <v>25</v>
      </c>
      <c r="C58" s="873"/>
      <c r="E58" s="863"/>
      <c r="F58" s="2"/>
      <c r="H58" s="2"/>
      <c r="I58" s="871"/>
      <c r="J58" s="66"/>
      <c r="L58" s="2"/>
      <c r="M58" s="948"/>
      <c r="Q58" s="948"/>
      <c r="T58" s="2"/>
      <c r="U58" s="73"/>
      <c r="X58" s="2"/>
      <c r="Y58" s="73"/>
      <c r="AB58" s="2"/>
      <c r="AC58" s="73"/>
    </row>
    <row r="59" spans="1:29" x14ac:dyDescent="0.25">
      <c r="A59" s="152"/>
      <c r="B59" s="939">
        <v>4310</v>
      </c>
      <c r="C59" s="857" t="s">
        <v>21</v>
      </c>
      <c r="D59" s="2">
        <v>32908.730000000003</v>
      </c>
      <c r="E59" s="863"/>
      <c r="F59" s="2"/>
      <c r="G59" s="83">
        <f t="shared" ref="G59:G67" si="29">IF(D59=0,"0.00%",(H59-D59)/D59)</f>
        <v>-0.11479415948290933</v>
      </c>
      <c r="H59" s="2">
        <v>29131</v>
      </c>
      <c r="I59" s="854"/>
      <c r="J59" s="66"/>
      <c r="K59" s="83">
        <f t="shared" ref="K59:K67" si="30">IF(H59=0,"0.00%",(L59-H59)/H59)</f>
        <v>0</v>
      </c>
      <c r="L59" s="2">
        <f>+H59</f>
        <v>29131</v>
      </c>
      <c r="M59" s="854" t="s">
        <v>173</v>
      </c>
      <c r="O59" s="83">
        <f t="shared" ref="O59:O67" si="31">IF(L59=0,"0.00%",(P59-L59)/L59)</f>
        <v>0</v>
      </c>
      <c r="P59" s="2">
        <f>+L59</f>
        <v>29131</v>
      </c>
      <c r="Q59" s="854" t="s">
        <v>173</v>
      </c>
      <c r="S59" s="83">
        <f t="shared" ref="S59:S67" si="32">IF(P59=0,"0.00%",(T59-P59)/P59)</f>
        <v>2.7290515258659161E-2</v>
      </c>
      <c r="T59" s="2">
        <f>ROUND(P59*(LEFT(U59,5)+1),0)</f>
        <v>29926</v>
      </c>
      <c r="U59" s="81" t="str">
        <f>TEXT('MYP Assumptions'!H75,"0.00%")&amp;", CPI"</f>
        <v>2.73%, CPI</v>
      </c>
      <c r="W59" s="83">
        <f t="shared" ref="W59:W67" si="33">IF(T59=0,"0.00%",(X59-T59)/T59)</f>
        <v>2.7300674998329211E-2</v>
      </c>
      <c r="X59" s="2">
        <f>ROUND(T59*(LEFT(Y59,5)+1),0)</f>
        <v>30743</v>
      </c>
      <c r="Y59" s="81" t="str">
        <f>TEXT('MYP Assumptions'!I75,"0.00%")&amp;", CPI"</f>
        <v>2.73%, CPI</v>
      </c>
      <c r="AA59" s="83">
        <f t="shared" ref="AA59:AA67" si="34">IF(X59=0,"0.00%",(AB59-X59)/X59)</f>
        <v>2.7290765377484306E-2</v>
      </c>
      <c r="AB59" s="2">
        <f>ROUND(X59*(LEFT(AC59,5)+1),0)</f>
        <v>31582</v>
      </c>
      <c r="AC59" s="81" t="str">
        <f>TEXT('MYP Assumptions'!J75,"0.00%")&amp;", CPI"</f>
        <v>2.73%, CPI</v>
      </c>
    </row>
    <row r="60" spans="1:29" x14ac:dyDescent="0.25">
      <c r="A60" s="152"/>
      <c r="B60" s="939">
        <v>4311</v>
      </c>
      <c r="C60" s="857" t="s">
        <v>829</v>
      </c>
      <c r="D60" s="2">
        <v>43487.62</v>
      </c>
      <c r="E60" s="863"/>
      <c r="F60" s="2"/>
      <c r="G60" s="83">
        <f t="shared" si="29"/>
        <v>3.4777253848336548E-2</v>
      </c>
      <c r="H60" s="2">
        <v>45000</v>
      </c>
      <c r="I60" s="854"/>
      <c r="J60" s="66"/>
      <c r="K60" s="83">
        <f t="shared" si="30"/>
        <v>0</v>
      </c>
      <c r="L60" s="2">
        <f t="shared" ref="L60:L64" si="35">+H60</f>
        <v>45000</v>
      </c>
      <c r="M60" s="854" t="s">
        <v>173</v>
      </c>
      <c r="O60" s="83">
        <f t="shared" ref="O60:O64" si="36">IF(L60=0,"0.00%",(P60-L60)/L60)</f>
        <v>0</v>
      </c>
      <c r="P60" s="2">
        <f t="shared" ref="P60:P64" si="37">+L60</f>
        <v>45000</v>
      </c>
      <c r="Q60" s="854" t="s">
        <v>173</v>
      </c>
      <c r="S60" s="83">
        <f t="shared" si="32"/>
        <v>2.7311111111111112E-2</v>
      </c>
      <c r="T60" s="2">
        <f t="shared" ref="T60:T66" si="38">ROUND(P60*(LEFT(U60,5)+1),0)</f>
        <v>46229</v>
      </c>
      <c r="U60" s="81" t="str">
        <f>TEXT('MYP Assumptions'!H75,"0.00%")&amp;", CPI"</f>
        <v>2.73%, CPI</v>
      </c>
      <c r="W60" s="83">
        <f t="shared" si="33"/>
        <v>2.7298881654372796E-2</v>
      </c>
      <c r="X60" s="2">
        <f t="shared" ref="X60:X66" si="39">ROUND(T60*(LEFT(Y60,5)+1),0)</f>
        <v>47491</v>
      </c>
      <c r="Y60" s="81" t="str">
        <f>TEXT('MYP Assumptions'!I75,"0.00%")&amp;", CPI"</f>
        <v>2.73%, CPI</v>
      </c>
      <c r="AA60" s="83">
        <f t="shared" si="34"/>
        <v>2.7310437767155884E-2</v>
      </c>
      <c r="AB60" s="2">
        <f t="shared" ref="AB60:AB66" si="40">ROUND(X60*(LEFT(AC60,5)+1),0)</f>
        <v>48788</v>
      </c>
      <c r="AC60" s="81" t="str">
        <f>TEXT('MYP Assumptions'!J75,"0.00%")&amp;", CPI"</f>
        <v>2.73%, CPI</v>
      </c>
    </row>
    <row r="61" spans="1:29" x14ac:dyDescent="0.25">
      <c r="A61" s="152"/>
      <c r="B61" s="939">
        <v>4344</v>
      </c>
      <c r="C61" s="857" t="s">
        <v>830</v>
      </c>
      <c r="D61" s="2">
        <v>12562.7</v>
      </c>
      <c r="E61" s="863"/>
      <c r="F61" s="2"/>
      <c r="G61" s="83">
        <f t="shared" si="29"/>
        <v>0.51241373271669299</v>
      </c>
      <c r="H61" s="2">
        <v>19000</v>
      </c>
      <c r="I61" s="854"/>
      <c r="J61" s="66"/>
      <c r="K61" s="83">
        <f t="shared" si="30"/>
        <v>0</v>
      </c>
      <c r="L61" s="2">
        <f t="shared" si="35"/>
        <v>19000</v>
      </c>
      <c r="M61" s="854" t="s">
        <v>173</v>
      </c>
      <c r="O61" s="83">
        <f t="shared" si="36"/>
        <v>0</v>
      </c>
      <c r="P61" s="2">
        <f t="shared" si="37"/>
        <v>19000</v>
      </c>
      <c r="Q61" s="854" t="s">
        <v>173</v>
      </c>
      <c r="S61" s="83">
        <f t="shared" si="32"/>
        <v>2.731578947368421E-2</v>
      </c>
      <c r="T61" s="2">
        <f t="shared" si="38"/>
        <v>19519</v>
      </c>
      <c r="U61" s="81" t="str">
        <f>TEXT('MYP Assumptions'!H75,"0.00%")&amp;", CPI"</f>
        <v>2.73%, CPI</v>
      </c>
      <c r="W61" s="83">
        <f t="shared" si="33"/>
        <v>2.7306726779035811E-2</v>
      </c>
      <c r="X61" s="2">
        <f t="shared" si="39"/>
        <v>20052</v>
      </c>
      <c r="Y61" s="81" t="str">
        <f>TEXT('MYP Assumptions'!I75,"0.00%")&amp;", CPI"</f>
        <v>2.73%, CPI</v>
      </c>
      <c r="AA61" s="83">
        <f t="shared" si="34"/>
        <v>2.7279074406542987E-2</v>
      </c>
      <c r="AB61" s="2">
        <f t="shared" si="40"/>
        <v>20599</v>
      </c>
      <c r="AC61" s="81" t="str">
        <f>TEXT('MYP Assumptions'!J75,"0.00%")&amp;", CPI"</f>
        <v>2.73%, CPI</v>
      </c>
    </row>
    <row r="62" spans="1:29" x14ac:dyDescent="0.25">
      <c r="A62" s="152"/>
      <c r="B62" s="939">
        <v>4353</v>
      </c>
      <c r="C62" s="857" t="s">
        <v>19</v>
      </c>
      <c r="D62" s="2">
        <v>6752.96</v>
      </c>
      <c r="E62" s="863"/>
      <c r="F62" s="2"/>
      <c r="G62" s="83">
        <f t="shared" si="29"/>
        <v>0.84422830877126476</v>
      </c>
      <c r="H62" s="2">
        <v>12454</v>
      </c>
      <c r="I62" s="854"/>
      <c r="J62" s="66"/>
      <c r="K62" s="83">
        <f t="shared" si="30"/>
        <v>0</v>
      </c>
      <c r="L62" s="2">
        <f t="shared" si="35"/>
        <v>12454</v>
      </c>
      <c r="M62" s="854" t="s">
        <v>173</v>
      </c>
      <c r="O62" s="83">
        <f t="shared" si="36"/>
        <v>0</v>
      </c>
      <c r="P62" s="2">
        <f t="shared" si="37"/>
        <v>12454</v>
      </c>
      <c r="Q62" s="854" t="s">
        <v>173</v>
      </c>
      <c r="S62" s="83">
        <f t="shared" si="32"/>
        <v>2.7300465713826882E-2</v>
      </c>
      <c r="T62" s="2">
        <f t="shared" si="38"/>
        <v>12794</v>
      </c>
      <c r="U62" s="81" t="str">
        <f>TEXT('MYP Assumptions'!H75,"0.00%")&amp;", CPI"</f>
        <v>2.73%, CPI</v>
      </c>
      <c r="W62" s="83">
        <f t="shared" si="33"/>
        <v>2.7278411755510396E-2</v>
      </c>
      <c r="X62" s="2">
        <f t="shared" si="39"/>
        <v>13143</v>
      </c>
      <c r="Y62" s="81" t="str">
        <f>TEXT('MYP Assumptions'!I75,"0.00%")&amp;", CPI"</f>
        <v>2.73%, CPI</v>
      </c>
      <c r="AA62" s="83">
        <f t="shared" si="34"/>
        <v>2.7314920489994673E-2</v>
      </c>
      <c r="AB62" s="2">
        <f t="shared" si="40"/>
        <v>13502</v>
      </c>
      <c r="AC62" s="81" t="str">
        <f>TEXT('MYP Assumptions'!J75,"0.00%")&amp;", CPI"</f>
        <v>2.73%, CPI</v>
      </c>
    </row>
    <row r="63" spans="1:29" x14ac:dyDescent="0.25">
      <c r="A63" s="152"/>
      <c r="B63" s="939">
        <v>4354</v>
      </c>
      <c r="C63" s="857" t="s">
        <v>325</v>
      </c>
      <c r="D63" s="2">
        <v>0</v>
      </c>
      <c r="E63" s="863"/>
      <c r="F63" s="2"/>
      <c r="G63" s="83" t="str">
        <f t="shared" si="29"/>
        <v>0.00%</v>
      </c>
      <c r="H63" s="2">
        <v>4532</v>
      </c>
      <c r="I63" s="854"/>
      <c r="J63" s="66"/>
      <c r="K63" s="83">
        <f t="shared" si="30"/>
        <v>0</v>
      </c>
      <c r="L63" s="2">
        <f t="shared" si="35"/>
        <v>4532</v>
      </c>
      <c r="M63" s="854" t="s">
        <v>173</v>
      </c>
      <c r="O63" s="83">
        <f t="shared" si="36"/>
        <v>0</v>
      </c>
      <c r="P63" s="2">
        <f t="shared" si="37"/>
        <v>4532</v>
      </c>
      <c r="Q63" s="854" t="s">
        <v>173</v>
      </c>
      <c r="S63" s="83"/>
      <c r="T63" s="2"/>
      <c r="U63" s="81"/>
      <c r="W63" s="83"/>
      <c r="X63" s="2"/>
      <c r="Y63" s="81"/>
      <c r="AA63" s="83"/>
      <c r="AB63" s="2"/>
      <c r="AC63" s="81"/>
    </row>
    <row r="64" spans="1:29" x14ac:dyDescent="0.25">
      <c r="A64" s="152"/>
      <c r="B64" s="939">
        <v>4400</v>
      </c>
      <c r="C64" s="857" t="s">
        <v>831</v>
      </c>
      <c r="D64" s="2">
        <v>14853.14</v>
      </c>
      <c r="E64" s="863"/>
      <c r="F64" s="2"/>
      <c r="G64" s="83">
        <f t="shared" si="29"/>
        <v>-0.44395595813410493</v>
      </c>
      <c r="H64" s="2">
        <v>8259</v>
      </c>
      <c r="I64" s="854"/>
      <c r="J64" s="66"/>
      <c r="K64" s="83">
        <f t="shared" si="30"/>
        <v>0</v>
      </c>
      <c r="L64" s="2">
        <f t="shared" si="35"/>
        <v>8259</v>
      </c>
      <c r="M64" s="854" t="s">
        <v>173</v>
      </c>
      <c r="O64" s="83">
        <f t="shared" si="36"/>
        <v>0</v>
      </c>
      <c r="P64" s="2">
        <f t="shared" si="37"/>
        <v>8259</v>
      </c>
      <c r="Q64" s="854" t="s">
        <v>173</v>
      </c>
      <c r="S64" s="83">
        <f t="shared" si="32"/>
        <v>2.7243007628042135E-2</v>
      </c>
      <c r="T64" s="2">
        <f t="shared" si="38"/>
        <v>8484</v>
      </c>
      <c r="U64" s="81" t="str">
        <f>TEXT('MYP Assumptions'!H75,"0.00%")&amp;", CPI"</f>
        <v>2.73%, CPI</v>
      </c>
      <c r="W64" s="83">
        <f t="shared" si="33"/>
        <v>2.7345591702027345E-2</v>
      </c>
      <c r="X64" s="2">
        <f t="shared" si="39"/>
        <v>8716</v>
      </c>
      <c r="Y64" s="81" t="str">
        <f>TEXT('MYP Assumptions'!I75,"0.00%")&amp;", CPI"</f>
        <v>2.73%, CPI</v>
      </c>
      <c r="AA64" s="83">
        <f t="shared" si="34"/>
        <v>2.7306103717301515E-2</v>
      </c>
      <c r="AB64" s="2">
        <f t="shared" si="40"/>
        <v>8954</v>
      </c>
      <c r="AC64" s="81" t="str">
        <f>TEXT('MYP Assumptions'!J75,"0.00%")&amp;", CPI"</f>
        <v>2.73%, CPI</v>
      </c>
    </row>
    <row r="65" spans="1:29" hidden="1" x14ac:dyDescent="0.25">
      <c r="A65" s="152"/>
      <c r="B65" s="939">
        <v>4000</v>
      </c>
      <c r="D65" s="2">
        <v>0</v>
      </c>
      <c r="E65" s="863"/>
      <c r="F65" s="2"/>
      <c r="G65" s="83" t="str">
        <f t="shared" si="29"/>
        <v>0.00%</v>
      </c>
      <c r="H65" s="2">
        <f t="shared" ref="H65:H66" si="41">ROUND(D65*(LEFT(I65,5)+1),0)</f>
        <v>0</v>
      </c>
      <c r="I65" s="854" t="str">
        <f>TEXT('MYP Assumptions'!E75,"0.00%")&amp;", CPI"</f>
        <v>3.42%, CPI</v>
      </c>
      <c r="J65" s="66"/>
      <c r="K65" s="83" t="str">
        <f t="shared" si="30"/>
        <v>0.00%</v>
      </c>
      <c r="L65" s="2">
        <f t="shared" ref="L65:L66" si="42">ROUND(H65*(LEFT(M65,5)+1),0)</f>
        <v>0</v>
      </c>
      <c r="M65" s="854" t="str">
        <f>TEXT('MYP Assumptions'!F75,"0.00%")&amp;", CPI"</f>
        <v>3.35%, CPI</v>
      </c>
      <c r="O65" s="83" t="str">
        <f t="shared" si="31"/>
        <v>0.00%</v>
      </c>
      <c r="P65" s="2">
        <f t="shared" ref="P65:P66" si="43">ROUND(L65*(LEFT(Q65,5)+1),0)</f>
        <v>0</v>
      </c>
      <c r="Q65" s="854" t="str">
        <f>TEXT('MYP Assumptions'!G75,"0.00%")&amp;", CPI"</f>
        <v>3.02%, CPI</v>
      </c>
      <c r="S65" s="83" t="str">
        <f t="shared" si="32"/>
        <v>0.00%</v>
      </c>
      <c r="T65" s="2">
        <f t="shared" si="38"/>
        <v>0</v>
      </c>
      <c r="U65" s="81" t="str">
        <f>TEXT('MYP Assumptions'!H75,"0.00%")&amp;", CPI"</f>
        <v>2.73%, CPI</v>
      </c>
      <c r="W65" s="83" t="str">
        <f t="shared" si="33"/>
        <v>0.00%</v>
      </c>
      <c r="X65" s="2">
        <f t="shared" si="39"/>
        <v>0</v>
      </c>
      <c r="Y65" s="81" t="str">
        <f>TEXT('MYP Assumptions'!I75,"0.00%")&amp;", CPI"</f>
        <v>2.73%, CPI</v>
      </c>
      <c r="AA65" s="83" t="str">
        <f t="shared" si="34"/>
        <v>0.00%</v>
      </c>
      <c r="AB65" s="2">
        <f t="shared" si="40"/>
        <v>0</v>
      </c>
      <c r="AC65" s="81" t="str">
        <f>TEXT('MYP Assumptions'!J75,"0.00%")&amp;", CPI"</f>
        <v>2.73%, CPI</v>
      </c>
    </row>
    <row r="66" spans="1:29" hidden="1" x14ac:dyDescent="0.25">
      <c r="A66" s="152"/>
      <c r="B66" s="939">
        <v>4000</v>
      </c>
      <c r="C66" s="941"/>
      <c r="D66" s="2">
        <v>0</v>
      </c>
      <c r="E66" s="863"/>
      <c r="F66" s="2"/>
      <c r="G66" s="83" t="str">
        <f t="shared" si="29"/>
        <v>0.00%</v>
      </c>
      <c r="H66" s="2">
        <f t="shared" si="41"/>
        <v>0</v>
      </c>
      <c r="I66" s="854" t="str">
        <f>TEXT('MYP Assumptions'!E75,"0.00%")&amp;", CPI"</f>
        <v>3.42%, CPI</v>
      </c>
      <c r="J66" s="66"/>
      <c r="K66" s="83" t="str">
        <f t="shared" si="30"/>
        <v>0.00%</v>
      </c>
      <c r="L66" s="2">
        <f t="shared" si="42"/>
        <v>0</v>
      </c>
      <c r="M66" s="854" t="str">
        <f>TEXT('MYP Assumptions'!F75,"0.00%")&amp;", CPI"</f>
        <v>3.35%, CPI</v>
      </c>
      <c r="O66" s="83" t="str">
        <f t="shared" si="31"/>
        <v>0.00%</v>
      </c>
      <c r="P66" s="2">
        <f t="shared" si="43"/>
        <v>0</v>
      </c>
      <c r="Q66" s="854" t="str">
        <f>TEXT('MYP Assumptions'!G75,"0.00%")&amp;", CPI"</f>
        <v>3.02%, CPI</v>
      </c>
      <c r="S66" s="83" t="str">
        <f t="shared" si="32"/>
        <v>0.00%</v>
      </c>
      <c r="T66" s="2">
        <f t="shared" si="38"/>
        <v>0</v>
      </c>
      <c r="U66" s="81" t="str">
        <f>TEXT('MYP Assumptions'!H75,"0.00%")&amp;", CPI"</f>
        <v>2.73%, CPI</v>
      </c>
      <c r="W66" s="83" t="str">
        <f t="shared" si="33"/>
        <v>0.00%</v>
      </c>
      <c r="X66" s="2">
        <f t="shared" si="39"/>
        <v>0</v>
      </c>
      <c r="Y66" s="81" t="str">
        <f>TEXT('MYP Assumptions'!I75,"0.00%")&amp;", CPI"</f>
        <v>2.73%, CPI</v>
      </c>
      <c r="AA66" s="83" t="str">
        <f t="shared" si="34"/>
        <v>0.00%</v>
      </c>
      <c r="AB66" s="2">
        <f t="shared" si="40"/>
        <v>0</v>
      </c>
      <c r="AC66" s="81" t="str">
        <f>TEXT('MYP Assumptions'!J75,"0.00%")&amp;", CPI"</f>
        <v>2.73%, CPI</v>
      </c>
    </row>
    <row r="67" spans="1:29" x14ac:dyDescent="0.25">
      <c r="A67" s="153"/>
      <c r="B67" s="857"/>
      <c r="D67" s="8">
        <f>SUM(D59:D66)</f>
        <v>110565.15000000001</v>
      </c>
      <c r="E67" s="863"/>
      <c r="F67" s="2"/>
      <c r="G67" s="83">
        <f t="shared" si="29"/>
        <v>7.064477369225286E-2</v>
      </c>
      <c r="H67" s="8">
        <f>SUM(H59:H66)</f>
        <v>118376</v>
      </c>
      <c r="I67" s="1292">
        <f>+H67-D67</f>
        <v>7810.8499999999913</v>
      </c>
      <c r="J67" s="29"/>
      <c r="K67" s="83">
        <f t="shared" si="30"/>
        <v>0</v>
      </c>
      <c r="L67" s="8">
        <f>SUM(L59:L66)</f>
        <v>118376</v>
      </c>
      <c r="M67" s="1292">
        <f>+L67-H67</f>
        <v>0</v>
      </c>
      <c r="O67" s="83">
        <f t="shared" si="31"/>
        <v>0</v>
      </c>
      <c r="P67" s="8">
        <f>SUM(P59:P66)</f>
        <v>118376</v>
      </c>
      <c r="Q67" s="1292">
        <f>+P67-L67</f>
        <v>0</v>
      </c>
      <c r="S67" s="83">
        <f t="shared" si="32"/>
        <v>-1.2029465432182199E-2</v>
      </c>
      <c r="T67" s="8">
        <f>SUM(T59:T66)</f>
        <v>116952</v>
      </c>
      <c r="U67" s="73"/>
      <c r="W67" s="83">
        <f t="shared" si="33"/>
        <v>2.7301799028661332E-2</v>
      </c>
      <c r="X67" s="8">
        <f>SUM(X59:X66)</f>
        <v>120145</v>
      </c>
      <c r="Y67" s="73"/>
      <c r="AA67" s="83">
        <f t="shared" si="34"/>
        <v>2.7300345415955721E-2</v>
      </c>
      <c r="AB67" s="8">
        <f>SUM(AB59:AB66)</f>
        <v>123425</v>
      </c>
      <c r="AC67" s="73"/>
    </row>
    <row r="68" spans="1:29" x14ac:dyDescent="0.25">
      <c r="A68" s="152"/>
      <c r="E68" s="863"/>
      <c r="F68" s="2"/>
      <c r="H68" s="2"/>
      <c r="I68" s="871"/>
      <c r="J68" s="66"/>
      <c r="L68" s="2"/>
      <c r="M68" s="948"/>
      <c r="Q68" s="948"/>
      <c r="T68" s="2"/>
      <c r="U68" s="73"/>
      <c r="X68" s="2"/>
      <c r="Y68" s="73"/>
      <c r="AB68" s="2"/>
      <c r="AC68" s="73"/>
    </row>
    <row r="69" spans="1:29" s="4" customFormat="1" x14ac:dyDescent="0.25">
      <c r="A69" s="150"/>
      <c r="B69" s="936" t="s">
        <v>16</v>
      </c>
      <c r="C69" s="873"/>
      <c r="D69" s="6"/>
      <c r="E69" s="864"/>
      <c r="F69" s="6"/>
      <c r="G69" s="373"/>
      <c r="H69" s="6"/>
      <c r="I69" s="873"/>
      <c r="J69" s="58"/>
      <c r="K69" s="380"/>
      <c r="L69" s="6"/>
      <c r="M69" s="950"/>
      <c r="O69" s="380"/>
      <c r="P69" s="6"/>
      <c r="Q69" s="950"/>
      <c r="R69" s="111"/>
      <c r="U69" s="71"/>
      <c r="Y69" s="71"/>
      <c r="AC69" s="71"/>
    </row>
    <row r="70" spans="1:29" x14ac:dyDescent="0.25">
      <c r="A70" s="152"/>
      <c r="B70" s="939" t="s">
        <v>15</v>
      </c>
      <c r="C70" s="857" t="s">
        <v>14</v>
      </c>
      <c r="D70" s="2">
        <v>16101.37</v>
      </c>
      <c r="E70" s="863"/>
      <c r="F70" s="2"/>
      <c r="G70" s="83">
        <f t="shared" ref="G70:G75" si="44">IF(D70=0,"0.00%",(H70-D70)/D70)</f>
        <v>1.6708907378688891</v>
      </c>
      <c r="H70" s="2">
        <v>43005</v>
      </c>
      <c r="I70" s="854"/>
      <c r="J70" s="66"/>
      <c r="K70" s="83">
        <f t="shared" ref="K70:K83" si="45">IF(H70=0,"0.00%",(L70-H70)/H70)</f>
        <v>0</v>
      </c>
      <c r="L70" s="2">
        <f t="shared" ref="L70:L73" si="46">+H70</f>
        <v>43005</v>
      </c>
      <c r="M70" s="854" t="s">
        <v>173</v>
      </c>
      <c r="O70" s="83">
        <f t="shared" ref="O70:O83" si="47">IF(L70=0,"0.00%",(P70-L70)/L70)</f>
        <v>0</v>
      </c>
      <c r="P70" s="2">
        <f>+L70</f>
        <v>43005</v>
      </c>
      <c r="Q70" s="854" t="s">
        <v>173</v>
      </c>
      <c r="S70" s="83">
        <f t="shared" ref="S70:S83" si="48">IF(P70=0,"0.00%",(T70-P70)/P70)</f>
        <v>2.7299151261481223E-2</v>
      </c>
      <c r="T70" s="2">
        <f>ROUND(P70*(LEFT(U70,5)+1),0)</f>
        <v>44179</v>
      </c>
      <c r="U70" s="81" t="str">
        <f>TEXT('MYP Assumptions'!H75,"0.00%")&amp;", CPI"</f>
        <v>2.73%, CPI</v>
      </c>
      <c r="W70" s="83">
        <f t="shared" ref="W70:W83" si="49">IF(T70=0,"0.00%",(X70-T70)/T70)</f>
        <v>2.7298037529142807E-2</v>
      </c>
      <c r="X70" s="2">
        <f>ROUND(T70*(LEFT(Y70,5)+1),0)</f>
        <v>45385</v>
      </c>
      <c r="Y70" s="81" t="str">
        <f>TEXT('MYP Assumptions'!I75,"0.00%")&amp;", CPI"</f>
        <v>2.73%, CPI</v>
      </c>
      <c r="AA70" s="83">
        <f t="shared" ref="AA70:AA83" si="50">IF(X70=0,"0.00%",(AB70-X70)/X70)</f>
        <v>2.7299768646028424E-2</v>
      </c>
      <c r="AB70" s="2">
        <f>ROUND(X70*(LEFT(AC70,5)+1),0)</f>
        <v>46624</v>
      </c>
      <c r="AC70" s="81" t="str">
        <f>TEXT('MYP Assumptions'!J75,"0.00%")&amp;", CPI"</f>
        <v>2.73%, CPI</v>
      </c>
    </row>
    <row r="71" spans="1:29" x14ac:dyDescent="0.25">
      <c r="A71" s="152"/>
      <c r="B71" s="939">
        <v>5604</v>
      </c>
      <c r="C71" s="857" t="s">
        <v>440</v>
      </c>
      <c r="D71" s="2">
        <v>450</v>
      </c>
      <c r="E71" s="863"/>
      <c r="F71" s="2"/>
      <c r="G71" s="83">
        <f t="shared" si="44"/>
        <v>-1</v>
      </c>
      <c r="H71" s="2">
        <v>0</v>
      </c>
      <c r="I71" s="854"/>
      <c r="J71" s="66"/>
      <c r="K71" s="83" t="str">
        <f t="shared" si="45"/>
        <v>0.00%</v>
      </c>
      <c r="L71" s="2">
        <f t="shared" si="46"/>
        <v>0</v>
      </c>
      <c r="M71" s="854" t="s">
        <v>173</v>
      </c>
      <c r="O71" s="83" t="str">
        <f t="shared" ref="O71:O73" si="51">IF(L71=0,"0.00%",(P71-L71)/L71)</f>
        <v>0.00%</v>
      </c>
      <c r="P71" s="2">
        <f t="shared" ref="P71:P73" si="52">+L71</f>
        <v>0</v>
      </c>
      <c r="Q71" s="854" t="s">
        <v>173</v>
      </c>
      <c r="S71" s="83" t="str">
        <f t="shared" si="48"/>
        <v>0.00%</v>
      </c>
      <c r="T71" s="2">
        <f t="shared" ref="T71:T82" si="53">ROUND(P71*(LEFT(U71,5)+1),0)</f>
        <v>0</v>
      </c>
      <c r="U71" s="81" t="str">
        <f>TEXT('MYP Assumptions'!H75,"0.00%")&amp;", CPI"</f>
        <v>2.73%, CPI</v>
      </c>
      <c r="W71" s="83" t="str">
        <f t="shared" si="49"/>
        <v>0.00%</v>
      </c>
      <c r="X71" s="2">
        <f t="shared" ref="X71:X82" si="54">ROUND(T71*(LEFT(Y71,5)+1),0)</f>
        <v>0</v>
      </c>
      <c r="Y71" s="81" t="str">
        <f>TEXT('MYP Assumptions'!I75,"0.00%")&amp;", CPI"</f>
        <v>2.73%, CPI</v>
      </c>
      <c r="AA71" s="83" t="str">
        <f t="shared" si="50"/>
        <v>0.00%</v>
      </c>
      <c r="AB71" s="2">
        <f t="shared" ref="AB71:AB82" si="55">ROUND(X71*(LEFT(AC71,5)+1),0)</f>
        <v>0</v>
      </c>
      <c r="AC71" s="81" t="str">
        <f>TEXT('MYP Assumptions'!J75,"0.00%")&amp;", CPI"</f>
        <v>2.73%, CPI</v>
      </c>
    </row>
    <row r="72" spans="1:29" x14ac:dyDescent="0.25">
      <c r="A72" s="152"/>
      <c r="B72" s="939">
        <v>5813</v>
      </c>
      <c r="C72" s="857" t="s">
        <v>6</v>
      </c>
      <c r="D72" s="2">
        <v>1668.95</v>
      </c>
      <c r="E72" s="863"/>
      <c r="F72" s="2"/>
      <c r="G72" s="83">
        <f t="shared" si="44"/>
        <v>5.9947871416159836E-2</v>
      </c>
      <c r="H72" s="2">
        <v>1769</v>
      </c>
      <c r="I72" s="854"/>
      <c r="J72" s="66"/>
      <c r="K72" s="83">
        <f t="shared" si="45"/>
        <v>0</v>
      </c>
      <c r="L72" s="2">
        <f t="shared" si="46"/>
        <v>1769</v>
      </c>
      <c r="M72" s="854" t="s">
        <v>173</v>
      </c>
      <c r="O72" s="83">
        <f t="shared" si="51"/>
        <v>0</v>
      </c>
      <c r="P72" s="2">
        <f t="shared" si="52"/>
        <v>1769</v>
      </c>
      <c r="Q72" s="854" t="s">
        <v>173</v>
      </c>
      <c r="S72" s="83">
        <f t="shared" si="48"/>
        <v>2.7133973996608253E-2</v>
      </c>
      <c r="T72" s="2">
        <f t="shared" si="53"/>
        <v>1817</v>
      </c>
      <c r="U72" s="81" t="str">
        <f>TEXT('MYP Assumptions'!H75,"0.00%")&amp;", CPI"</f>
        <v>2.73%, CPI</v>
      </c>
      <c r="W72" s="83">
        <f t="shared" si="49"/>
        <v>2.7517886626307098E-2</v>
      </c>
      <c r="X72" s="2">
        <f t="shared" si="54"/>
        <v>1867</v>
      </c>
      <c r="Y72" s="81" t="str">
        <f>TEXT('MYP Assumptions'!I75,"0.00%")&amp;", CPI"</f>
        <v>2.73%, CPI</v>
      </c>
      <c r="AA72" s="83">
        <f t="shared" si="50"/>
        <v>2.7316550615961437E-2</v>
      </c>
      <c r="AB72" s="2">
        <f t="shared" si="55"/>
        <v>1918</v>
      </c>
      <c r="AC72" s="81" t="str">
        <f>TEXT('MYP Assumptions'!J75,"0.00%")&amp;", CPI"</f>
        <v>2.73%, CPI</v>
      </c>
    </row>
    <row r="73" spans="1:29" x14ac:dyDescent="0.25">
      <c r="A73" s="152"/>
      <c r="B73" s="939">
        <v>5814</v>
      </c>
      <c r="C73" s="857" t="s">
        <v>4</v>
      </c>
      <c r="D73" s="2">
        <v>213.68</v>
      </c>
      <c r="E73" s="863"/>
      <c r="F73" s="2"/>
      <c r="G73" s="83">
        <f t="shared" si="44"/>
        <v>54.367839760389366</v>
      </c>
      <c r="H73" s="2">
        <v>11831</v>
      </c>
      <c r="I73" s="854"/>
      <c r="J73" s="66"/>
      <c r="K73" s="83">
        <f t="shared" si="45"/>
        <v>0</v>
      </c>
      <c r="L73" s="2">
        <f t="shared" si="46"/>
        <v>11831</v>
      </c>
      <c r="M73" s="854" t="s">
        <v>173</v>
      </c>
      <c r="O73" s="83">
        <f t="shared" si="51"/>
        <v>0</v>
      </c>
      <c r="P73" s="2">
        <f t="shared" si="52"/>
        <v>11831</v>
      </c>
      <c r="Q73" s="854" t="s">
        <v>173</v>
      </c>
      <c r="S73" s="83">
        <f t="shared" si="48"/>
        <v>2.7301157974811936E-2</v>
      </c>
      <c r="T73" s="2">
        <f t="shared" si="53"/>
        <v>12154</v>
      </c>
      <c r="U73" s="81" t="str">
        <f>TEXT('MYP Assumptions'!H75,"0.00%")&amp;", CPI"</f>
        <v>2.73%, CPI</v>
      </c>
      <c r="W73" s="83">
        <f t="shared" si="49"/>
        <v>2.7316109922659208E-2</v>
      </c>
      <c r="X73" s="2">
        <f t="shared" si="54"/>
        <v>12486</v>
      </c>
      <c r="Y73" s="81" t="str">
        <f>TEXT('MYP Assumptions'!I75,"0.00%")&amp;", CPI"</f>
        <v>2.73%, CPI</v>
      </c>
      <c r="AA73" s="83">
        <f t="shared" si="50"/>
        <v>2.731058785840141E-2</v>
      </c>
      <c r="AB73" s="2">
        <f t="shared" si="55"/>
        <v>12827</v>
      </c>
      <c r="AC73" s="81" t="str">
        <f>TEXT('MYP Assumptions'!J75,"0.00%")&amp;", CPI"</f>
        <v>2.73%, CPI</v>
      </c>
    </row>
    <row r="74" spans="1:29" hidden="1" x14ac:dyDescent="0.25">
      <c r="A74" s="152"/>
      <c r="B74" s="939"/>
      <c r="D74" s="2">
        <v>0</v>
      </c>
      <c r="E74" s="863"/>
      <c r="F74" s="2"/>
      <c r="G74" s="83" t="str">
        <f t="shared" si="44"/>
        <v>0.00%</v>
      </c>
      <c r="H74" s="2">
        <f t="shared" ref="H74:H77" si="56">ROUND(D74*(LEFT(I74,5)+1),0)</f>
        <v>0</v>
      </c>
      <c r="I74" s="854" t="str">
        <f>TEXT('MYP Assumptions'!E75,"0.00%")&amp;", CPI"</f>
        <v>3.42%, CPI</v>
      </c>
      <c r="J74" s="66"/>
      <c r="K74" s="83" t="str">
        <f t="shared" si="45"/>
        <v>0.00%</v>
      </c>
      <c r="L74" s="2">
        <f t="shared" ref="L74:L82" si="57">ROUND(H74*(LEFT(M74,5)+1),0)</f>
        <v>0</v>
      </c>
      <c r="M74" s="854" t="str">
        <f>TEXT('MYP Assumptions'!F75,"0.00%")&amp;", CPI"</f>
        <v>3.35%, CPI</v>
      </c>
      <c r="O74" s="83" t="str">
        <f t="shared" si="47"/>
        <v>0.00%</v>
      </c>
      <c r="P74" s="2">
        <f t="shared" ref="P74:P82" si="58">ROUND(L74*(LEFT(Q74,5)+1),0)</f>
        <v>0</v>
      </c>
      <c r="Q74" s="854" t="str">
        <f>TEXT('MYP Assumptions'!G75,"0.00%")&amp;", CPI"</f>
        <v>3.02%, CPI</v>
      </c>
      <c r="S74" s="83" t="str">
        <f t="shared" si="48"/>
        <v>0.00%</v>
      </c>
      <c r="T74" s="2">
        <f t="shared" si="53"/>
        <v>0</v>
      </c>
      <c r="U74" s="81" t="str">
        <f>TEXT('MYP Assumptions'!H75,"0.00%")&amp;", CPI"</f>
        <v>2.73%, CPI</v>
      </c>
      <c r="W74" s="83" t="str">
        <f t="shared" si="49"/>
        <v>0.00%</v>
      </c>
      <c r="X74" s="2">
        <f t="shared" si="54"/>
        <v>0</v>
      </c>
      <c r="Y74" s="81" t="str">
        <f>TEXT('MYP Assumptions'!I75,"0.00%")&amp;", CPI"</f>
        <v>2.73%, CPI</v>
      </c>
      <c r="AA74" s="83" t="str">
        <f t="shared" si="50"/>
        <v>0.00%</v>
      </c>
      <c r="AB74" s="2">
        <f t="shared" si="55"/>
        <v>0</v>
      </c>
      <c r="AC74" s="81" t="str">
        <f>TEXT('MYP Assumptions'!J75,"0.00%")&amp;", CPI"</f>
        <v>2.73%, CPI</v>
      </c>
    </row>
    <row r="75" spans="1:29" hidden="1" x14ac:dyDescent="0.25">
      <c r="A75" s="152"/>
      <c r="B75" s="939"/>
      <c r="D75" s="2">
        <v>0</v>
      </c>
      <c r="E75" s="863"/>
      <c r="F75" s="2"/>
      <c r="G75" s="83" t="str">
        <f t="shared" si="44"/>
        <v>0.00%</v>
      </c>
      <c r="H75" s="2">
        <f t="shared" si="56"/>
        <v>0</v>
      </c>
      <c r="I75" s="854" t="str">
        <f>TEXT('MYP Assumptions'!E75,"0.00%")&amp;", CPI"</f>
        <v>3.42%, CPI</v>
      </c>
      <c r="J75" s="66"/>
      <c r="K75" s="83" t="str">
        <f t="shared" si="45"/>
        <v>0.00%</v>
      </c>
      <c r="L75" s="2">
        <f t="shared" si="57"/>
        <v>0</v>
      </c>
      <c r="M75" s="854" t="str">
        <f>TEXT('MYP Assumptions'!F75,"0.00%")&amp;", CPI"</f>
        <v>3.35%, CPI</v>
      </c>
      <c r="O75" s="83" t="str">
        <f t="shared" si="47"/>
        <v>0.00%</v>
      </c>
      <c r="P75" s="2">
        <f t="shared" si="58"/>
        <v>0</v>
      </c>
      <c r="Q75" s="854" t="str">
        <f>TEXT('MYP Assumptions'!G75,"0.00%")&amp;", CPI"</f>
        <v>3.02%, CPI</v>
      </c>
      <c r="S75" s="83" t="str">
        <f t="shared" si="48"/>
        <v>0.00%</v>
      </c>
      <c r="T75" s="2">
        <f t="shared" si="53"/>
        <v>0</v>
      </c>
      <c r="U75" s="81" t="str">
        <f>TEXT('MYP Assumptions'!H75,"0.00%")&amp;", CPI"</f>
        <v>2.73%, CPI</v>
      </c>
      <c r="W75" s="83" t="str">
        <f t="shared" si="49"/>
        <v>0.00%</v>
      </c>
      <c r="X75" s="2">
        <f t="shared" si="54"/>
        <v>0</v>
      </c>
      <c r="Y75" s="81" t="str">
        <f>TEXT('MYP Assumptions'!I75,"0.00%")&amp;", CPI"</f>
        <v>2.73%, CPI</v>
      </c>
      <c r="AA75" s="83" t="str">
        <f t="shared" si="50"/>
        <v>0.00%</v>
      </c>
      <c r="AB75" s="2">
        <f t="shared" si="55"/>
        <v>0</v>
      </c>
      <c r="AC75" s="81" t="str">
        <f>TEXT('MYP Assumptions'!J75,"0.00%")&amp;", CPI"</f>
        <v>2.73%, CPI</v>
      </c>
    </row>
    <row r="76" spans="1:29" hidden="1" x14ac:dyDescent="0.25">
      <c r="A76" s="152"/>
      <c r="B76" s="939"/>
      <c r="D76" s="2">
        <v>0</v>
      </c>
      <c r="E76" s="863"/>
      <c r="F76" s="2"/>
      <c r="G76" s="83" t="str">
        <f>IF(D76=0,"0.00%",(H76-D76)/D76)</f>
        <v>0.00%</v>
      </c>
      <c r="H76" s="2">
        <f t="shared" si="56"/>
        <v>0</v>
      </c>
      <c r="I76" s="854" t="str">
        <f>TEXT('MYP Assumptions'!E75,"0.00%")&amp;", CPI"</f>
        <v>3.42%, CPI</v>
      </c>
      <c r="J76" s="66"/>
      <c r="K76" s="83" t="str">
        <f t="shared" si="45"/>
        <v>0.00%</v>
      </c>
      <c r="L76" s="2">
        <f t="shared" si="57"/>
        <v>0</v>
      </c>
      <c r="M76" s="854" t="str">
        <f>TEXT('MYP Assumptions'!F75,"0.00%")&amp;", CPI"</f>
        <v>3.35%, CPI</v>
      </c>
      <c r="O76" s="83" t="str">
        <f t="shared" si="47"/>
        <v>0.00%</v>
      </c>
      <c r="P76" s="2">
        <f t="shared" si="58"/>
        <v>0</v>
      </c>
      <c r="Q76" s="854" t="str">
        <f>TEXT('MYP Assumptions'!G75,"0.00%")&amp;", CPI"</f>
        <v>3.02%, CPI</v>
      </c>
      <c r="S76" s="83" t="str">
        <f t="shared" si="48"/>
        <v>0.00%</v>
      </c>
      <c r="T76" s="2">
        <f t="shared" si="53"/>
        <v>0</v>
      </c>
      <c r="U76" s="81" t="str">
        <f>TEXT('MYP Assumptions'!H75,"0.00%")&amp;", CPI"</f>
        <v>2.73%, CPI</v>
      </c>
      <c r="W76" s="83" t="str">
        <f t="shared" si="49"/>
        <v>0.00%</v>
      </c>
      <c r="X76" s="2">
        <f t="shared" si="54"/>
        <v>0</v>
      </c>
      <c r="Y76" s="81" t="str">
        <f>TEXT('MYP Assumptions'!I75,"0.00%")&amp;", CPI"</f>
        <v>2.73%, CPI</v>
      </c>
      <c r="AA76" s="83" t="str">
        <f t="shared" si="50"/>
        <v>0.00%</v>
      </c>
      <c r="AB76" s="2">
        <f t="shared" si="55"/>
        <v>0</v>
      </c>
      <c r="AC76" s="81" t="str">
        <f>TEXT('MYP Assumptions'!J75,"0.00%")&amp;", CPI"</f>
        <v>2.73%, CPI</v>
      </c>
    </row>
    <row r="77" spans="1:29" hidden="1" x14ac:dyDescent="0.25">
      <c r="A77" s="152"/>
      <c r="B77" s="939"/>
      <c r="D77" s="2">
        <v>0</v>
      </c>
      <c r="E77" s="863"/>
      <c r="F77" s="2"/>
      <c r="G77" s="83" t="str">
        <f t="shared" ref="G77:G83" si="59">IF(D77=0,"0.00%",(H77-D77)/D77)</f>
        <v>0.00%</v>
      </c>
      <c r="H77" s="2">
        <f t="shared" si="56"/>
        <v>0</v>
      </c>
      <c r="I77" s="854" t="str">
        <f>TEXT('MYP Assumptions'!E75,"0.00%")&amp;", CPI"</f>
        <v>3.42%, CPI</v>
      </c>
      <c r="J77" s="66"/>
      <c r="K77" s="83" t="str">
        <f t="shared" si="45"/>
        <v>0.00%</v>
      </c>
      <c r="L77" s="2">
        <f t="shared" si="57"/>
        <v>0</v>
      </c>
      <c r="M77" s="854" t="str">
        <f>TEXT('MYP Assumptions'!F75,"0.00%")&amp;", CPI"</f>
        <v>3.35%, CPI</v>
      </c>
      <c r="O77" s="83" t="str">
        <f t="shared" si="47"/>
        <v>0.00%</v>
      </c>
      <c r="P77" s="2">
        <f t="shared" si="58"/>
        <v>0</v>
      </c>
      <c r="Q77" s="854" t="str">
        <f>TEXT('MYP Assumptions'!G75,"0.00%")&amp;", CPI"</f>
        <v>3.02%, CPI</v>
      </c>
      <c r="S77" s="83" t="str">
        <f t="shared" si="48"/>
        <v>0.00%</v>
      </c>
      <c r="T77" s="2">
        <f t="shared" si="53"/>
        <v>0</v>
      </c>
      <c r="U77" s="81" t="str">
        <f>TEXT('MYP Assumptions'!H75,"0.00%")&amp;", CPI"</f>
        <v>2.73%, CPI</v>
      </c>
      <c r="W77" s="83" t="str">
        <f t="shared" si="49"/>
        <v>0.00%</v>
      </c>
      <c r="X77" s="2">
        <f t="shared" si="54"/>
        <v>0</v>
      </c>
      <c r="Y77" s="81" t="str">
        <f>TEXT('MYP Assumptions'!I75,"0.00%")&amp;", CPI"</f>
        <v>2.73%, CPI</v>
      </c>
      <c r="AA77" s="83" t="str">
        <f t="shared" si="50"/>
        <v>0.00%</v>
      </c>
      <c r="AB77" s="2">
        <f t="shared" si="55"/>
        <v>0</v>
      </c>
      <c r="AC77" s="81" t="str">
        <f>TEXT('MYP Assumptions'!J75,"0.00%")&amp;", CPI"</f>
        <v>2.73%, CPI</v>
      </c>
    </row>
    <row r="78" spans="1:29" hidden="1" x14ac:dyDescent="0.25">
      <c r="A78" s="152"/>
      <c r="B78" s="939"/>
      <c r="D78" s="2">
        <v>0</v>
      </c>
      <c r="E78" s="863"/>
      <c r="F78" s="2"/>
      <c r="G78" s="83" t="str">
        <f t="shared" si="59"/>
        <v>0.00%</v>
      </c>
      <c r="H78" s="2">
        <f>ROUND(D78*(LEFT(I78,5)+1),0)</f>
        <v>0</v>
      </c>
      <c r="I78" s="854" t="str">
        <f>TEXT('MYP Assumptions'!E75,"0.00%")&amp;", CPI"</f>
        <v>3.42%, CPI</v>
      </c>
      <c r="J78" s="66"/>
      <c r="K78" s="83" t="str">
        <f t="shared" si="45"/>
        <v>0.00%</v>
      </c>
      <c r="L78" s="2">
        <f t="shared" si="57"/>
        <v>0</v>
      </c>
      <c r="M78" s="854" t="str">
        <f>TEXT('MYP Assumptions'!F75,"0.00%")&amp;", CPI"</f>
        <v>3.35%, CPI</v>
      </c>
      <c r="O78" s="83" t="str">
        <f t="shared" si="47"/>
        <v>0.00%</v>
      </c>
      <c r="P78" s="2">
        <f t="shared" si="58"/>
        <v>0</v>
      </c>
      <c r="Q78" s="854" t="str">
        <f>TEXT('MYP Assumptions'!G75,"0.00%")&amp;", CPI"</f>
        <v>3.02%, CPI</v>
      </c>
      <c r="S78" s="83" t="str">
        <f t="shared" si="48"/>
        <v>0.00%</v>
      </c>
      <c r="T78" s="2">
        <f t="shared" si="53"/>
        <v>0</v>
      </c>
      <c r="U78" s="81" t="str">
        <f>TEXT('MYP Assumptions'!H75,"0.00%")&amp;", CPI"</f>
        <v>2.73%, CPI</v>
      </c>
      <c r="W78" s="83" t="str">
        <f t="shared" si="49"/>
        <v>0.00%</v>
      </c>
      <c r="X78" s="2">
        <f t="shared" si="54"/>
        <v>0</v>
      </c>
      <c r="Y78" s="81" t="str">
        <f>TEXT('MYP Assumptions'!I75,"0.00%")&amp;", CPI"</f>
        <v>2.73%, CPI</v>
      </c>
      <c r="AA78" s="83" t="str">
        <f t="shared" si="50"/>
        <v>0.00%</v>
      </c>
      <c r="AB78" s="2">
        <f t="shared" si="55"/>
        <v>0</v>
      </c>
      <c r="AC78" s="81" t="str">
        <f>TEXT('MYP Assumptions'!J75,"0.00%")&amp;", CPI"</f>
        <v>2.73%, CPI</v>
      </c>
    </row>
    <row r="79" spans="1:29" hidden="1" x14ac:dyDescent="0.25">
      <c r="A79" s="152"/>
      <c r="B79" s="939"/>
      <c r="D79" s="2">
        <v>0</v>
      </c>
      <c r="E79" s="863"/>
      <c r="F79" s="2"/>
      <c r="G79" s="83" t="str">
        <f t="shared" si="59"/>
        <v>0.00%</v>
      </c>
      <c r="H79" s="2">
        <f>ROUND(D79*(LEFT(I79,5)+1),0)</f>
        <v>0</v>
      </c>
      <c r="I79" s="854" t="str">
        <f>TEXT('MYP Assumptions'!E75,"0.00%")&amp;", CPI"</f>
        <v>3.42%, CPI</v>
      </c>
      <c r="J79" s="66"/>
      <c r="K79" s="83" t="str">
        <f t="shared" si="45"/>
        <v>0.00%</v>
      </c>
      <c r="L79" s="2">
        <f t="shared" si="57"/>
        <v>0</v>
      </c>
      <c r="M79" s="854" t="str">
        <f>TEXT('MYP Assumptions'!F75,"0.00%")&amp;", CPI"</f>
        <v>3.35%, CPI</v>
      </c>
      <c r="O79" s="83" t="str">
        <f t="shared" si="47"/>
        <v>0.00%</v>
      </c>
      <c r="P79" s="2">
        <f t="shared" si="58"/>
        <v>0</v>
      </c>
      <c r="Q79" s="854" t="str">
        <f>TEXT('MYP Assumptions'!G75,"0.00%")&amp;", CPI"</f>
        <v>3.02%, CPI</v>
      </c>
      <c r="S79" s="83" t="str">
        <f t="shared" si="48"/>
        <v>0.00%</v>
      </c>
      <c r="T79" s="2">
        <f t="shared" si="53"/>
        <v>0</v>
      </c>
      <c r="U79" s="81" t="str">
        <f>TEXT('MYP Assumptions'!H75,"0.00%")&amp;", CPI"</f>
        <v>2.73%, CPI</v>
      </c>
      <c r="W79" s="83" t="str">
        <f t="shared" si="49"/>
        <v>0.00%</v>
      </c>
      <c r="X79" s="2">
        <f t="shared" si="54"/>
        <v>0</v>
      </c>
      <c r="Y79" s="81" t="str">
        <f>TEXT('MYP Assumptions'!I75,"0.00%")&amp;", CPI"</f>
        <v>2.73%, CPI</v>
      </c>
      <c r="AA79" s="83" t="str">
        <f t="shared" si="50"/>
        <v>0.00%</v>
      </c>
      <c r="AB79" s="2">
        <f t="shared" si="55"/>
        <v>0</v>
      </c>
      <c r="AC79" s="81" t="str">
        <f>TEXT('MYP Assumptions'!J75,"0.00%")&amp;", CPI"</f>
        <v>2.73%, CPI</v>
      </c>
    </row>
    <row r="80" spans="1:29" hidden="1" x14ac:dyDescent="0.25">
      <c r="A80" s="152"/>
      <c r="B80" s="939"/>
      <c r="D80" s="2">
        <v>0</v>
      </c>
      <c r="E80" s="863"/>
      <c r="F80" s="2"/>
      <c r="G80" s="83" t="str">
        <f t="shared" si="59"/>
        <v>0.00%</v>
      </c>
      <c r="H80" s="2">
        <f>ROUND(D80*(LEFT(I80,5)+1),0)</f>
        <v>0</v>
      </c>
      <c r="I80" s="854" t="str">
        <f>TEXT('MYP Assumptions'!E75,"0.00%")&amp;", CPI"</f>
        <v>3.42%, CPI</v>
      </c>
      <c r="J80" s="66"/>
      <c r="K80" s="83" t="str">
        <f t="shared" si="45"/>
        <v>0.00%</v>
      </c>
      <c r="L80" s="2">
        <f t="shared" si="57"/>
        <v>0</v>
      </c>
      <c r="M80" s="854" t="str">
        <f>TEXT('MYP Assumptions'!F75,"0.00%")&amp;", CPI"</f>
        <v>3.35%, CPI</v>
      </c>
      <c r="O80" s="83" t="str">
        <f t="shared" si="47"/>
        <v>0.00%</v>
      </c>
      <c r="P80" s="2">
        <f t="shared" si="58"/>
        <v>0</v>
      </c>
      <c r="Q80" s="854" t="str">
        <f>TEXT('MYP Assumptions'!G75,"0.00%")&amp;", CPI"</f>
        <v>3.02%, CPI</v>
      </c>
      <c r="S80" s="83" t="str">
        <f t="shared" si="48"/>
        <v>0.00%</v>
      </c>
      <c r="T80" s="2">
        <f t="shared" si="53"/>
        <v>0</v>
      </c>
      <c r="U80" s="81" t="str">
        <f>TEXT('MYP Assumptions'!H75,"0.00%")&amp;", CPI"</f>
        <v>2.73%, CPI</v>
      </c>
      <c r="W80" s="83" t="str">
        <f t="shared" si="49"/>
        <v>0.00%</v>
      </c>
      <c r="X80" s="2">
        <f t="shared" si="54"/>
        <v>0</v>
      </c>
      <c r="Y80" s="81" t="str">
        <f>TEXT('MYP Assumptions'!I75,"0.00%")&amp;", CPI"</f>
        <v>2.73%, CPI</v>
      </c>
      <c r="AA80" s="83" t="str">
        <f t="shared" si="50"/>
        <v>0.00%</v>
      </c>
      <c r="AB80" s="2">
        <f t="shared" si="55"/>
        <v>0</v>
      </c>
      <c r="AC80" s="81" t="str">
        <f>TEXT('MYP Assumptions'!J75,"0.00%")&amp;", CPI"</f>
        <v>2.73%, CPI</v>
      </c>
    </row>
    <row r="81" spans="1:29" hidden="1" x14ac:dyDescent="0.25">
      <c r="A81" s="152"/>
      <c r="B81" s="939"/>
      <c r="D81" s="2">
        <v>0</v>
      </c>
      <c r="E81" s="863"/>
      <c r="F81" s="2"/>
      <c r="G81" s="83" t="str">
        <f t="shared" si="59"/>
        <v>0.00%</v>
      </c>
      <c r="H81" s="2">
        <f>ROUND(D81*(LEFT(I81,5)+1),0)</f>
        <v>0</v>
      </c>
      <c r="I81" s="854" t="str">
        <f>TEXT('MYP Assumptions'!E75,"0.00%")&amp;", CPI"</f>
        <v>3.42%, CPI</v>
      </c>
      <c r="J81" s="66"/>
      <c r="K81" s="83" t="str">
        <f t="shared" si="45"/>
        <v>0.00%</v>
      </c>
      <c r="L81" s="2">
        <f t="shared" si="57"/>
        <v>0</v>
      </c>
      <c r="M81" s="854" t="str">
        <f>TEXT('MYP Assumptions'!F75,"0.00%")&amp;", CPI"</f>
        <v>3.35%, CPI</v>
      </c>
      <c r="O81" s="83" t="str">
        <f t="shared" si="47"/>
        <v>0.00%</v>
      </c>
      <c r="P81" s="2">
        <f t="shared" si="58"/>
        <v>0</v>
      </c>
      <c r="Q81" s="854" t="str">
        <f>TEXT('MYP Assumptions'!G75,"0.00%")&amp;", CPI"</f>
        <v>3.02%, CPI</v>
      </c>
      <c r="S81" s="83" t="str">
        <f t="shared" si="48"/>
        <v>0.00%</v>
      </c>
      <c r="T81" s="2">
        <f t="shared" si="53"/>
        <v>0</v>
      </c>
      <c r="U81" s="81" t="str">
        <f>TEXT('MYP Assumptions'!H75,"0.00%")&amp;", CPI"</f>
        <v>2.73%, CPI</v>
      </c>
      <c r="W81" s="83" t="str">
        <f t="shared" si="49"/>
        <v>0.00%</v>
      </c>
      <c r="X81" s="2">
        <f t="shared" si="54"/>
        <v>0</v>
      </c>
      <c r="Y81" s="81" t="str">
        <f>TEXT('MYP Assumptions'!I75,"0.00%")&amp;", CPI"</f>
        <v>2.73%, CPI</v>
      </c>
      <c r="AA81" s="83" t="str">
        <f t="shared" si="50"/>
        <v>0.00%</v>
      </c>
      <c r="AB81" s="2">
        <f t="shared" si="55"/>
        <v>0</v>
      </c>
      <c r="AC81" s="81" t="str">
        <f>TEXT('MYP Assumptions'!J75,"0.00%")&amp;", CPI"</f>
        <v>2.73%, CPI</v>
      </c>
    </row>
    <row r="82" spans="1:29" hidden="1" x14ac:dyDescent="0.25">
      <c r="A82" s="152"/>
      <c r="B82" s="939"/>
      <c r="D82" s="2">
        <f>'RS 3010-ALL'!AF80</f>
        <v>0</v>
      </c>
      <c r="E82" s="863"/>
      <c r="F82" s="2"/>
      <c r="G82" s="83" t="str">
        <f t="shared" si="59"/>
        <v>0.00%</v>
      </c>
      <c r="H82" s="2">
        <f>ROUND(D82*(LEFT(I82,5)+1),0)</f>
        <v>0</v>
      </c>
      <c r="I82" s="854" t="str">
        <f>TEXT('MYP Assumptions'!E75,"0.00%")&amp;", CPI"</f>
        <v>3.42%, CPI</v>
      </c>
      <c r="J82" s="66"/>
      <c r="K82" s="83" t="str">
        <f t="shared" si="45"/>
        <v>0.00%</v>
      </c>
      <c r="L82" s="2">
        <f t="shared" si="57"/>
        <v>0</v>
      </c>
      <c r="M82" s="854" t="str">
        <f>TEXT('MYP Assumptions'!F75,"0.00%")&amp;", CPI"</f>
        <v>3.35%, CPI</v>
      </c>
      <c r="O82" s="83" t="str">
        <f t="shared" si="47"/>
        <v>0.00%</v>
      </c>
      <c r="P82" s="2">
        <f t="shared" si="58"/>
        <v>0</v>
      </c>
      <c r="Q82" s="854" t="str">
        <f>TEXT('MYP Assumptions'!G75,"0.00%")&amp;", CPI"</f>
        <v>3.02%, CPI</v>
      </c>
      <c r="S82" s="83" t="str">
        <f t="shared" si="48"/>
        <v>0.00%</v>
      </c>
      <c r="T82" s="2">
        <f t="shared" si="53"/>
        <v>0</v>
      </c>
      <c r="U82" s="81" t="str">
        <f>TEXT('MYP Assumptions'!H75,"0.00%")&amp;", CPI"</f>
        <v>2.73%, CPI</v>
      </c>
      <c r="W82" s="83" t="str">
        <f t="shared" si="49"/>
        <v>0.00%</v>
      </c>
      <c r="X82" s="2">
        <f t="shared" si="54"/>
        <v>0</v>
      </c>
      <c r="Y82" s="81" t="str">
        <f>TEXT('MYP Assumptions'!I75,"0.00%")&amp;", CPI"</f>
        <v>2.73%, CPI</v>
      </c>
      <c r="AA82" s="83" t="str">
        <f t="shared" si="50"/>
        <v>0.00%</v>
      </c>
      <c r="AB82" s="2">
        <f t="shared" si="55"/>
        <v>0</v>
      </c>
      <c r="AC82" s="81" t="str">
        <f>TEXT('MYP Assumptions'!J75,"0.00%")&amp;", CPI"</f>
        <v>2.73%, CPI</v>
      </c>
    </row>
    <row r="83" spans="1:29" x14ac:dyDescent="0.25">
      <c r="A83" s="153"/>
      <c r="D83" s="8">
        <f>SUM(D70:D82)</f>
        <v>18434.000000000004</v>
      </c>
      <c r="E83" s="863"/>
      <c r="F83" s="2"/>
      <c r="G83" s="83">
        <f t="shared" si="59"/>
        <v>2.070684604535098</v>
      </c>
      <c r="H83" s="8">
        <f>SUM(H70:H82)</f>
        <v>56605</v>
      </c>
      <c r="I83" s="1292">
        <f>+H83-D83</f>
        <v>38171</v>
      </c>
      <c r="J83" s="29"/>
      <c r="K83" s="83">
        <f t="shared" si="45"/>
        <v>0</v>
      </c>
      <c r="L83" s="8">
        <f>SUM(L70:L82)</f>
        <v>56605</v>
      </c>
      <c r="M83" s="1292">
        <f>+L83-H83</f>
        <v>0</v>
      </c>
      <c r="O83" s="83">
        <f t="shared" si="47"/>
        <v>0</v>
      </c>
      <c r="P83" s="8">
        <f>SUM(P70:P82)</f>
        <v>56605</v>
      </c>
      <c r="Q83" s="1292">
        <f>+P83-L83</f>
        <v>0</v>
      </c>
      <c r="S83" s="83">
        <f t="shared" si="48"/>
        <v>2.7294408621146543E-2</v>
      </c>
      <c r="T83" s="8">
        <f>SUM(T70:T82)</f>
        <v>58150</v>
      </c>
      <c r="U83" s="73"/>
      <c r="W83" s="83">
        <f t="shared" si="49"/>
        <v>2.7308684436801376E-2</v>
      </c>
      <c r="X83" s="8">
        <f>SUM(X70:X82)</f>
        <v>59738</v>
      </c>
      <c r="Y83" s="73"/>
      <c r="AA83" s="83">
        <f t="shared" si="50"/>
        <v>2.730255448793063E-2</v>
      </c>
      <c r="AB83" s="8">
        <f>SUM(AB70:AB82)</f>
        <v>61369</v>
      </c>
      <c r="AC83" s="73"/>
    </row>
    <row r="84" spans="1:29" x14ac:dyDescent="0.25">
      <c r="A84" s="152"/>
      <c r="B84" s="936"/>
      <c r="E84" s="863"/>
      <c r="F84" s="2"/>
      <c r="G84" s="83"/>
      <c r="H84" s="2"/>
      <c r="I84" s="871"/>
      <c r="J84" s="66"/>
      <c r="L84" s="2"/>
      <c r="M84" s="948"/>
      <c r="Q84" s="948"/>
      <c r="T84" s="2"/>
      <c r="U84" s="73"/>
      <c r="X84" s="2"/>
      <c r="Y84" s="73"/>
      <c r="AB84" s="2"/>
      <c r="AC84" s="73"/>
    </row>
    <row r="85" spans="1:29" x14ac:dyDescent="0.25">
      <c r="A85" s="152"/>
      <c r="B85" s="936" t="s">
        <v>338</v>
      </c>
      <c r="E85" s="863"/>
      <c r="F85" s="2"/>
      <c r="G85" s="83"/>
      <c r="H85" s="2"/>
      <c r="I85" s="871"/>
      <c r="J85" s="66"/>
      <c r="L85" s="2"/>
      <c r="M85" s="948"/>
      <c r="Q85" s="948"/>
      <c r="T85" s="2"/>
      <c r="U85" s="73"/>
      <c r="X85" s="2"/>
      <c r="Y85" s="73"/>
      <c r="AB85" s="2"/>
      <c r="AC85" s="73"/>
    </row>
    <row r="86" spans="1:29" x14ac:dyDescent="0.25">
      <c r="A86" s="152"/>
      <c r="B86" s="939">
        <v>6400</v>
      </c>
      <c r="C86" s="857" t="s">
        <v>958</v>
      </c>
      <c r="D86" s="10">
        <v>8063.86</v>
      </c>
      <c r="E86" s="863"/>
      <c r="F86" s="2"/>
      <c r="G86" s="83">
        <f>IF(D86=0,"0.00%",(H86-D86)/D86)</f>
        <v>1.0149159335603546</v>
      </c>
      <c r="H86" s="2">
        <v>16248</v>
      </c>
      <c r="I86" s="871"/>
      <c r="J86" s="66"/>
      <c r="K86" s="83">
        <f>IF(H86=0,"0.00%",(L86-H86)/H86)</f>
        <v>-1</v>
      </c>
      <c r="L86" s="2">
        <v>0</v>
      </c>
      <c r="M86" s="948"/>
      <c r="O86" s="83" t="str">
        <f>IF(L86=0,"0.00%",(P86-L86)/L86)</f>
        <v>0.00%</v>
      </c>
      <c r="P86" s="2">
        <v>0</v>
      </c>
      <c r="Q86" s="948"/>
      <c r="T86" s="2"/>
      <c r="U86" s="73"/>
      <c r="X86" s="2"/>
      <c r="Y86" s="73"/>
      <c r="AB86" s="2"/>
      <c r="AC86" s="73"/>
    </row>
    <row r="87" spans="1:29" x14ac:dyDescent="0.25">
      <c r="A87" s="152"/>
      <c r="E87" s="863"/>
      <c r="F87" s="2"/>
      <c r="H87" s="2"/>
      <c r="I87" s="871"/>
      <c r="J87" s="66"/>
      <c r="L87" s="2"/>
      <c r="M87" s="948"/>
      <c r="Q87" s="948"/>
      <c r="T87" s="2"/>
      <c r="U87" s="73"/>
      <c r="X87" s="2"/>
      <c r="Y87" s="73"/>
      <c r="AB87" s="2"/>
      <c r="AC87" s="73"/>
    </row>
    <row r="88" spans="1:29" x14ac:dyDescent="0.25">
      <c r="A88" s="153"/>
      <c r="B88" s="936" t="s">
        <v>0</v>
      </c>
      <c r="D88" s="8">
        <f>SUM(D83,D67,D55,D13,D86)</f>
        <v>175676.28</v>
      </c>
      <c r="E88" s="863"/>
      <c r="F88" s="2"/>
      <c r="G88" s="83">
        <f>IF(D88=0,"0.00%",(H88-D88)/D88)</f>
        <v>0.31327348233922075</v>
      </c>
      <c r="H88" s="8">
        <f>SUM(H83,H67,H55,H13,H86)</f>
        <v>230711</v>
      </c>
      <c r="I88" s="1292">
        <f>+H88-D88</f>
        <v>55034.720000000001</v>
      </c>
      <c r="J88" s="29"/>
      <c r="K88" s="83">
        <f>IF(H88=0,"0.00%",(L88-H88)/H88)</f>
        <v>-6.5575546896333506E-2</v>
      </c>
      <c r="L88" s="8">
        <f>SUM(L83,L67,L55,L13,L86)</f>
        <v>215582</v>
      </c>
      <c r="M88" s="1292">
        <f>+L88-H88</f>
        <v>-15129</v>
      </c>
      <c r="O88" s="83">
        <f>IF(L88=0,"0.00%",(P88-L88)/L88)</f>
        <v>6.2157322967594693E-3</v>
      </c>
      <c r="P88" s="8">
        <f>SUM(P83,P67,P55,P13,P86)</f>
        <v>216922</v>
      </c>
      <c r="Q88" s="1292">
        <f>+P88-L88</f>
        <v>1340</v>
      </c>
      <c r="S88" s="83">
        <f>IF(P88=0,"0.00%",(T88-P88)/P88)</f>
        <v>5.9099584182332821E-3</v>
      </c>
      <c r="T88" s="8">
        <f>SUM(T83,T67,T55,T13)</f>
        <v>218204</v>
      </c>
      <c r="U88" s="73"/>
      <c r="W88" s="83">
        <f>IF(T88=0,"0.00%",(X88-T88)/T88)</f>
        <v>2.5801543509743174E-2</v>
      </c>
      <c r="X88" s="8">
        <f>SUM(X83,X67,X55,X13)</f>
        <v>223834</v>
      </c>
      <c r="Y88" s="73"/>
      <c r="AA88" s="83">
        <f>IF(X88=0,"0.00%",(AB88-X88)/X88)</f>
        <v>2.5795902320469632E-2</v>
      </c>
      <c r="AB88" s="8">
        <f>SUM(AB83,AB67,AB55,AB13)</f>
        <v>229608</v>
      </c>
      <c r="AC88" s="73"/>
    </row>
    <row r="89" spans="1:29" x14ac:dyDescent="0.25">
      <c r="A89" s="152"/>
      <c r="E89" s="863"/>
      <c r="F89" s="2"/>
      <c r="H89" s="2"/>
      <c r="I89" s="871"/>
      <c r="J89" s="66"/>
      <c r="L89" s="2"/>
      <c r="M89" s="948"/>
      <c r="Q89" s="948"/>
      <c r="T89" s="2"/>
      <c r="U89" s="73"/>
      <c r="X89" s="2"/>
      <c r="Y89" s="73"/>
      <c r="AB89" s="2"/>
      <c r="AC89" s="73"/>
    </row>
    <row r="90" spans="1:29" x14ac:dyDescent="0.25">
      <c r="A90" s="152"/>
      <c r="B90" s="936" t="s">
        <v>138</v>
      </c>
      <c r="D90" s="3">
        <f>D11-D88</f>
        <v>0</v>
      </c>
      <c r="G90" s="83" t="str">
        <f>IF(D90=0,"0.00%",(H90-D90)/D90)</f>
        <v>0.00%</v>
      </c>
      <c r="H90" s="3">
        <f>H11-H88</f>
        <v>0</v>
      </c>
      <c r="I90" s="871"/>
      <c r="J90" s="66"/>
      <c r="K90" s="83" t="str">
        <f>IF(H90=0,"0.00%",(L90-H90)/H90)</f>
        <v>0.00%</v>
      </c>
      <c r="L90" s="3">
        <f>L11-L88</f>
        <v>0</v>
      </c>
      <c r="M90" s="948"/>
      <c r="O90" s="83" t="str">
        <f>IF(L90=0,"0.00%",(P90-L90)/L90)</f>
        <v>0.00%</v>
      </c>
      <c r="P90" s="3">
        <f>P11-P88</f>
        <v>0</v>
      </c>
      <c r="Q90" s="948"/>
      <c r="S90" s="83" t="str">
        <f>IF(P90=0,"0.00%",(T90-P90)/P90)</f>
        <v>0.00%</v>
      </c>
      <c r="T90" s="3">
        <f>T11-T88</f>
        <v>-218204</v>
      </c>
      <c r="U90" s="73"/>
      <c r="W90" s="83">
        <f>IF(T90=0,"0.00%",(X90-T90)/T90)</f>
        <v>2.5801543509743174E-2</v>
      </c>
      <c r="X90" s="3">
        <f>X11-X88</f>
        <v>-223834</v>
      </c>
      <c r="Y90" s="73"/>
      <c r="AA90" s="83">
        <f>IF(X90=0,"0.00%",(AB90-X90)/X90)</f>
        <v>2.5795902320469632E-2</v>
      </c>
      <c r="AB90" s="3">
        <f>AB11-AB88</f>
        <v>-229608</v>
      </c>
      <c r="AC90" s="73"/>
    </row>
    <row r="91" spans="1:29" x14ac:dyDescent="0.25">
      <c r="B91" s="936"/>
      <c r="C91" s="930"/>
      <c r="D91" s="3"/>
      <c r="H91" s="3"/>
      <c r="I91" s="871"/>
      <c r="J91" s="66"/>
      <c r="L91" s="3"/>
      <c r="M91" s="948"/>
      <c r="P91" s="3"/>
      <c r="Q91" s="948"/>
      <c r="T91" s="44"/>
      <c r="U91" s="73"/>
      <c r="X91" s="44"/>
      <c r="Y91" s="73"/>
      <c r="AB91" s="44"/>
      <c r="AC91" s="73"/>
    </row>
    <row r="92" spans="1:29" x14ac:dyDescent="0.25">
      <c r="B92" s="936" t="s">
        <v>136</v>
      </c>
      <c r="C92" s="932"/>
      <c r="D92" s="3">
        <f>D7+D90</f>
        <v>0</v>
      </c>
      <c r="G92" s="83" t="str">
        <f>IF(D92=0,"0.00%",(H92-D92)/D92)</f>
        <v>0.00%</v>
      </c>
      <c r="H92" s="3">
        <f>H7+H90</f>
        <v>0</v>
      </c>
      <c r="I92" s="871"/>
      <c r="J92" s="66"/>
      <c r="K92" s="83" t="str">
        <f>IF(H92=0,"0.00%",(L92-H92)/H92)</f>
        <v>0.00%</v>
      </c>
      <c r="L92" s="3">
        <f>L7+L90</f>
        <v>0</v>
      </c>
      <c r="M92" s="948"/>
      <c r="O92" s="83" t="str">
        <f>IF(L92=0,"0.00%",(P92-L92)/L92)</f>
        <v>0.00%</v>
      </c>
      <c r="P92" s="3">
        <f>P7+P90</f>
        <v>0</v>
      </c>
      <c r="Q92" s="948"/>
      <c r="S92" s="83" t="str">
        <f>IF(P92=0,"0.00%",(T92-P92)/P92)</f>
        <v>0.00%</v>
      </c>
      <c r="T92" s="49">
        <f>T7+T90</f>
        <v>-218204</v>
      </c>
      <c r="U92" s="73"/>
      <c r="W92" s="83">
        <f>IF(T92=0,"0.00%",(X92-T92)/T92)</f>
        <v>1.0258015435097432</v>
      </c>
      <c r="X92" s="49">
        <f>X7+X90</f>
        <v>-442038</v>
      </c>
      <c r="Y92" s="73"/>
      <c r="AA92" s="83">
        <f>IF(X92=0,"0.00%",(AB92-X92)/X92)</f>
        <v>0.51943045620512263</v>
      </c>
      <c r="AB92" s="49">
        <f>AB7+AB90</f>
        <v>-671646</v>
      </c>
      <c r="AC92" s="73"/>
    </row>
    <row r="93" spans="1:29" x14ac:dyDescent="0.25">
      <c r="C93" s="873"/>
      <c r="G93" s="374"/>
      <c r="H93" s="5"/>
      <c r="I93" s="872"/>
      <c r="J93" s="29"/>
      <c r="L93" s="5"/>
      <c r="M93" s="948"/>
      <c r="P93" s="5"/>
      <c r="Q93" s="948"/>
      <c r="T93" s="5"/>
      <c r="U93" s="73"/>
      <c r="X93" s="5"/>
      <c r="Y93" s="73"/>
      <c r="AB93" s="5"/>
      <c r="AC93" s="73"/>
    </row>
    <row r="94" spans="1:29" x14ac:dyDescent="0.25">
      <c r="C94" s="868"/>
      <c r="G94" s="374"/>
      <c r="H94" s="36"/>
      <c r="I94" s="871"/>
      <c r="J94" s="66"/>
      <c r="L94" s="2"/>
      <c r="M94" s="948"/>
      <c r="Q94" s="948"/>
      <c r="T94" s="2"/>
      <c r="U94" s="73"/>
      <c r="X94" s="2"/>
      <c r="Y94" s="73"/>
      <c r="AB94" s="2"/>
      <c r="AC94" s="73"/>
    </row>
    <row r="95" spans="1:29" x14ac:dyDescent="0.25">
      <c r="C95" s="868"/>
      <c r="G95" s="374"/>
      <c r="H95" s="36"/>
      <c r="I95" s="871"/>
      <c r="J95" s="66"/>
      <c r="L95" s="2"/>
      <c r="M95" s="948"/>
      <c r="Q95" s="948"/>
      <c r="T95" s="2"/>
      <c r="U95" s="73"/>
      <c r="X95" s="2"/>
      <c r="Y95" s="73"/>
      <c r="AB95" s="2"/>
      <c r="AC95" s="73"/>
    </row>
    <row r="96" spans="1:29" x14ac:dyDescent="0.25">
      <c r="C96" s="868"/>
      <c r="G96" s="374"/>
      <c r="H96" s="36"/>
      <c r="I96" s="871"/>
      <c r="J96" s="66"/>
      <c r="L96" s="2"/>
      <c r="M96" s="948"/>
      <c r="Q96" s="948"/>
      <c r="T96" s="2"/>
      <c r="U96" s="73"/>
      <c r="X96" s="2"/>
      <c r="Y96" s="73"/>
      <c r="AB96" s="2"/>
      <c r="AC96" s="73"/>
    </row>
    <row r="97" spans="1:29" x14ac:dyDescent="0.25">
      <c r="C97" s="868"/>
      <c r="G97" s="374"/>
      <c r="H97" s="36"/>
      <c r="I97" s="871"/>
      <c r="J97" s="66"/>
      <c r="L97" s="2"/>
      <c r="M97" s="948"/>
      <c r="Q97" s="948"/>
      <c r="T97" s="2"/>
      <c r="U97" s="73"/>
      <c r="X97" s="2"/>
      <c r="Y97" s="73"/>
      <c r="AB97" s="2"/>
      <c r="AC97" s="73"/>
    </row>
    <row r="98" spans="1:29" s="137" customFormat="1" ht="11.25" x14ac:dyDescent="0.2">
      <c r="A98" s="156"/>
      <c r="B98" s="942"/>
      <c r="C98" s="943" t="s">
        <v>223</v>
      </c>
      <c r="D98" s="134">
        <f>+D83+D67+D53+D41+D30</f>
        <v>167612.41999999998</v>
      </c>
      <c r="E98" s="865"/>
      <c r="G98" s="133" t="s">
        <v>223</v>
      </c>
      <c r="H98" s="134">
        <f>+H83+H67+H53+H41+H30</f>
        <v>214463</v>
      </c>
      <c r="I98" s="874"/>
      <c r="J98" s="135"/>
      <c r="K98" s="133" t="s">
        <v>223</v>
      </c>
      <c r="L98" s="134">
        <f>+L83+L67+L53+L41+L30</f>
        <v>215582</v>
      </c>
      <c r="M98" s="951"/>
      <c r="O98" s="133" t="s">
        <v>223</v>
      </c>
      <c r="P98" s="134">
        <f>+P83+P67+P53+P41+P30</f>
        <v>216922</v>
      </c>
      <c r="Q98" s="951"/>
      <c r="R98" s="139"/>
      <c r="S98" s="133" t="s">
        <v>223</v>
      </c>
      <c r="T98" s="134">
        <f>+T83+T67+T53+T41+T30</f>
        <v>218204</v>
      </c>
      <c r="U98" s="138"/>
      <c r="W98" s="133" t="s">
        <v>223</v>
      </c>
      <c r="X98" s="134">
        <f>+X83+X67+X53+X41+X30</f>
        <v>223834</v>
      </c>
      <c r="Y98" s="138"/>
      <c r="AA98" s="133" t="s">
        <v>223</v>
      </c>
      <c r="AB98" s="134">
        <f>+AB83+AB67+AB53+AB41+AB30</f>
        <v>229608</v>
      </c>
      <c r="AC98" s="138"/>
    </row>
    <row r="99" spans="1:29" s="137" customFormat="1" ht="11.25" x14ac:dyDescent="0.2">
      <c r="A99" s="158"/>
      <c r="B99" s="942"/>
      <c r="C99" s="944" t="s">
        <v>224</v>
      </c>
      <c r="D99" s="142">
        <f>+D13</f>
        <v>0</v>
      </c>
      <c r="E99" s="866"/>
      <c r="F99" s="144"/>
      <c r="G99" s="375" t="s">
        <v>224</v>
      </c>
      <c r="H99" s="142">
        <f>+H13</f>
        <v>0</v>
      </c>
      <c r="I99" s="875"/>
      <c r="J99" s="143"/>
      <c r="K99" s="375" t="s">
        <v>224</v>
      </c>
      <c r="L99" s="142">
        <f>+L13</f>
        <v>0</v>
      </c>
      <c r="M99" s="951"/>
      <c r="O99" s="375" t="s">
        <v>224</v>
      </c>
      <c r="P99" s="142">
        <f>+P13</f>
        <v>0</v>
      </c>
      <c r="Q99" s="865"/>
      <c r="R99" s="139"/>
      <c r="S99" s="141" t="s">
        <v>224</v>
      </c>
      <c r="T99" s="142">
        <f>+T13</f>
        <v>0</v>
      </c>
      <c r="W99" s="141" t="s">
        <v>224</v>
      </c>
      <c r="X99" s="142">
        <f>+X13</f>
        <v>0</v>
      </c>
      <c r="AA99" s="141" t="s">
        <v>224</v>
      </c>
      <c r="AB99" s="142">
        <f>+AB13</f>
        <v>0</v>
      </c>
    </row>
    <row r="100" spans="1:29" s="137" customFormat="1" ht="11.25" x14ac:dyDescent="0.2">
      <c r="A100" s="158"/>
      <c r="B100" s="942"/>
      <c r="C100" s="944"/>
      <c r="D100" s="145">
        <f>+D98+D99</f>
        <v>167612.41999999998</v>
      </c>
      <c r="E100" s="866"/>
      <c r="F100" s="144"/>
      <c r="G100" s="375"/>
      <c r="H100" s="145">
        <f>+H98+H99</f>
        <v>214463</v>
      </c>
      <c r="I100" s="875"/>
      <c r="J100" s="143"/>
      <c r="K100" s="375"/>
      <c r="L100" s="145">
        <f>+L98+L99</f>
        <v>215582</v>
      </c>
      <c r="M100" s="865"/>
      <c r="O100" s="375"/>
      <c r="P100" s="145">
        <f>+P98+P99</f>
        <v>216922</v>
      </c>
      <c r="Q100" s="865"/>
      <c r="R100" s="139"/>
      <c r="S100" s="141"/>
      <c r="T100" s="145">
        <f>+T98+T99</f>
        <v>218204</v>
      </c>
      <c r="W100" s="141"/>
      <c r="X100" s="145">
        <f>+X98+X99</f>
        <v>223834</v>
      </c>
      <c r="AA100" s="141"/>
      <c r="AB100" s="145">
        <f>+AB98+AB99</f>
        <v>229608</v>
      </c>
    </row>
    <row r="101" spans="1:29" ht="15" customHeight="1" x14ac:dyDescent="0.25">
      <c r="A101" s="152"/>
      <c r="B101" s="945"/>
      <c r="C101" s="945"/>
      <c r="D101" s="5">
        <f>+D88-D100</f>
        <v>8063.8600000000151</v>
      </c>
      <c r="E101" s="863"/>
      <c r="F101" s="2"/>
      <c r="G101" s="376"/>
      <c r="H101" s="5">
        <f>+H88-H100</f>
        <v>16248</v>
      </c>
      <c r="K101" s="376"/>
      <c r="L101" s="5">
        <f>+L88-L100</f>
        <v>0</v>
      </c>
      <c r="O101" s="376"/>
      <c r="P101" s="5">
        <f>+P88-P100</f>
        <v>0</v>
      </c>
      <c r="S101" s="103"/>
      <c r="T101" s="5">
        <f>+T88-T100</f>
        <v>0</v>
      </c>
      <c r="W101" s="103"/>
      <c r="X101" s="5">
        <f>+X88-X100</f>
        <v>0</v>
      </c>
      <c r="AA101" s="103"/>
      <c r="AB101" s="5">
        <f>+AB88-AB100</f>
        <v>0</v>
      </c>
    </row>
    <row r="102" spans="1:29" x14ac:dyDescent="0.25">
      <c r="A102" s="152"/>
      <c r="B102" s="945"/>
      <c r="C102" s="945"/>
      <c r="D102" s="36"/>
      <c r="E102" s="863"/>
      <c r="F102" s="2"/>
    </row>
    <row r="103" spans="1:29" x14ac:dyDescent="0.25">
      <c r="A103" s="152"/>
      <c r="B103" s="932"/>
      <c r="C103" s="868"/>
      <c r="D103" s="25"/>
      <c r="E103" s="863"/>
      <c r="F103" s="2"/>
    </row>
    <row r="104" spans="1:29" x14ac:dyDescent="0.25">
      <c r="B104" s="932"/>
      <c r="C104" s="868"/>
      <c r="D104" s="36"/>
    </row>
    <row r="105" spans="1:29" x14ac:dyDescent="0.25">
      <c r="B105" s="932"/>
      <c r="C105" s="868"/>
      <c r="D105" s="36"/>
    </row>
    <row r="106" spans="1:29" ht="15" customHeight="1" x14ac:dyDescent="0.25">
      <c r="B106" s="932"/>
      <c r="C106" s="868"/>
      <c r="D106" s="36"/>
    </row>
    <row r="107" spans="1:29" x14ac:dyDescent="0.25">
      <c r="B107" s="932"/>
      <c r="C107" s="868"/>
      <c r="D107" s="36"/>
    </row>
    <row r="108" spans="1:29" x14ac:dyDescent="0.25">
      <c r="B108" s="932"/>
      <c r="C108" s="868"/>
      <c r="D108" s="36"/>
    </row>
    <row r="109" spans="1:29" ht="15" customHeight="1" x14ac:dyDescent="0.25">
      <c r="B109" s="2209"/>
      <c r="C109" s="2209"/>
      <c r="D109" s="36"/>
    </row>
    <row r="110" spans="1:29" x14ac:dyDescent="0.25">
      <c r="B110" s="2209"/>
      <c r="C110" s="2209"/>
      <c r="D110" s="36"/>
    </row>
    <row r="111" spans="1:29" x14ac:dyDescent="0.25">
      <c r="B111" s="932"/>
      <c r="C111" s="868"/>
      <c r="D111" s="6"/>
    </row>
    <row r="112" spans="1:29" x14ac:dyDescent="0.25">
      <c r="B112" s="932"/>
      <c r="C112" s="868"/>
      <c r="D112" s="36"/>
    </row>
    <row r="113" spans="2:4" x14ac:dyDescent="0.25">
      <c r="B113" s="932"/>
      <c r="C113" s="868"/>
      <c r="D113" s="36"/>
    </row>
    <row r="114" spans="2:4" ht="28.5" customHeight="1" x14ac:dyDescent="0.25">
      <c r="B114" s="932"/>
      <c r="C114" s="868"/>
      <c r="D114" s="25"/>
    </row>
    <row r="115" spans="2:4" x14ac:dyDescent="0.25">
      <c r="B115" s="932"/>
      <c r="C115" s="868"/>
      <c r="D115" s="36"/>
    </row>
    <row r="116" spans="2:4" x14ac:dyDescent="0.25">
      <c r="B116" s="932"/>
      <c r="C116" s="868"/>
      <c r="D116" s="36"/>
    </row>
    <row r="117" spans="2:4" x14ac:dyDescent="0.25">
      <c r="B117" s="932"/>
      <c r="C117" s="868"/>
      <c r="D117" s="36"/>
    </row>
    <row r="118" spans="2:4" x14ac:dyDescent="0.25">
      <c r="B118" s="932"/>
      <c r="C118" s="868"/>
      <c r="D118" s="36"/>
    </row>
    <row r="119" spans="2:4" x14ac:dyDescent="0.25">
      <c r="B119" s="932"/>
      <c r="C119" s="868"/>
      <c r="D119" s="36"/>
    </row>
    <row r="120" spans="2:4" x14ac:dyDescent="0.25">
      <c r="B120" s="932"/>
      <c r="C120" s="868"/>
      <c r="D120" s="36"/>
    </row>
    <row r="121" spans="2:4" x14ac:dyDescent="0.25">
      <c r="B121" s="932"/>
      <c r="C121" s="868"/>
      <c r="D121" s="36"/>
    </row>
    <row r="122" spans="2:4" x14ac:dyDescent="0.25">
      <c r="B122" s="932"/>
      <c r="C122" s="868"/>
      <c r="D122" s="36"/>
    </row>
    <row r="123" spans="2:4" x14ac:dyDescent="0.25">
      <c r="B123" s="932"/>
      <c r="C123" s="868"/>
      <c r="D123" s="36"/>
    </row>
    <row r="124" spans="2:4" x14ac:dyDescent="0.25">
      <c r="B124" s="932"/>
      <c r="C124" s="868"/>
      <c r="D124" s="36"/>
    </row>
    <row r="125" spans="2:4" x14ac:dyDescent="0.25">
      <c r="B125" s="932"/>
      <c r="C125" s="868"/>
      <c r="D125" s="36"/>
    </row>
    <row r="126" spans="2:4" x14ac:dyDescent="0.25">
      <c r="B126" s="932"/>
      <c r="C126" s="868"/>
      <c r="D126" s="36"/>
    </row>
    <row r="127" spans="2:4" x14ac:dyDescent="0.25">
      <c r="B127" s="932"/>
      <c r="C127" s="868"/>
      <c r="D127" s="36"/>
    </row>
    <row r="128" spans="2:4" x14ac:dyDescent="0.25">
      <c r="B128" s="932"/>
      <c r="C128" s="868"/>
      <c r="D128" s="36"/>
    </row>
    <row r="129" spans="2:4" x14ac:dyDescent="0.25">
      <c r="B129" s="932"/>
      <c r="C129" s="868"/>
      <c r="D129" s="36"/>
    </row>
  </sheetData>
  <sheetProtection password="B79F" sheet="1" objects="1" scenarios="1"/>
  <mergeCells count="1">
    <mergeCell ref="B109:C110"/>
  </mergeCells>
  <pageMargins left="0.25" right="0.25" top="0.5" bottom="0.5" header="0.25" footer="0.25"/>
  <pageSetup paperSize="5" scale="73" orientation="portrait" r:id="rId1"/>
  <headerFooter>
    <oddHeader>&amp;L&amp;F</oddHeader>
    <oddFooter>&amp;R&amp;A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26"/>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1.7109375" style="146" customWidth="1"/>
    <col min="2" max="2" width="8.5703125" style="930" customWidth="1"/>
    <col min="3" max="3" width="18.28515625" style="857" customWidth="1"/>
    <col min="4" max="4" width="16" style="2" customWidth="1"/>
    <col min="5" max="5" width="17.7109375" style="857" hidden="1" customWidth="1"/>
    <col min="6" max="6" width="6" style="39" customWidth="1"/>
    <col min="7" max="7" width="9.7109375" style="52" bestFit="1" customWidth="1"/>
    <col min="8" max="8" width="13.85546875" style="122" bestFit="1" customWidth="1"/>
    <col min="9" max="9" width="26" style="868" hidden="1" customWidth="1"/>
    <col min="10" max="10" width="5.7109375" style="59" customWidth="1"/>
    <col min="11" max="11" width="9.42578125" style="377" bestFit="1" customWidth="1"/>
    <col min="12" max="12" width="14" style="123" bestFit="1" customWidth="1"/>
    <col min="13" max="13" width="26" style="857" hidden="1" customWidth="1"/>
    <col min="14" max="14" width="5.7109375" style="39" customWidth="1"/>
    <col min="15" max="15" width="9.42578125" style="377" bestFit="1" customWidth="1"/>
    <col min="16" max="16" width="14" style="2" bestFit="1" customWidth="1"/>
    <col min="17" max="17" width="24.85546875" style="857"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930" t="s">
        <v>61</v>
      </c>
      <c r="C1" s="933" t="s">
        <v>228</v>
      </c>
      <c r="D1" s="1044"/>
      <c r="E1" s="855"/>
      <c r="F1" s="98"/>
      <c r="G1" s="369"/>
      <c r="H1" s="1045"/>
      <c r="I1" s="855"/>
      <c r="K1" s="382"/>
      <c r="L1" s="122"/>
      <c r="M1" s="855"/>
      <c r="N1" s="51"/>
      <c r="O1" s="382"/>
      <c r="P1" s="122"/>
      <c r="Q1" s="855"/>
      <c r="T1" s="86">
        <v>0</v>
      </c>
      <c r="U1" s="98"/>
      <c r="X1" s="86">
        <v>0</v>
      </c>
      <c r="Y1" s="98"/>
      <c r="AB1" s="86">
        <v>0</v>
      </c>
      <c r="AC1" s="98"/>
    </row>
    <row r="2" spans="1:29" ht="17.25" x14ac:dyDescent="0.4">
      <c r="B2" s="932" t="s">
        <v>59</v>
      </c>
      <c r="C2" s="933">
        <v>6010</v>
      </c>
      <c r="D2" s="1045"/>
      <c r="E2" s="855"/>
      <c r="F2" s="98"/>
      <c r="G2" s="1863"/>
      <c r="H2" s="1045"/>
      <c r="I2" s="855"/>
      <c r="K2" s="382"/>
      <c r="L2" s="87"/>
      <c r="M2" s="855"/>
      <c r="N2" s="51"/>
      <c r="O2" s="382"/>
      <c r="P2" s="87"/>
      <c r="Q2" s="855"/>
      <c r="T2" s="87">
        <v>0</v>
      </c>
      <c r="U2" s="98"/>
      <c r="X2" s="87">
        <v>0</v>
      </c>
      <c r="Y2" s="98"/>
      <c r="AB2" s="87">
        <v>0</v>
      </c>
      <c r="AC2" s="98"/>
    </row>
    <row r="3" spans="1:29" x14ac:dyDescent="0.25">
      <c r="D3" s="1046"/>
      <c r="E3" s="867"/>
      <c r="F3" s="1047"/>
      <c r="G3" s="1864"/>
      <c r="H3" s="1046"/>
      <c r="I3" s="867"/>
      <c r="K3" s="382"/>
      <c r="L3" s="122"/>
      <c r="M3" s="868"/>
      <c r="N3" s="51"/>
      <c r="O3" s="382"/>
      <c r="P3" s="122"/>
      <c r="Q3" s="868"/>
      <c r="T3" s="86">
        <f>SUM(T1:T2)</f>
        <v>0</v>
      </c>
      <c r="U3" s="51"/>
      <c r="X3" s="86">
        <f>SUM(X1:X2)</f>
        <v>0</v>
      </c>
      <c r="Y3" s="51"/>
      <c r="AB3" s="86">
        <f>SUM(AB1:AB2)</f>
        <v>0</v>
      </c>
      <c r="AC3" s="51"/>
    </row>
    <row r="4" spans="1:29" x14ac:dyDescent="0.25">
      <c r="D4" s="36"/>
      <c r="E4" s="868"/>
      <c r="F4" s="51"/>
      <c r="G4" s="374"/>
      <c r="K4" s="382"/>
      <c r="L4" s="122"/>
      <c r="M4" s="868"/>
      <c r="N4" s="51"/>
      <c r="O4" s="382"/>
      <c r="P4" s="122"/>
      <c r="Q4" s="868"/>
      <c r="T4" s="86"/>
      <c r="U4" s="51"/>
      <c r="X4" s="86"/>
      <c r="Y4" s="51"/>
      <c r="AB4" s="86"/>
      <c r="AC4" s="51"/>
    </row>
    <row r="5" spans="1:29" ht="15.75" x14ac:dyDescent="0.25">
      <c r="B5" s="934" t="s">
        <v>56</v>
      </c>
      <c r="P5" s="123"/>
      <c r="T5" s="73"/>
      <c r="X5" s="73"/>
      <c r="AB5" s="73"/>
    </row>
    <row r="6" spans="1:29" s="89" customFormat="1" ht="15.75" x14ac:dyDescent="0.25">
      <c r="A6" s="147"/>
      <c r="B6" s="935"/>
      <c r="C6" s="935"/>
      <c r="D6" s="284" t="s">
        <v>55</v>
      </c>
      <c r="E6" s="858"/>
      <c r="G6" s="371"/>
      <c r="H6" s="324" t="str">
        <f>LEFT(D6,4)+1&amp;"-"&amp;RIGHT(D6,4)+1</f>
        <v>2017-2018</v>
      </c>
      <c r="I6" s="869"/>
      <c r="J6" s="93"/>
      <c r="K6" s="378"/>
      <c r="L6" s="124" t="str">
        <f>LEFT(H6,4)+1&amp;"-"&amp;RIGHT(H6,4)+1</f>
        <v>2018-2019</v>
      </c>
      <c r="M6" s="946"/>
      <c r="N6" s="96"/>
      <c r="O6" s="381"/>
      <c r="P6" s="124" t="str">
        <f>LEFT(L6,4)+1&amp;"-"&amp;RIGHT(L6,4)+1</f>
        <v>2019-2020</v>
      </c>
      <c r="Q6" s="94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936" t="s">
        <v>54</v>
      </c>
      <c r="D7" s="2">
        <v>0</v>
      </c>
      <c r="E7" s="928"/>
      <c r="H7" s="2">
        <f>D89</f>
        <v>0</v>
      </c>
      <c r="I7" s="928"/>
      <c r="J7" s="60"/>
      <c r="L7" s="2">
        <f>H89</f>
        <v>0</v>
      </c>
      <c r="M7" s="928"/>
      <c r="P7" s="2">
        <f>L89</f>
        <v>0</v>
      </c>
      <c r="Q7" s="928"/>
      <c r="T7" s="2">
        <f>P89</f>
        <v>0</v>
      </c>
      <c r="U7" s="105"/>
      <c r="X7" s="2">
        <f>T89</f>
        <v>-5897</v>
      </c>
      <c r="Y7" s="105"/>
      <c r="AB7" s="2">
        <f>X89</f>
        <v>-18343</v>
      </c>
      <c r="AC7" s="105"/>
    </row>
    <row r="8" spans="1:29" x14ac:dyDescent="0.25">
      <c r="E8" s="928"/>
      <c r="H8" s="2"/>
      <c r="I8" s="928"/>
      <c r="L8" s="2"/>
      <c r="M8" s="928"/>
      <c r="Q8" s="928"/>
      <c r="U8" s="105"/>
      <c r="Y8" s="105"/>
      <c r="AC8" s="105"/>
    </row>
    <row r="9" spans="1:29" x14ac:dyDescent="0.25">
      <c r="B9" s="930" t="s">
        <v>52</v>
      </c>
      <c r="C9" s="857" t="s">
        <v>53</v>
      </c>
      <c r="D9" s="2">
        <v>217800</v>
      </c>
      <c r="E9" s="928"/>
      <c r="G9" s="83">
        <f>IF(D9=0,"0.00%",(H9-D9)/D9)</f>
        <v>0</v>
      </c>
      <c r="H9" s="3">
        <f>+D9</f>
        <v>217800</v>
      </c>
      <c r="I9" s="928" t="s">
        <v>174</v>
      </c>
      <c r="J9" s="61"/>
      <c r="K9" s="83">
        <f>IF(H9=0,"0.00%",(L9-H9)/H9)</f>
        <v>0</v>
      </c>
      <c r="L9" s="3">
        <f>+H9</f>
        <v>217800</v>
      </c>
      <c r="M9" s="928" t="s">
        <v>174</v>
      </c>
      <c r="O9" s="83">
        <f>IF(L9=0,"0.00%",(P9-L9)/L9)</f>
        <v>0</v>
      </c>
      <c r="P9" s="3">
        <f>+L9</f>
        <v>217800</v>
      </c>
      <c r="Q9" s="928" t="s">
        <v>174</v>
      </c>
      <c r="S9" s="83">
        <f>IF(P9=0,"0.00%",(T9-P9)/P9)</f>
        <v>0</v>
      </c>
      <c r="T9" s="3">
        <f>+P9</f>
        <v>217800</v>
      </c>
      <c r="U9" s="105"/>
      <c r="W9" s="83">
        <f>IF(T9=0,"0.00%",(X9-T9)/T9)</f>
        <v>0</v>
      </c>
      <c r="X9" s="3">
        <f>+T9</f>
        <v>217800</v>
      </c>
      <c r="Y9" s="105"/>
      <c r="AA9" s="83">
        <f>IF(X9=0,"0.00%",(AB9-X9)/X9)</f>
        <v>0</v>
      </c>
      <c r="AB9" s="3">
        <f>+X9:X10</f>
        <v>217800</v>
      </c>
      <c r="AC9" s="105"/>
    </row>
    <row r="10" spans="1:29" x14ac:dyDescent="0.25">
      <c r="C10" s="857" t="s">
        <v>51</v>
      </c>
      <c r="D10" s="2">
        <v>0</v>
      </c>
      <c r="E10" s="928"/>
      <c r="G10" s="83" t="str">
        <f t="shared" ref="G10:G15" si="0">IF(D10=0,"0.00%",(H10-D10)/D10)</f>
        <v>0.00%</v>
      </c>
      <c r="H10" s="3">
        <v>0</v>
      </c>
      <c r="I10" s="928"/>
      <c r="J10" s="61"/>
      <c r="K10" s="83" t="str">
        <f>IF(H10=0,"0.00%",(L10-H10)/H10)</f>
        <v>0.00%</v>
      </c>
      <c r="L10" s="3">
        <f>-H2</f>
        <v>0</v>
      </c>
      <c r="M10" s="928"/>
      <c r="O10" s="83" t="str">
        <f>IF(L10=0,"0.00%",(P10-L10)/L10)</f>
        <v>0.00%</v>
      </c>
      <c r="P10" s="3">
        <f>-L2</f>
        <v>0</v>
      </c>
      <c r="Q10" s="928"/>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936" t="s">
        <v>137</v>
      </c>
      <c r="D11" s="8">
        <f>SUM(D9:D10)</f>
        <v>217800</v>
      </c>
      <c r="E11" s="928"/>
      <c r="G11" s="83">
        <f t="shared" si="0"/>
        <v>0</v>
      </c>
      <c r="H11" s="8">
        <f>SUM(H9:H10)</f>
        <v>217800</v>
      </c>
      <c r="I11" s="1292">
        <f>+H11-D11</f>
        <v>0</v>
      </c>
      <c r="J11" s="62"/>
      <c r="K11" s="83">
        <f>IF(H11=0,"0.00%",(L11-H11)/H11)</f>
        <v>0</v>
      </c>
      <c r="L11" s="8">
        <f>SUM(L9:L10)</f>
        <v>217800</v>
      </c>
      <c r="M11" s="1292">
        <f>+L11-H11</f>
        <v>0</v>
      </c>
      <c r="O11" s="83">
        <f>IF(L11=0,"0.00%",(P11-L11)/L11)</f>
        <v>0</v>
      </c>
      <c r="P11" s="8">
        <f>SUM(P9:P10)</f>
        <v>217800</v>
      </c>
      <c r="Q11" s="1292">
        <f>+P11-L11</f>
        <v>0</v>
      </c>
      <c r="S11" s="83">
        <f>IF(P11=0,"0.00%",(T11-P11)/P11)</f>
        <v>0</v>
      </c>
      <c r="T11" s="78">
        <f>SUM(T9:T10)</f>
        <v>217800</v>
      </c>
      <c r="U11" s="105"/>
      <c r="W11" s="83">
        <f>IF(T11=0,"0.00%",(X11-T11)/T11)</f>
        <v>0</v>
      </c>
      <c r="X11" s="78">
        <f>SUM(X9:X10)</f>
        <v>217800</v>
      </c>
      <c r="Y11" s="105"/>
      <c r="AA11" s="83">
        <f>IF(X11=0,"0.00%",(AB11-X11)/X11)</f>
        <v>0</v>
      </c>
      <c r="AB11" s="78">
        <f>SUM(AB9:AB10)</f>
        <v>217800</v>
      </c>
      <c r="AC11" s="105"/>
    </row>
    <row r="12" spans="1:29" x14ac:dyDescent="0.25">
      <c r="E12" s="928"/>
      <c r="H12" s="3"/>
      <c r="I12" s="928"/>
      <c r="J12" s="63"/>
      <c r="K12" s="52"/>
      <c r="L12" s="3"/>
      <c r="M12" s="928"/>
      <c r="O12" s="52"/>
      <c r="P12" s="3"/>
      <c r="Q12" s="928"/>
      <c r="S12" s="46"/>
      <c r="T12" s="44"/>
      <c r="U12" s="105"/>
      <c r="W12" s="46"/>
      <c r="X12" s="44"/>
      <c r="Y12" s="105"/>
      <c r="AA12" s="46"/>
      <c r="AB12" s="44"/>
      <c r="AC12" s="105"/>
    </row>
    <row r="13" spans="1:29" x14ac:dyDescent="0.25">
      <c r="C13" s="938" t="s">
        <v>64</v>
      </c>
      <c r="D13" s="9">
        <f>ROUND(D11-(D11/(1+E13)),2)</f>
        <v>7771.07</v>
      </c>
      <c r="E13" s="1032">
        <v>3.6999999999999998E-2</v>
      </c>
      <c r="G13" s="83">
        <f t="shared" si="0"/>
        <v>0.30110782685009918</v>
      </c>
      <c r="H13" s="9">
        <v>10111</v>
      </c>
      <c r="I13" s="1051">
        <v>4.4400000000000002E-2</v>
      </c>
      <c r="J13" s="64"/>
      <c r="K13" s="83">
        <f>IF(H13=0,"0.00%",(L13-H13)/H13)</f>
        <v>-8.4264662249035699E-2</v>
      </c>
      <c r="L13" s="9">
        <f>ROUND(L11-(L11/(1+M13)),0)</f>
        <v>9259</v>
      </c>
      <c r="M13" s="1051">
        <v>4.4400000000000002E-2</v>
      </c>
      <c r="O13" s="83">
        <f>IF(L13=0,"0.00%",(P13-L13)/L13)</f>
        <v>0</v>
      </c>
      <c r="P13" s="9">
        <f>ROUND(P11-(P11/(1+Q13)),0)</f>
        <v>9259</v>
      </c>
      <c r="Q13" s="1051">
        <v>4.4400000000000002E-2</v>
      </c>
      <c r="S13" s="83">
        <f>IF(P13=0,"0.00%",(T13-P13)/P13)</f>
        <v>-0.16070849983799546</v>
      </c>
      <c r="T13" s="77">
        <f>ROUND(T11-(T11/(1+E13)),0)</f>
        <v>7771</v>
      </c>
      <c r="U13" s="105"/>
      <c r="W13" s="83">
        <f>IF(T13=0,"0.00%",(X13-T13)/T13)</f>
        <v>0</v>
      </c>
      <c r="X13" s="77">
        <f>ROUND(X11-(X11/(1+E13)),0)</f>
        <v>7771</v>
      </c>
      <c r="Y13" s="105"/>
      <c r="AA13" s="83">
        <f>IF(X13=0,"0.00%",(AB13-X13)/X13)</f>
        <v>5.486166516535838</v>
      </c>
      <c r="AB13" s="77">
        <f>ROUND(AB11-(AB11/(1+G13)),0)</f>
        <v>50404</v>
      </c>
      <c r="AC13" s="105"/>
    </row>
    <row r="14" spans="1:29" x14ac:dyDescent="0.25">
      <c r="E14" s="928"/>
      <c r="H14" s="3"/>
      <c r="I14" s="928" t="s">
        <v>1003</v>
      </c>
      <c r="J14" s="63"/>
      <c r="K14" s="52"/>
      <c r="L14" s="3"/>
      <c r="M14" s="928"/>
      <c r="O14" s="52"/>
      <c r="P14" s="3"/>
      <c r="Q14" s="928"/>
      <c r="S14" s="46"/>
      <c r="T14" s="44"/>
      <c r="U14" s="105"/>
      <c r="W14" s="46"/>
      <c r="X14" s="44"/>
      <c r="Y14" s="105"/>
      <c r="AA14" s="46"/>
      <c r="AB14" s="44"/>
      <c r="AC14" s="105"/>
    </row>
    <row r="15" spans="1:29" x14ac:dyDescent="0.25">
      <c r="B15" s="936" t="s">
        <v>50</v>
      </c>
      <c r="D15" s="10">
        <f>D11-D13</f>
        <v>210028.93</v>
      </c>
      <c r="E15" s="928"/>
      <c r="G15" s="83">
        <f t="shared" si="0"/>
        <v>-1.1140989005657426E-2</v>
      </c>
      <c r="H15" s="9">
        <f>H11-H13</f>
        <v>207689</v>
      </c>
      <c r="I15" s="1292">
        <f>+H15-D15</f>
        <v>-2339.929999999993</v>
      </c>
      <c r="J15" s="62"/>
      <c r="K15" s="83">
        <f>IF(H15=0,"0.00%",(L15-H15)/H15)</f>
        <v>4.1022875549499493E-3</v>
      </c>
      <c r="L15" s="9">
        <f>L11-L13</f>
        <v>208541</v>
      </c>
      <c r="M15" s="1292">
        <f>+L15-H15</f>
        <v>852</v>
      </c>
      <c r="O15" s="83">
        <f>IF(L15=0,"0.00%",(P15-L15)/L15)</f>
        <v>0</v>
      </c>
      <c r="P15" s="9">
        <f>P11-P13</f>
        <v>208541</v>
      </c>
      <c r="Q15" s="1292">
        <f>+P15-L15</f>
        <v>0</v>
      </c>
      <c r="S15" s="83">
        <f>IF(P15=0,"0.00%",(T15-P15)/P15)</f>
        <v>7.1352875453747702E-3</v>
      </c>
      <c r="T15" s="19">
        <f>T11-T13</f>
        <v>210029</v>
      </c>
      <c r="U15" s="105"/>
      <c r="W15" s="83">
        <f>IF(T15=0,"0.00%",(X15-T15)/T15)</f>
        <v>0</v>
      </c>
      <c r="X15" s="19">
        <f>X11-X13</f>
        <v>210029</v>
      </c>
      <c r="Y15" s="105"/>
      <c r="AA15" s="83">
        <f>IF(X15=0,"0.00%",(AB15-X15)/X15)</f>
        <v>-0.20298625427917097</v>
      </c>
      <c r="AB15" s="19">
        <f>AB11-AB13</f>
        <v>167396</v>
      </c>
      <c r="AC15" s="105"/>
    </row>
    <row r="16" spans="1:29" x14ac:dyDescent="0.25">
      <c r="E16" s="928"/>
      <c r="H16" s="3"/>
      <c r="I16" s="928"/>
      <c r="J16" s="62"/>
      <c r="L16" s="3"/>
      <c r="M16" s="928"/>
      <c r="P16" s="3"/>
      <c r="Q16" s="928"/>
      <c r="T16" s="49"/>
      <c r="U16" s="105"/>
      <c r="X16" s="49"/>
      <c r="Y16" s="105"/>
      <c r="AB16" s="49"/>
      <c r="AC16" s="105"/>
    </row>
    <row r="17" spans="1:29" x14ac:dyDescent="0.25">
      <c r="C17" s="930"/>
      <c r="E17" s="928"/>
      <c r="H17" s="3"/>
      <c r="I17" s="928"/>
      <c r="J17" s="63"/>
      <c r="L17" s="3"/>
      <c r="M17" s="928"/>
      <c r="P17" s="3"/>
      <c r="Q17" s="928"/>
      <c r="T17" s="44"/>
      <c r="U17" s="105"/>
      <c r="X17" s="44"/>
      <c r="Y17" s="105"/>
      <c r="AB17" s="44"/>
      <c r="AC17" s="105"/>
    </row>
    <row r="18" spans="1:29" x14ac:dyDescent="0.25">
      <c r="A18" s="148"/>
      <c r="D18" s="29" t="s">
        <v>826</v>
      </c>
      <c r="E18" s="929"/>
      <c r="F18" s="32"/>
      <c r="H18" s="29" t="s">
        <v>177</v>
      </c>
      <c r="I18" s="929"/>
      <c r="J18" s="65"/>
      <c r="M18" s="929"/>
      <c r="Q18" s="929"/>
      <c r="U18" s="106"/>
      <c r="Y18" s="106"/>
      <c r="AC18" s="106"/>
    </row>
    <row r="19" spans="1:29" ht="17.25" x14ac:dyDescent="0.4">
      <c r="A19" s="149"/>
      <c r="D19" s="35" t="s">
        <v>827</v>
      </c>
      <c r="E19" s="860"/>
      <c r="F19" s="34"/>
      <c r="H19" s="35" t="s">
        <v>48</v>
      </c>
      <c r="I19" s="870"/>
      <c r="J19" s="29"/>
      <c r="L19" s="14" t="s">
        <v>48</v>
      </c>
      <c r="M19" s="1003">
        <v>0.02</v>
      </c>
      <c r="N19" s="377"/>
      <c r="P19" s="1059" t="s">
        <v>48</v>
      </c>
      <c r="Q19" s="1003">
        <v>0.02</v>
      </c>
      <c r="T19" s="14" t="s">
        <v>48</v>
      </c>
      <c r="U19" s="104">
        <v>0.02</v>
      </c>
      <c r="X19" s="14" t="s">
        <v>48</v>
      </c>
      <c r="Y19" s="104">
        <v>0.02</v>
      </c>
      <c r="AB19" s="14" t="s">
        <v>48</v>
      </c>
      <c r="AC19" s="104">
        <v>0.02</v>
      </c>
    </row>
    <row r="20" spans="1:29" s="13" customFormat="1" x14ac:dyDescent="0.25">
      <c r="A20" s="150"/>
      <c r="B20" s="936" t="s">
        <v>46</v>
      </c>
      <c r="C20" s="938"/>
      <c r="D20" s="10"/>
      <c r="E20" s="861"/>
      <c r="F20" s="10"/>
      <c r="G20" s="372"/>
      <c r="H20" s="10"/>
      <c r="I20" s="864"/>
      <c r="J20" s="57"/>
      <c r="K20" s="379"/>
      <c r="L20" s="10"/>
      <c r="M20" s="947"/>
      <c r="O20" s="379"/>
      <c r="P20" s="10"/>
      <c r="Q20" s="947"/>
      <c r="R20" s="111"/>
      <c r="T20" s="10"/>
      <c r="U20" s="74"/>
      <c r="X20" s="10"/>
      <c r="Y20" s="74"/>
      <c r="AB20" s="10"/>
      <c r="AC20" s="74"/>
    </row>
    <row r="21" spans="1:29" x14ac:dyDescent="0.25">
      <c r="A21" s="151"/>
      <c r="B21" s="939">
        <v>1110</v>
      </c>
      <c r="C21" s="857" t="s">
        <v>229</v>
      </c>
      <c r="D21" s="2">
        <v>2623.33</v>
      </c>
      <c r="E21" s="863"/>
      <c r="F21" s="2"/>
      <c r="G21" s="83">
        <f t="shared" ref="G21:G30" si="1">IF(D21=0,"0.00%",(H21-D21)/D21)</f>
        <v>0.52477957405282605</v>
      </c>
      <c r="H21" s="2">
        <v>4000</v>
      </c>
      <c r="I21" s="854"/>
      <c r="J21" s="66"/>
      <c r="K21" s="83">
        <f t="shared" ref="K21:K27" si="2">IF(H21=0,"0.00%",(L21-H21)/H21)</f>
        <v>0</v>
      </c>
      <c r="L21" s="2">
        <f>+H21</f>
        <v>4000</v>
      </c>
      <c r="M21" s="871" t="s">
        <v>174</v>
      </c>
      <c r="O21" s="83">
        <f t="shared" ref="O21:O27" si="3">IF(L21=0,"0.00%",(P21-L21)/L21)</f>
        <v>0</v>
      </c>
      <c r="P21" s="2">
        <f>+L21</f>
        <v>4000</v>
      </c>
      <c r="Q21" s="871" t="s">
        <v>174</v>
      </c>
      <c r="S21" s="83">
        <f t="shared" ref="S21:S27" si="4">IF(P21=0,"0.00%",(T21-P21)/P21)</f>
        <v>0.02</v>
      </c>
      <c r="T21" s="2">
        <f>ROUND(P21*(1+U19),0)</f>
        <v>4080</v>
      </c>
      <c r="U21" s="36" t="str">
        <f>TEXT(U19,"0.0%")&amp;" = Est. S &amp; C"</f>
        <v>2.0% = Est. S &amp; C</v>
      </c>
      <c r="W21" s="83">
        <f t="shared" ref="W21:W27" si="5">IF(T21=0,"0.00%",(X21-T21)/T21)</f>
        <v>2.0098039215686276E-2</v>
      </c>
      <c r="X21" s="2">
        <f>ROUND(T21*(1+Y19),0)</f>
        <v>4162</v>
      </c>
      <c r="Y21" s="36" t="str">
        <f>TEXT(Y19,"0.0%")&amp;" = Est. S &amp; C"</f>
        <v>2.0% = Est. S &amp; C</v>
      </c>
      <c r="AA21" s="83">
        <f t="shared" ref="AA21:AA27" si="6">IF(X21=0,"0.00%",(AB21-X21)/X21)</f>
        <v>1.9942335415665546E-2</v>
      </c>
      <c r="AB21" s="2">
        <f>ROUND(X21*(1+AC19),0)</f>
        <v>4245</v>
      </c>
      <c r="AC21" s="36" t="str">
        <f>TEXT(AC19,"0.0%")&amp;" = Est. S &amp; C"</f>
        <v>2.0% = Est. S &amp; C</v>
      </c>
    </row>
    <row r="22" spans="1:29" x14ac:dyDescent="0.25">
      <c r="A22" s="152"/>
      <c r="B22" s="939"/>
      <c r="D22" s="2">
        <v>0</v>
      </c>
      <c r="E22" s="863"/>
      <c r="F22" s="2"/>
      <c r="G22" s="83" t="str">
        <f t="shared" si="1"/>
        <v>0.00%</v>
      </c>
      <c r="H22" s="2">
        <v>0</v>
      </c>
      <c r="I22" s="871"/>
      <c r="J22" s="66"/>
      <c r="K22" s="83" t="str">
        <f t="shared" si="2"/>
        <v>0.00%</v>
      </c>
      <c r="L22" s="2">
        <f>+H22</f>
        <v>0</v>
      </c>
      <c r="M22" s="871"/>
      <c r="O22" s="83" t="str">
        <f t="shared" si="3"/>
        <v>0.00%</v>
      </c>
      <c r="P22" s="2">
        <f>+L22</f>
        <v>0</v>
      </c>
      <c r="Q22" s="871">
        <f>+M22</f>
        <v>0</v>
      </c>
      <c r="S22" s="83" t="str">
        <f t="shared" si="4"/>
        <v>0.00%</v>
      </c>
      <c r="T22" s="2">
        <f>ROUND(P22*(1+U19),0)</f>
        <v>0</v>
      </c>
      <c r="U22" s="36" t="str">
        <f>TEXT(U19,"0.0%")&amp;" = Est. S &amp; C"</f>
        <v>2.0% = Est. S &amp; C</v>
      </c>
      <c r="W22" s="83" t="str">
        <f t="shared" si="5"/>
        <v>0.00%</v>
      </c>
      <c r="X22" s="2">
        <f>ROUND(T22*(1+Y19),0)</f>
        <v>0</v>
      </c>
      <c r="Y22" s="36" t="str">
        <f>TEXT(Y19,"0.0%")&amp;" = Est. S &amp; C"</f>
        <v>2.0% = Est. S &amp; C</v>
      </c>
      <c r="AA22" s="83" t="str">
        <f t="shared" si="6"/>
        <v>0.00%</v>
      </c>
      <c r="AB22" s="2">
        <f>ROUND(X22*(1+AC19),0)</f>
        <v>0</v>
      </c>
      <c r="AC22" s="36" t="str">
        <f>TEXT(AC19,"0.0%")&amp;" = Est. S &amp; C"</f>
        <v>2.0% = Est. S &amp; C</v>
      </c>
    </row>
    <row r="23" spans="1:29" hidden="1" x14ac:dyDescent="0.25">
      <c r="A23" s="152"/>
      <c r="B23" s="939"/>
      <c r="D23" s="2">
        <v>0</v>
      </c>
      <c r="E23" s="863"/>
      <c r="F23" s="2"/>
      <c r="G23" s="83" t="str">
        <f t="shared" si="1"/>
        <v>0.00%</v>
      </c>
      <c r="H23" s="2">
        <f t="shared" ref="H23:H27" si="7">ROUND(D23*(1+$I$19),0)</f>
        <v>0</v>
      </c>
      <c r="I23" s="871" t="str">
        <f t="shared" ref="I23:I28" si="8">TEXT($I$19,"0.0%")&amp;" = Est. S &amp; C"</f>
        <v>0.0% = Est. S &amp; C</v>
      </c>
      <c r="J23" s="66"/>
      <c r="K23" s="83" t="str">
        <f t="shared" si="2"/>
        <v>0.00%</v>
      </c>
      <c r="L23" s="2">
        <f>ROUND(H23*(1+M19),0)</f>
        <v>0</v>
      </c>
      <c r="M23" s="871" t="str">
        <f>TEXT(M19,"0.0%")&amp;" = Est. S &amp; C"</f>
        <v>2.0% = Est. S &amp; C</v>
      </c>
      <c r="O23" s="83" t="str">
        <f t="shared" si="3"/>
        <v>0.00%</v>
      </c>
      <c r="P23" s="2">
        <f>ROUND(L23*(1+Q19),0)</f>
        <v>0</v>
      </c>
      <c r="Q23" s="871" t="str">
        <f>TEXT(Q19,"0.0%")&amp;" = Est. S &amp; C"</f>
        <v>2.0% = Est. S &amp; C</v>
      </c>
      <c r="S23" s="83" t="str">
        <f t="shared" si="4"/>
        <v>0.00%</v>
      </c>
      <c r="T23" s="2">
        <f>ROUND(P23*(1+U19),0)</f>
        <v>0</v>
      </c>
      <c r="U23" s="36" t="str">
        <f>TEXT(U19,"0.0%")&amp;" = Est. S &amp; C"</f>
        <v>2.0% = Est. S &amp; C</v>
      </c>
      <c r="W23" s="83" t="str">
        <f t="shared" si="5"/>
        <v>0.00%</v>
      </c>
      <c r="X23" s="2">
        <f>ROUND(T23*(1+Y19),0)</f>
        <v>0</v>
      </c>
      <c r="Y23" s="36" t="str">
        <f>TEXT(Y19,"0.0%")&amp;" = Est. S &amp; C"</f>
        <v>2.0% = Est. S &amp; C</v>
      </c>
      <c r="AA23" s="83" t="str">
        <f t="shared" si="6"/>
        <v>0.00%</v>
      </c>
      <c r="AB23" s="2">
        <f>ROUND(X23*(1+AC19),0)</f>
        <v>0</v>
      </c>
      <c r="AC23" s="36" t="str">
        <f>TEXT(AC19,"0.0%")&amp;" = Est. S &amp; C"</f>
        <v>2.0% = Est. S &amp; C</v>
      </c>
    </row>
    <row r="24" spans="1:29" hidden="1" x14ac:dyDescent="0.25">
      <c r="A24" s="152"/>
      <c r="B24" s="939"/>
      <c r="D24" s="2">
        <v>0</v>
      </c>
      <c r="E24" s="863"/>
      <c r="F24" s="2"/>
      <c r="G24" s="83" t="str">
        <f t="shared" si="1"/>
        <v>0.00%</v>
      </c>
      <c r="H24" s="2">
        <f t="shared" si="7"/>
        <v>0</v>
      </c>
      <c r="I24" s="871" t="str">
        <f t="shared" si="8"/>
        <v>0.0% = Est. S &amp; C</v>
      </c>
      <c r="J24" s="66"/>
      <c r="K24" s="83" t="str">
        <f t="shared" si="2"/>
        <v>0.00%</v>
      </c>
      <c r="L24" s="2">
        <f>ROUND(H24*(1+M19),0)</f>
        <v>0</v>
      </c>
      <c r="M24" s="871" t="str">
        <f>TEXT(M19,"0.0%")&amp;" = Est. S &amp; C"</f>
        <v>2.0% = Est. S &amp; C</v>
      </c>
      <c r="O24" s="83" t="str">
        <f t="shared" si="3"/>
        <v>0.00%</v>
      </c>
      <c r="P24" s="2">
        <f>ROUND(L24*(1+Q19),0)</f>
        <v>0</v>
      </c>
      <c r="Q24" s="871" t="str">
        <f>TEXT(Q19,"0.0%")&amp;" = Est. S &amp; C"</f>
        <v>2.0% = Est. S &amp; C</v>
      </c>
      <c r="S24" s="83" t="str">
        <f t="shared" si="4"/>
        <v>0.00%</v>
      </c>
      <c r="T24" s="2">
        <f>ROUND(P24*(1+U19),0)</f>
        <v>0</v>
      </c>
      <c r="U24" s="36" t="str">
        <f>TEXT(U19,"0.0%")&amp;" = Est. S &amp; C"</f>
        <v>2.0% = Est. S &amp; C</v>
      </c>
      <c r="W24" s="83" t="str">
        <f t="shared" si="5"/>
        <v>0.00%</v>
      </c>
      <c r="X24" s="2">
        <f>ROUND(T24*(1+Y19),0)</f>
        <v>0</v>
      </c>
      <c r="Y24" s="36" t="str">
        <f>TEXT(Y19,"0.0%")&amp;" = Est. S &amp; C"</f>
        <v>2.0% = Est. S &amp; C</v>
      </c>
      <c r="AA24" s="83" t="str">
        <f t="shared" si="6"/>
        <v>0.00%</v>
      </c>
      <c r="AB24" s="2">
        <f>ROUND(X24*(1+AC19),0)</f>
        <v>0</v>
      </c>
      <c r="AC24" s="36" t="str">
        <f>TEXT(AC19,"0.0%")&amp;" = Est. S &amp; C"</f>
        <v>2.0% = Est. S &amp; C</v>
      </c>
    </row>
    <row r="25" spans="1:29" hidden="1" x14ac:dyDescent="0.25">
      <c r="A25" s="152"/>
      <c r="B25" s="939"/>
      <c r="D25" s="2">
        <v>0</v>
      </c>
      <c r="E25" s="863"/>
      <c r="F25" s="2"/>
      <c r="G25" s="83" t="str">
        <f t="shared" si="1"/>
        <v>0.00%</v>
      </c>
      <c r="H25" s="2">
        <f t="shared" si="7"/>
        <v>0</v>
      </c>
      <c r="I25" s="871" t="str">
        <f t="shared" si="8"/>
        <v>0.0% = Est. S &amp; C</v>
      </c>
      <c r="J25" s="66"/>
      <c r="K25" s="83" t="str">
        <f t="shared" si="2"/>
        <v>0.00%</v>
      </c>
      <c r="L25" s="2">
        <f>ROUND(H25*(1+M19),0)</f>
        <v>0</v>
      </c>
      <c r="M25" s="871" t="str">
        <f>TEXT(M19,"0.0%")&amp;" = Est. S &amp; C"</f>
        <v>2.0% = Est. S &amp; C</v>
      </c>
      <c r="O25" s="83" t="str">
        <f t="shared" si="3"/>
        <v>0.00%</v>
      </c>
      <c r="P25" s="2">
        <f>ROUND(L25*(1+Q19),0)</f>
        <v>0</v>
      </c>
      <c r="Q25" s="871" t="str">
        <f>TEXT(Q19,"0.0%")&amp;" = Est. S &amp; C"</f>
        <v>2.0% = Est. S &amp; C</v>
      </c>
      <c r="S25" s="83" t="str">
        <f t="shared" si="4"/>
        <v>0.00%</v>
      </c>
      <c r="T25" s="2">
        <f>ROUND(P25*(1+U19),0)</f>
        <v>0</v>
      </c>
      <c r="U25" s="36" t="str">
        <f>TEXT(U19,"0.0%")&amp;" = Est. S &amp; C"</f>
        <v>2.0% = Est. S &amp; C</v>
      </c>
      <c r="W25" s="83" t="str">
        <f t="shared" si="5"/>
        <v>0.00%</v>
      </c>
      <c r="X25" s="2">
        <f>ROUND(T25*(1+Y19),0)</f>
        <v>0</v>
      </c>
      <c r="Y25" s="36" t="str">
        <f>TEXT(Y19,"0.0%")&amp;" = Est. S &amp; C"</f>
        <v>2.0% = Est. S &amp; C</v>
      </c>
      <c r="AA25" s="83" t="str">
        <f t="shared" si="6"/>
        <v>0.00%</v>
      </c>
      <c r="AB25" s="2">
        <f>ROUND(X25*(1+AC19),0)</f>
        <v>0</v>
      </c>
      <c r="AC25" s="36" t="str">
        <f>TEXT(AC19,"0.0%")&amp;" = Est. S &amp; C"</f>
        <v>2.0% = Est. S &amp; C</v>
      </c>
    </row>
    <row r="26" spans="1:29" hidden="1" x14ac:dyDescent="0.25">
      <c r="A26" s="152"/>
      <c r="B26" s="939"/>
      <c r="D26" s="2">
        <v>0</v>
      </c>
      <c r="E26" s="863"/>
      <c r="F26" s="2"/>
      <c r="G26" s="83" t="str">
        <f t="shared" si="1"/>
        <v>0.00%</v>
      </c>
      <c r="H26" s="2">
        <f t="shared" si="7"/>
        <v>0</v>
      </c>
      <c r="I26" s="871" t="str">
        <f t="shared" si="8"/>
        <v>0.0% = Est. S &amp; C</v>
      </c>
      <c r="J26" s="66"/>
      <c r="K26" s="83" t="str">
        <f t="shared" si="2"/>
        <v>0.00%</v>
      </c>
      <c r="L26" s="2">
        <f>ROUND(H26*(1+M19),0)</f>
        <v>0</v>
      </c>
      <c r="M26" s="382" t="str">
        <f>TEXT(M19,"0.0%")&amp;" = Est. S &amp; C"</f>
        <v>2.0% = Est. S &amp; C</v>
      </c>
      <c r="O26" s="83" t="str">
        <f t="shared" si="3"/>
        <v>0.00%</v>
      </c>
      <c r="P26" s="2">
        <f>ROUND(L26*(1+Q19),0)</f>
        <v>0</v>
      </c>
      <c r="Q26" s="871" t="str">
        <f>TEXT(Q19,"0.0%")&amp;" = Est. S &amp; C"</f>
        <v>2.0% = Est. S &amp; C</v>
      </c>
      <c r="S26" s="83" t="str">
        <f t="shared" si="4"/>
        <v>0.00%</v>
      </c>
      <c r="T26" s="2">
        <f>ROUND(P26*(1+U19),0)</f>
        <v>0</v>
      </c>
      <c r="U26" s="36" t="str">
        <f>TEXT(U19,"0.0%")&amp;" = Est. S &amp; C"</f>
        <v>2.0% = Est. S &amp; C</v>
      </c>
      <c r="W26" s="83" t="str">
        <f t="shared" si="5"/>
        <v>0.00%</v>
      </c>
      <c r="X26" s="2">
        <f>ROUND(T26*(1+Y19),0)</f>
        <v>0</v>
      </c>
      <c r="Y26" s="36" t="str">
        <f>TEXT(Y19,"0.0%")&amp;" = Est. S &amp; C"</f>
        <v>2.0% = Est. S &amp; C</v>
      </c>
      <c r="AA26" s="83" t="str">
        <f t="shared" si="6"/>
        <v>0.00%</v>
      </c>
      <c r="AB26" s="2">
        <f>ROUND(X26*(1+AC19),0)</f>
        <v>0</v>
      </c>
      <c r="AC26" s="36" t="str">
        <f>TEXT(AC19,"0.0%")&amp;" = Est. S &amp; C"</f>
        <v>2.0% = Est. S &amp; C</v>
      </c>
    </row>
    <row r="27" spans="1:29" hidden="1" x14ac:dyDescent="0.25">
      <c r="A27" s="152"/>
      <c r="B27" s="939"/>
      <c r="D27" s="2">
        <v>0</v>
      </c>
      <c r="E27" s="863"/>
      <c r="F27" s="2"/>
      <c r="G27" s="83" t="str">
        <f t="shared" si="1"/>
        <v>0.00%</v>
      </c>
      <c r="H27" s="2">
        <f t="shared" si="7"/>
        <v>0</v>
      </c>
      <c r="I27" s="871" t="str">
        <f t="shared" si="8"/>
        <v>0.0% = Est. S &amp; C</v>
      </c>
      <c r="J27" s="66"/>
      <c r="K27" s="83" t="str">
        <f t="shared" si="2"/>
        <v>0.00%</v>
      </c>
      <c r="L27" s="2">
        <f>ROUND(H27*(1+M19),0)</f>
        <v>0</v>
      </c>
      <c r="M27" s="871" t="str">
        <f>TEXT(M19,"0.0%")&amp;" = Est. S &amp; C"</f>
        <v>2.0% = Est. S &amp; C</v>
      </c>
      <c r="O27" s="83" t="str">
        <f t="shared" si="3"/>
        <v>0.00%</v>
      </c>
      <c r="P27" s="2">
        <f>ROUND(L27*(1+Q19),0)</f>
        <v>0</v>
      </c>
      <c r="Q27" s="871" t="str">
        <f>TEXT(Q19,"0.0%")&amp;" = Est. S &amp; C"</f>
        <v>2.0% = Est. S &amp; C</v>
      </c>
      <c r="S27" s="83" t="str">
        <f t="shared" si="4"/>
        <v>0.00%</v>
      </c>
      <c r="T27" s="2">
        <f>ROUND(P27*(1+U19),0)</f>
        <v>0</v>
      </c>
      <c r="U27" s="36" t="str">
        <f>TEXT(U19,"0.0%")&amp;" = Est. S &amp; C"</f>
        <v>2.0% = Est. S &amp; C</v>
      </c>
      <c r="W27" s="83" t="str">
        <f t="shared" si="5"/>
        <v>0.00%</v>
      </c>
      <c r="X27" s="2">
        <f>ROUND(T27*(1+Y19),0)</f>
        <v>0</v>
      </c>
      <c r="Y27" s="36" t="str">
        <f>TEXT(Y19,"0.0%")&amp;" = Est. S &amp; C"</f>
        <v>2.0% = Est. S &amp; C</v>
      </c>
      <c r="AA27" s="83" t="str">
        <f t="shared" si="6"/>
        <v>0.00%</v>
      </c>
      <c r="AB27" s="2">
        <f>ROUND(X27*(1+AC19),0)</f>
        <v>0</v>
      </c>
      <c r="AC27" s="36" t="str">
        <f>TEXT(AC19,"0.0%")&amp;" = Est. S &amp; C"</f>
        <v>2.0% = Est. S &amp; C</v>
      </c>
    </row>
    <row r="28" spans="1:29" hidden="1" x14ac:dyDescent="0.25">
      <c r="A28" s="152"/>
      <c r="B28" s="939"/>
      <c r="D28" s="2">
        <v>0</v>
      </c>
      <c r="E28" s="863"/>
      <c r="F28" s="2"/>
      <c r="G28" s="83" t="str">
        <f>IF(D28=0,"0.00%",(H28-D28)/D28)</f>
        <v>0.00%</v>
      </c>
      <c r="H28" s="2">
        <f>ROUND(D28*(1+$I$19),0)</f>
        <v>0</v>
      </c>
      <c r="I28" s="871" t="str">
        <f t="shared" si="8"/>
        <v>0.0% = Est. S &amp; C</v>
      </c>
      <c r="J28" s="66"/>
      <c r="K28" s="83" t="str">
        <f>IF(H28=0,"0.00%",(L28-H28)/H28)</f>
        <v>0.00%</v>
      </c>
      <c r="L28" s="2">
        <f>ROUND(H28*(1+M20),0)</f>
        <v>0</v>
      </c>
      <c r="M28" s="871" t="str">
        <f>TEXT(M20,"0.0%")&amp;" = Est. S &amp; C"</f>
        <v>0.0% = Est. S &amp; C</v>
      </c>
      <c r="O28" s="83" t="str">
        <f>IF(L28=0,"0.00%",(P28-L28)/L28)</f>
        <v>0.00%</v>
      </c>
      <c r="P28" s="2">
        <f>ROUND(L28*(1+Q20),0)</f>
        <v>0</v>
      </c>
      <c r="Q28" s="871"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939"/>
      <c r="E29" s="863"/>
      <c r="F29" s="2"/>
      <c r="G29" s="83"/>
      <c r="H29" s="2"/>
      <c r="I29" s="871"/>
      <c r="J29" s="66"/>
      <c r="L29" s="2"/>
      <c r="M29" s="948"/>
      <c r="Q29" s="948"/>
      <c r="T29" s="2"/>
      <c r="U29" s="73"/>
      <c r="X29" s="2"/>
      <c r="Y29" s="73"/>
      <c r="AB29" s="2"/>
      <c r="AC29" s="73"/>
    </row>
    <row r="30" spans="1:29" x14ac:dyDescent="0.25">
      <c r="A30" s="153"/>
      <c r="B30" s="939"/>
      <c r="D30" s="8">
        <f>SUM(D21:D29)</f>
        <v>2623.33</v>
      </c>
      <c r="E30" s="863"/>
      <c r="F30" s="2"/>
      <c r="G30" s="83">
        <f t="shared" si="1"/>
        <v>0.52477957405282605</v>
      </c>
      <c r="H30" s="8">
        <f>SUM(H21:H29)</f>
        <v>4000</v>
      </c>
      <c r="I30" s="1292">
        <f>+H30-D30</f>
        <v>1376.67</v>
      </c>
      <c r="J30" s="29"/>
      <c r="K30" s="83">
        <f>IF(H30=0,"0.00%",(L30-H30)/H30)</f>
        <v>0</v>
      </c>
      <c r="L30" s="8">
        <f>SUM(L21:L29)</f>
        <v>4000</v>
      </c>
      <c r="M30" s="1292">
        <f>+L30-H30</f>
        <v>0</v>
      </c>
      <c r="O30" s="83">
        <f>IF(L30=0,"0.00%",(P30-L30)/L30)</f>
        <v>0</v>
      </c>
      <c r="P30" s="8">
        <f>SUM(P21:P29)</f>
        <v>4000</v>
      </c>
      <c r="Q30" s="1292">
        <f>+P30-L30</f>
        <v>0</v>
      </c>
      <c r="S30" s="83">
        <f>IF(P30=0,"0.00%",(T30-P30)/P30)</f>
        <v>0.02</v>
      </c>
      <c r="T30" s="8">
        <f>SUM(T21:T29)</f>
        <v>4080</v>
      </c>
      <c r="U30" s="73"/>
      <c r="W30" s="83">
        <f>IF(T30=0,"0.00%",(X30-T30)/T30)</f>
        <v>2.0098039215686276E-2</v>
      </c>
      <c r="X30" s="8">
        <f>SUM(X21:X29)</f>
        <v>4162</v>
      </c>
      <c r="Y30" s="73"/>
      <c r="AA30" s="83">
        <f>IF(X30=0,"0.00%",(AB30-X30)/X30)</f>
        <v>1.9942335415665546E-2</v>
      </c>
      <c r="AB30" s="8">
        <f>SUM(AB21:AB29)</f>
        <v>4245</v>
      </c>
      <c r="AC30" s="73"/>
    </row>
    <row r="31" spans="1:29" x14ac:dyDescent="0.25">
      <c r="A31" s="152"/>
      <c r="E31" s="863"/>
      <c r="F31" s="2"/>
      <c r="H31" s="2"/>
      <c r="I31" s="854"/>
      <c r="J31" s="66"/>
      <c r="L31" s="2"/>
      <c r="M31" s="949"/>
      <c r="Q31" s="949"/>
      <c r="T31" s="2"/>
      <c r="U31" s="73"/>
      <c r="X31" s="2"/>
      <c r="Y31" s="73"/>
      <c r="AB31" s="2"/>
      <c r="AC31" s="73"/>
    </row>
    <row r="32" spans="1:29" s="4" customFormat="1" x14ac:dyDescent="0.25">
      <c r="A32" s="150"/>
      <c r="B32" s="940" t="s">
        <v>35</v>
      </c>
      <c r="C32" s="873"/>
      <c r="D32" s="6"/>
      <c r="E32" s="864"/>
      <c r="F32" s="6"/>
      <c r="G32" s="373"/>
      <c r="H32" s="6"/>
      <c r="I32" s="864"/>
      <c r="J32" s="57"/>
      <c r="K32" s="380"/>
      <c r="L32" s="6"/>
      <c r="M32" s="950"/>
      <c r="O32" s="380"/>
      <c r="P32" s="6"/>
      <c r="Q32" s="950"/>
      <c r="R32" s="111"/>
      <c r="T32" s="6"/>
      <c r="U32" s="71"/>
      <c r="X32" s="6"/>
      <c r="Y32" s="71"/>
      <c r="AB32" s="6"/>
      <c r="AC32" s="71"/>
    </row>
    <row r="33" spans="1:29" x14ac:dyDescent="0.25">
      <c r="A33" s="152"/>
      <c r="B33" s="939">
        <v>2912</v>
      </c>
      <c r="C33" s="857" t="s">
        <v>230</v>
      </c>
      <c r="D33" s="2">
        <v>55561.98</v>
      </c>
      <c r="E33" s="863"/>
      <c r="F33" s="2"/>
      <c r="G33" s="83">
        <f t="shared" ref="G33:G39" si="9">IF(D33=0,"0.00%",(H33-D33)/D33)</f>
        <v>7.5177666454651126E-2</v>
      </c>
      <c r="H33" s="2">
        <v>59739</v>
      </c>
      <c r="I33" s="871"/>
      <c r="J33" s="66"/>
      <c r="K33" s="83">
        <f t="shared" ref="K33:K39" si="10">IF(H33=0,"0.00%",(L33-H33)/H33)</f>
        <v>2.00036826863523E-2</v>
      </c>
      <c r="L33" s="2">
        <f>ROUND(H33*(1+M19),0)</f>
        <v>60934</v>
      </c>
      <c r="M33" s="871" t="str">
        <f>TEXT(M19,"0.0%")&amp;" = Est. S &amp; C"</f>
        <v>2.0% = Est. S &amp; C</v>
      </c>
      <c r="O33" s="83">
        <f t="shared" ref="O33:O39" si="11">IF(L33=0,"0.00%",(P33-L33)/L33)</f>
        <v>2.0005251583680703E-2</v>
      </c>
      <c r="P33" s="2">
        <f>ROUND(L33*(1+Q19),0)</f>
        <v>62153</v>
      </c>
      <c r="Q33" s="871" t="str">
        <f>TEXT(Q19,"0.0%")&amp;" = Est. S &amp; C"</f>
        <v>2.0% = Est. S &amp; C</v>
      </c>
      <c r="S33" s="83">
        <f t="shared" ref="S33:S39" si="12">IF(P33=0,"0.00%",(T33-P33)/P33)</f>
        <v>1.9999034640323075E-2</v>
      </c>
      <c r="T33" s="2">
        <f>ROUND(P33*(1+U19),0)</f>
        <v>63396</v>
      </c>
      <c r="U33" s="36" t="str">
        <f>TEXT(U19,"0.0%")&amp;" = Est. S &amp; C"</f>
        <v>2.0% = Est. S &amp; C</v>
      </c>
      <c r="W33" s="83">
        <f t="shared" ref="W33:W39" si="13">IF(T33=0,"0.00%",(X33-T33)/T33)</f>
        <v>2.0001261909268722E-2</v>
      </c>
      <c r="X33" s="2">
        <f>ROUND(T33*(1+Y19),0)</f>
        <v>64664</v>
      </c>
      <c r="Y33" s="36" t="str">
        <f>TEXT(Y19,"0.0%")&amp;" = Est. S &amp; C"</f>
        <v>2.0% = Est. S &amp; C</v>
      </c>
      <c r="AA33" s="83">
        <f t="shared" ref="AA33:AA39" si="14">IF(X33=0,"0.00%",(AB33-X33)/X33)</f>
        <v>1.9995669924532972E-2</v>
      </c>
      <c r="AB33" s="2">
        <f>ROUND(X33*(1+AC19),0)</f>
        <v>65957</v>
      </c>
      <c r="AC33" s="36" t="str">
        <f>TEXT(AC19,"0.0%")&amp;" = Est. S &amp; C"</f>
        <v>2.0% = Est. S &amp; C</v>
      </c>
    </row>
    <row r="34" spans="1:29" x14ac:dyDescent="0.25">
      <c r="A34" s="152"/>
      <c r="B34" s="939"/>
      <c r="D34" s="2">
        <v>0</v>
      </c>
      <c r="E34" s="863"/>
      <c r="F34" s="2"/>
      <c r="G34" s="83" t="str">
        <f t="shared" si="9"/>
        <v>0.00%</v>
      </c>
      <c r="H34" s="389"/>
      <c r="I34" s="965"/>
      <c r="J34" s="449"/>
      <c r="K34" s="450" t="str">
        <f t="shared" si="10"/>
        <v>0.00%</v>
      </c>
      <c r="L34" s="389"/>
      <c r="M34" s="965"/>
      <c r="N34" s="451"/>
      <c r="O34" s="450" t="str">
        <f t="shared" si="11"/>
        <v>0.00%</v>
      </c>
      <c r="P34" s="389"/>
      <c r="Q34" s="965"/>
      <c r="S34" s="83" t="str">
        <f t="shared" si="12"/>
        <v>0.00%</v>
      </c>
      <c r="T34" s="2">
        <f>ROUND(P34*(1+U19),0)</f>
        <v>0</v>
      </c>
      <c r="U34" s="36" t="str">
        <f>TEXT(U19,"0.0%")&amp;" = Est. S &amp; C"</f>
        <v>2.0% = Est. S &amp; C</v>
      </c>
      <c r="W34" s="83" t="str">
        <f t="shared" si="13"/>
        <v>0.00%</v>
      </c>
      <c r="X34" s="2">
        <f>ROUND(T34*(1+Y19),0)</f>
        <v>0</v>
      </c>
      <c r="Y34" s="36" t="str">
        <f>TEXT(Y19,"0.0%")&amp;" = Est. S &amp; C"</f>
        <v>2.0% = Est. S &amp; C</v>
      </c>
      <c r="AA34" s="83" t="str">
        <f t="shared" si="14"/>
        <v>0.00%</v>
      </c>
      <c r="AB34" s="2">
        <f>ROUND(X34*(1+AC19),0)</f>
        <v>0</v>
      </c>
      <c r="AC34" s="36" t="str">
        <f>TEXT(AC19,"0.0%")&amp;" = Est. S &amp; C"</f>
        <v>2.0% = Est. S &amp; C</v>
      </c>
    </row>
    <row r="35" spans="1:29" hidden="1" x14ac:dyDescent="0.25">
      <c r="A35" s="152"/>
      <c r="B35" s="939"/>
      <c r="D35" s="2">
        <v>0</v>
      </c>
      <c r="E35" s="863"/>
      <c r="F35" s="2"/>
      <c r="G35" s="83" t="str">
        <f t="shared" si="9"/>
        <v>0.00%</v>
      </c>
      <c r="H35" s="389">
        <f t="shared" ref="H35:H39" si="15">ROUND(D35*(1+$I$19),0)</f>
        <v>0</v>
      </c>
      <c r="I35" s="965" t="str">
        <f t="shared" ref="I35:I39" si="16">TEXT($I$19,"0.0%")&amp;" = Est. S &amp; C"</f>
        <v>0.0% = Est. S &amp; C</v>
      </c>
      <c r="J35" s="449"/>
      <c r="K35" s="450" t="str">
        <f t="shared" si="10"/>
        <v>0.00%</v>
      </c>
      <c r="L35" s="389">
        <f>ROUND(H35*(1+M19),0)</f>
        <v>0</v>
      </c>
      <c r="M35" s="965" t="str">
        <f>TEXT(M19,"0.0%")&amp;" = Est. S &amp; C"</f>
        <v>2.0% = Est. S &amp; C</v>
      </c>
      <c r="N35" s="451"/>
      <c r="O35" s="450" t="str">
        <f t="shared" si="11"/>
        <v>0.00%</v>
      </c>
      <c r="P35" s="389">
        <f>ROUND(L35*(1+Q19),0)</f>
        <v>0</v>
      </c>
      <c r="Q35" s="965" t="str">
        <f>TEXT(Q19,"0.0%")&amp;" = Est. S &amp; C"</f>
        <v>2.0% = Est. S &amp; C</v>
      </c>
      <c r="S35" s="83" t="str">
        <f t="shared" si="12"/>
        <v>0.00%</v>
      </c>
      <c r="T35" s="2">
        <f>ROUND(P35*(1+U19),0)</f>
        <v>0</v>
      </c>
      <c r="U35" s="36" t="str">
        <f>TEXT(U19,"0.0%")&amp;" = Est. S &amp; C"</f>
        <v>2.0% = Est. S &amp; C</v>
      </c>
      <c r="W35" s="83" t="str">
        <f t="shared" si="13"/>
        <v>0.00%</v>
      </c>
      <c r="X35" s="2">
        <f>ROUND(T35*(1+Y19),0)</f>
        <v>0</v>
      </c>
      <c r="Y35" s="36" t="str">
        <f>TEXT(Y19,"0.0%")&amp;" = Est. S &amp; C"</f>
        <v>2.0% = Est. S &amp; C</v>
      </c>
      <c r="AA35" s="83" t="str">
        <f t="shared" si="14"/>
        <v>0.00%</v>
      </c>
      <c r="AB35" s="2">
        <f>ROUND(X35*(1+AC19),0)</f>
        <v>0</v>
      </c>
      <c r="AC35" s="36" t="str">
        <f>TEXT(AC19,"0.0%")&amp;" = Est. S &amp; C"</f>
        <v>2.0% = Est. S &amp; C</v>
      </c>
    </row>
    <row r="36" spans="1:29" hidden="1" x14ac:dyDescent="0.25">
      <c r="A36" s="152"/>
      <c r="B36" s="939"/>
      <c r="D36" s="2">
        <v>0</v>
      </c>
      <c r="E36" s="863"/>
      <c r="F36" s="2"/>
      <c r="G36" s="83" t="str">
        <f t="shared" si="9"/>
        <v>0.00%</v>
      </c>
      <c r="H36" s="389">
        <f t="shared" si="15"/>
        <v>0</v>
      </c>
      <c r="I36" s="965" t="str">
        <f t="shared" si="16"/>
        <v>0.0% = Est. S &amp; C</v>
      </c>
      <c r="J36" s="449"/>
      <c r="K36" s="450" t="str">
        <f t="shared" si="10"/>
        <v>0.00%</v>
      </c>
      <c r="L36" s="389">
        <f>ROUND(H36*(1+M19),0)</f>
        <v>0</v>
      </c>
      <c r="M36" s="965" t="str">
        <f>TEXT(M19,"0.0%")&amp;" = Est. S &amp; C"</f>
        <v>2.0% = Est. S &amp; C</v>
      </c>
      <c r="N36" s="451"/>
      <c r="O36" s="450" t="str">
        <f t="shared" si="11"/>
        <v>0.00%</v>
      </c>
      <c r="P36" s="389">
        <f>ROUND(L36*(1+Q19),0)</f>
        <v>0</v>
      </c>
      <c r="Q36" s="965" t="str">
        <f>TEXT(Q19,"0.0%")&amp;" = Est. S &amp; C"</f>
        <v>2.0% = Est. S &amp; C</v>
      </c>
      <c r="S36" s="83" t="str">
        <f t="shared" si="12"/>
        <v>0.00%</v>
      </c>
      <c r="T36" s="2">
        <f>ROUND(P36*(1+U19),0)</f>
        <v>0</v>
      </c>
      <c r="U36" s="36" t="str">
        <f>TEXT(U19,"0.0%")&amp;" = Est. S &amp; C"</f>
        <v>2.0% = Est. S &amp; C</v>
      </c>
      <c r="W36" s="83" t="str">
        <f t="shared" si="13"/>
        <v>0.00%</v>
      </c>
      <c r="X36" s="2">
        <f>ROUND(T36*(1+Y19),0)</f>
        <v>0</v>
      </c>
      <c r="Y36" s="36" t="str">
        <f>TEXT(Y19,"0.0%")&amp;" = Est. S &amp; C"</f>
        <v>2.0% = Est. S &amp; C</v>
      </c>
      <c r="AA36" s="83" t="str">
        <f t="shared" si="14"/>
        <v>0.00%</v>
      </c>
      <c r="AB36" s="2">
        <f>ROUND(X36*(1+AC19),0)</f>
        <v>0</v>
      </c>
      <c r="AC36" s="36" t="str">
        <f>TEXT(AC19,"0.0%")&amp;" = Est. S &amp; C"</f>
        <v>2.0% = Est. S &amp; C</v>
      </c>
    </row>
    <row r="37" spans="1:29" hidden="1" x14ac:dyDescent="0.25">
      <c r="A37" s="152"/>
      <c r="B37" s="939"/>
      <c r="D37" s="2">
        <v>0</v>
      </c>
      <c r="E37" s="863"/>
      <c r="F37" s="2"/>
      <c r="G37" s="83" t="str">
        <f t="shared" si="9"/>
        <v>0.00%</v>
      </c>
      <c r="H37" s="389">
        <f t="shared" si="15"/>
        <v>0</v>
      </c>
      <c r="I37" s="965" t="str">
        <f t="shared" si="16"/>
        <v>0.0% = Est. S &amp; C</v>
      </c>
      <c r="J37" s="449"/>
      <c r="K37" s="450" t="str">
        <f t="shared" si="10"/>
        <v>0.00%</v>
      </c>
      <c r="L37" s="389">
        <f>ROUND(H37*(1+M19),0)</f>
        <v>0</v>
      </c>
      <c r="M37" s="965" t="str">
        <f>TEXT(M19,"0.0%")&amp;" = Est. S &amp; C"</f>
        <v>2.0% = Est. S &amp; C</v>
      </c>
      <c r="N37" s="451"/>
      <c r="O37" s="450" t="str">
        <f t="shared" si="11"/>
        <v>0.00%</v>
      </c>
      <c r="P37" s="389">
        <f>ROUND(L37*(1+Q19),0)</f>
        <v>0</v>
      </c>
      <c r="Q37" s="965" t="str">
        <f>TEXT(Q19,"0.0%")&amp;" = Est. S &amp; C"</f>
        <v>2.0% = Est. S &amp; C</v>
      </c>
      <c r="S37" s="83" t="str">
        <f t="shared" si="12"/>
        <v>0.00%</v>
      </c>
      <c r="T37" s="2">
        <f>ROUND(P37*(1+U19),0)</f>
        <v>0</v>
      </c>
      <c r="U37" s="36" t="str">
        <f>TEXT(U19,"0.0%")&amp;" = Est. S &amp; C"</f>
        <v>2.0% = Est. S &amp; C</v>
      </c>
      <c r="W37" s="83" t="str">
        <f t="shared" si="13"/>
        <v>0.00%</v>
      </c>
      <c r="X37" s="2">
        <f>ROUND(T37*(1+Y19),0)</f>
        <v>0</v>
      </c>
      <c r="Y37" s="36" t="str">
        <f>TEXT(Y19,"0.0%")&amp;" = Est. S &amp; C"</f>
        <v>2.0% = Est. S &amp; C</v>
      </c>
      <c r="AA37" s="83" t="str">
        <f t="shared" si="14"/>
        <v>0.00%</v>
      </c>
      <c r="AB37" s="2">
        <f>ROUND(X37*(1+AC19),0)</f>
        <v>0</v>
      </c>
      <c r="AC37" s="36" t="str">
        <f>TEXT(AC19,"0.0%")&amp;" = Est. S &amp; C"</f>
        <v>2.0% = Est. S &amp; C</v>
      </c>
    </row>
    <row r="38" spans="1:29" hidden="1" x14ac:dyDescent="0.25">
      <c r="A38" s="152"/>
      <c r="B38" s="939"/>
      <c r="D38" s="2">
        <v>0</v>
      </c>
      <c r="E38" s="863"/>
      <c r="F38" s="2"/>
      <c r="G38" s="83" t="str">
        <f t="shared" si="9"/>
        <v>0.00%</v>
      </c>
      <c r="H38" s="389">
        <f t="shared" si="15"/>
        <v>0</v>
      </c>
      <c r="I38" s="965" t="str">
        <f t="shared" si="16"/>
        <v>0.0% = Est. S &amp; C</v>
      </c>
      <c r="J38" s="449"/>
      <c r="K38" s="450" t="str">
        <f t="shared" si="10"/>
        <v>0.00%</v>
      </c>
      <c r="L38" s="389">
        <f>ROUND(H38*(1+M19),0)</f>
        <v>0</v>
      </c>
      <c r="M38" s="965" t="str">
        <f>TEXT(M19,"0.0%")&amp;" = Est. S &amp; C"</f>
        <v>2.0% = Est. S &amp; C</v>
      </c>
      <c r="N38" s="451"/>
      <c r="O38" s="450" t="str">
        <f t="shared" si="11"/>
        <v>0.00%</v>
      </c>
      <c r="P38" s="389">
        <f>ROUND(L38*(1+Q19),0)</f>
        <v>0</v>
      </c>
      <c r="Q38" s="965" t="str">
        <f>TEXT(Q19,"0.0%")&amp;" = Est. S &amp; C"</f>
        <v>2.0% = Est. S &amp; C</v>
      </c>
      <c r="S38" s="83" t="str">
        <f t="shared" si="12"/>
        <v>0.00%</v>
      </c>
      <c r="T38" s="2">
        <f>ROUND(P38*(1+U19),0)</f>
        <v>0</v>
      </c>
      <c r="U38" s="36" t="str">
        <f>TEXT(U19,"0.0%")&amp;" = Est. S &amp; C"</f>
        <v>2.0% = Est. S &amp; C</v>
      </c>
      <c r="W38" s="83" t="str">
        <f t="shared" si="13"/>
        <v>0.00%</v>
      </c>
      <c r="X38" s="2">
        <f>ROUND(T38*(1+Y19),0)</f>
        <v>0</v>
      </c>
      <c r="Y38" s="36" t="str">
        <f>TEXT(Y19,"0.0%")&amp;" = Est. S &amp; C"</f>
        <v>2.0% = Est. S &amp; C</v>
      </c>
      <c r="AA38" s="83" t="str">
        <f t="shared" si="14"/>
        <v>0.00%</v>
      </c>
      <c r="AB38" s="2">
        <f>ROUND(X38*(1+AC19),0)</f>
        <v>0</v>
      </c>
      <c r="AC38" s="36" t="str">
        <f>TEXT(AC19,"0.0%")&amp;" = Est. S &amp; C"</f>
        <v>2.0% = Est. S &amp; C</v>
      </c>
    </row>
    <row r="39" spans="1:29" hidden="1" x14ac:dyDescent="0.25">
      <c r="A39" s="152"/>
      <c r="B39" s="939"/>
      <c r="D39" s="2">
        <v>0</v>
      </c>
      <c r="E39" s="863"/>
      <c r="F39" s="2"/>
      <c r="G39" s="83" t="str">
        <f t="shared" si="9"/>
        <v>0.00%</v>
      </c>
      <c r="H39" s="389">
        <f t="shared" si="15"/>
        <v>0</v>
      </c>
      <c r="I39" s="965" t="str">
        <f t="shared" si="16"/>
        <v>0.0% = Est. S &amp; C</v>
      </c>
      <c r="J39" s="449"/>
      <c r="K39" s="450" t="str">
        <f t="shared" si="10"/>
        <v>0.00%</v>
      </c>
      <c r="L39" s="389">
        <f>ROUND(H39*(1+M19),0)</f>
        <v>0</v>
      </c>
      <c r="M39" s="965" t="str">
        <f>TEXT(M19,"0.0%")&amp;" = Est. S &amp; C"</f>
        <v>2.0% = Est. S &amp; C</v>
      </c>
      <c r="N39" s="451"/>
      <c r="O39" s="450" t="str">
        <f t="shared" si="11"/>
        <v>0.00%</v>
      </c>
      <c r="P39" s="389">
        <f>ROUND(L39*(1+Q19),0)</f>
        <v>0</v>
      </c>
      <c r="Q39" s="965" t="str">
        <f>TEXT(Q19,"0.0%")&amp;" = Est. S &amp; C"</f>
        <v>2.0% = Est. S &amp; C</v>
      </c>
      <c r="S39" s="83" t="str">
        <f t="shared" si="12"/>
        <v>0.00%</v>
      </c>
      <c r="T39" s="2">
        <f>ROUND(P39*(1+U19),0)</f>
        <v>0</v>
      </c>
      <c r="U39" s="36" t="str">
        <f>TEXT(U19,"0.0%")&amp;" = Est. S &amp; C"</f>
        <v>2.0% = Est. S &amp; C</v>
      </c>
      <c r="W39" s="83" t="str">
        <f t="shared" si="13"/>
        <v>0.00%</v>
      </c>
      <c r="X39" s="2">
        <f>ROUND(T39*(1+Y19),0)</f>
        <v>0</v>
      </c>
      <c r="Y39" s="36" t="str">
        <f>TEXT(Y19,"0.0%")&amp;" = Est. S &amp; C"</f>
        <v>2.0% = Est. S &amp; C</v>
      </c>
      <c r="AA39" s="83" t="str">
        <f t="shared" si="14"/>
        <v>0.00%</v>
      </c>
      <c r="AB39" s="2">
        <f>ROUND(X39*(1+AC19),0)</f>
        <v>0</v>
      </c>
      <c r="AC39" s="36" t="str">
        <f>TEXT(AC19,"0.0%")&amp;" = Est. S &amp; C"</f>
        <v>2.0% = Est. S &amp; C</v>
      </c>
    </row>
    <row r="40" spans="1:29" ht="6" hidden="1" customHeight="1" x14ac:dyDescent="0.25">
      <c r="A40" s="152"/>
      <c r="B40" s="939"/>
      <c r="E40" s="863"/>
      <c r="F40" s="2"/>
      <c r="H40" s="389"/>
      <c r="I40" s="965"/>
      <c r="J40" s="449"/>
      <c r="K40" s="1871"/>
      <c r="L40" s="389"/>
      <c r="M40" s="969"/>
      <c r="N40" s="451"/>
      <c r="O40" s="1871"/>
      <c r="P40" s="389"/>
      <c r="Q40" s="969"/>
      <c r="T40" s="2"/>
      <c r="U40" s="73"/>
      <c r="X40" s="2"/>
      <c r="Y40" s="73"/>
      <c r="AB40" s="2"/>
      <c r="AC40" s="73"/>
    </row>
    <row r="41" spans="1:29" x14ac:dyDescent="0.25">
      <c r="A41" s="153"/>
      <c r="B41" s="939"/>
      <c r="D41" s="8">
        <f>SUM(D33:D40)</f>
        <v>55561.98</v>
      </c>
      <c r="E41" s="863"/>
      <c r="F41" s="2"/>
      <c r="G41" s="83">
        <f>IF(D41=0,"0.00%",(H41-D41)/D41)</f>
        <v>7.5177666454651126E-2</v>
      </c>
      <c r="H41" s="452">
        <f>SUM(H33:H40)</f>
        <v>59739</v>
      </c>
      <c r="I41" s="1292">
        <f>+H41-D41</f>
        <v>4177.0199999999968</v>
      </c>
      <c r="J41" s="453"/>
      <c r="K41" s="450">
        <f>IF(H41=0,"0.00%",(L41-H41)/H41)</f>
        <v>2.00036826863523E-2</v>
      </c>
      <c r="L41" s="452">
        <f>SUM(L33:L40)</f>
        <v>60934</v>
      </c>
      <c r="M41" s="1292">
        <f>+L41-H41</f>
        <v>1195</v>
      </c>
      <c r="N41" s="451"/>
      <c r="O41" s="450">
        <f>IF(L41=0,"0.00%",(P41-L41)/L41)</f>
        <v>2.0005251583680703E-2</v>
      </c>
      <c r="P41" s="452">
        <f>SUM(P33:P40)</f>
        <v>62153</v>
      </c>
      <c r="Q41" s="1292">
        <f>+P41-L41</f>
        <v>1219</v>
      </c>
      <c r="S41" s="83">
        <f>IF(P41=0,"0.00%",(T41-P41)/P41)</f>
        <v>1.9999034640323075E-2</v>
      </c>
      <c r="T41" s="8">
        <f>SUM(T33:T40)</f>
        <v>63396</v>
      </c>
      <c r="U41" s="73"/>
      <c r="W41" s="83">
        <f>IF(T41=0,"0.00%",(X41-T41)/T41)</f>
        <v>2.0001261909268722E-2</v>
      </c>
      <c r="X41" s="8">
        <f>SUM(X33:X40)</f>
        <v>64664</v>
      </c>
      <c r="Y41" s="73"/>
      <c r="AA41" s="83">
        <f>IF(X41=0,"0.00%",(AB41-X41)/X41)</f>
        <v>1.9995669924532972E-2</v>
      </c>
      <c r="AB41" s="8">
        <f>SUM(AB33:AB40)</f>
        <v>65957</v>
      </c>
      <c r="AC41" s="73"/>
    </row>
    <row r="42" spans="1:29" x14ac:dyDescent="0.25">
      <c r="A42" s="152"/>
      <c r="B42" s="930" t="s">
        <v>28</v>
      </c>
      <c r="E42" s="863"/>
      <c r="F42" s="2"/>
      <c r="H42" s="389"/>
      <c r="I42" s="965"/>
      <c r="J42" s="449"/>
      <c r="K42" s="1871"/>
      <c r="L42" s="389"/>
      <c r="M42" s="969"/>
      <c r="N42" s="451"/>
      <c r="O42" s="1871"/>
      <c r="P42" s="389"/>
      <c r="Q42" s="969"/>
      <c r="T42" s="2"/>
      <c r="U42" s="73"/>
      <c r="X42" s="2"/>
      <c r="Y42" s="73"/>
      <c r="AB42" s="2"/>
      <c r="AC42" s="73"/>
    </row>
    <row r="43" spans="1:29" x14ac:dyDescent="0.25">
      <c r="A43" s="154"/>
      <c r="B43" s="936" t="s">
        <v>27</v>
      </c>
      <c r="E43" s="863"/>
      <c r="F43" s="2"/>
      <c r="H43" s="389"/>
      <c r="I43" s="965"/>
      <c r="J43" s="449"/>
      <c r="K43" s="1871"/>
      <c r="L43" s="389"/>
      <c r="M43" s="969"/>
      <c r="N43" s="451"/>
      <c r="O43" s="1871"/>
      <c r="P43" s="389"/>
      <c r="Q43" s="969"/>
      <c r="T43" s="2"/>
      <c r="U43" s="73"/>
      <c r="X43" s="2"/>
      <c r="Y43" s="73"/>
      <c r="AB43" s="2"/>
      <c r="AC43" s="73"/>
    </row>
    <row r="44" spans="1:29" x14ac:dyDescent="0.25">
      <c r="A44" s="152"/>
      <c r="B44" s="939" t="s">
        <v>83</v>
      </c>
      <c r="C44" s="857" t="s">
        <v>76</v>
      </c>
      <c r="D44" s="2">
        <v>319.14999999999998</v>
      </c>
      <c r="E44" s="854" t="str">
        <f>TEXT('MYP Assumptions'!$D$55,"0.00%")&amp;", STRS rate"</f>
        <v>12.58%, STRS rate</v>
      </c>
      <c r="F44" s="2"/>
      <c r="G44" s="83">
        <f t="shared" ref="G44:G53" si="17">IF(D44=0,"0.00%",(H44-D44)/D44)</f>
        <v>-0.714867617107943</v>
      </c>
      <c r="H44" s="389">
        <v>91</v>
      </c>
      <c r="I44" s="967" t="str">
        <f>TEXT('MYP Assumptions'!E55,"0.00%")&amp;", projected STRS rate"</f>
        <v>14.43%, projected STRS rate</v>
      </c>
      <c r="J44" s="449"/>
      <c r="K44" s="450">
        <f t="shared" ref="K44:K53" si="18">IF(H44=0,"0.00%",(L44-H44)/H44)</f>
        <v>6.1538461538461542</v>
      </c>
      <c r="L44" s="389">
        <f>ROUND(L30*LEFT(M44,6),0)</f>
        <v>651</v>
      </c>
      <c r="M44" s="967" t="str">
        <f>TEXT('MYP Assumptions'!F55,"0.00%")&amp;", projected STRS rate"</f>
        <v>16.28%, projected STRS rate</v>
      </c>
      <c r="N44" s="451"/>
      <c r="O44" s="450">
        <f t="shared" ref="O44:O53" si="19">IF(L44=0,"0.00%",(P44-L44)/L44)</f>
        <v>0.11367127496159754</v>
      </c>
      <c r="P44" s="389">
        <f>ROUND(P30*LEFT(Q44,6),0)</f>
        <v>725</v>
      </c>
      <c r="Q44" s="967" t="str">
        <f>TEXT('MYP Assumptions'!G55,"0.00%")&amp;", projected STRS rate"</f>
        <v>18.13%, projected STRS rate</v>
      </c>
      <c r="S44" s="83">
        <f t="shared" ref="S44:S53" si="20">IF(P44=0,"0.00%",(T44-P44)/P44)</f>
        <v>7.4482758620689649E-2</v>
      </c>
      <c r="T44" s="2">
        <f>ROUND(T30*LEFT(U44,6),0)</f>
        <v>779</v>
      </c>
      <c r="U44" s="81" t="str">
        <f>TEXT('MYP Assumptions'!H55,"0.00%")&amp;", projected STRS rate"</f>
        <v>19.10%, projected STRS rate</v>
      </c>
      <c r="W44" s="83">
        <f t="shared" ref="W44:W53" si="21">IF(T44=0,"0.00%",(X44-T44)/T44)</f>
        <v>2.0539152759948651E-2</v>
      </c>
      <c r="X44" s="2">
        <f>ROUND(X30*LEFT(Y44,6),0)</f>
        <v>795</v>
      </c>
      <c r="Y44" s="81" t="str">
        <f>TEXT('MYP Assumptions'!I55,"0.00%")&amp;", projected STRS rate"</f>
        <v>19.10%, projected STRS rate</v>
      </c>
      <c r="AA44" s="83">
        <f t="shared" ref="AA44:AA53" si="22">IF(X44=0,"0.00%",(AB44-X44)/X44)</f>
        <v>2.0125786163522012E-2</v>
      </c>
      <c r="AB44" s="2">
        <f>ROUND(AB30*LEFT(AC44,6),0)</f>
        <v>811</v>
      </c>
      <c r="AC44" s="81" t="str">
        <f>TEXT('MYP Assumptions'!J55,"0.00%")&amp;", projected STRS rate"</f>
        <v>19.10%, projected STRS rate</v>
      </c>
    </row>
    <row r="45" spans="1:29" x14ac:dyDescent="0.25">
      <c r="A45" s="152"/>
      <c r="B45" s="939" t="s">
        <v>84</v>
      </c>
      <c r="C45" s="857" t="s">
        <v>77</v>
      </c>
      <c r="D45" s="2">
        <v>7721.49</v>
      </c>
      <c r="E45" s="854" t="str">
        <f>TEXT('MYP Assumptions'!$D$56,"0.00%")&amp;", PERS rate"</f>
        <v>13.89%, PERS rate</v>
      </c>
      <c r="F45" s="2"/>
      <c r="G45" s="83">
        <f t="shared" si="17"/>
        <v>0.37201498674478634</v>
      </c>
      <c r="H45" s="389">
        <v>10594</v>
      </c>
      <c r="I45" s="967" t="str">
        <f>TEXT('MYP Assumptions'!E56,"0.000%")&amp;", projected PERS rate"</f>
        <v>15.531%, projected PERS rate</v>
      </c>
      <c r="J45" s="449"/>
      <c r="K45" s="450">
        <f t="shared" si="18"/>
        <v>4.1060977912025676E-2</v>
      </c>
      <c r="L45" s="389">
        <f>ROUND(L41*LEFT(M45,6),0)</f>
        <v>11029</v>
      </c>
      <c r="M45" s="967" t="str">
        <f>TEXT('MYP Assumptions'!F56,"0.00%")&amp;", projected PERS rate"</f>
        <v>18.10%, projected PERS rate</v>
      </c>
      <c r="N45" s="451"/>
      <c r="O45" s="450">
        <f t="shared" si="19"/>
        <v>0.17218242814398405</v>
      </c>
      <c r="P45" s="389">
        <f>ROUND(P41*LEFT(Q45,6),0)</f>
        <v>12928</v>
      </c>
      <c r="Q45" s="967" t="str">
        <f>TEXT('MYP Assumptions'!G56,"0.00%")&amp;", projected PERS rate"</f>
        <v>20.80%, projected PERS rate</v>
      </c>
      <c r="S45" s="83">
        <f t="shared" si="20"/>
        <v>0.16707920792079209</v>
      </c>
      <c r="T45" s="2">
        <f>ROUND(T41*LEFT(U45,6),0)</f>
        <v>15088</v>
      </c>
      <c r="U45" s="81" t="str">
        <f>TEXT('MYP Assumptions'!H56,"0.00%")&amp;", projected PERS rate"</f>
        <v>23.80%, projected PERS rate</v>
      </c>
      <c r="W45" s="83">
        <f t="shared" si="21"/>
        <v>7.9997348886532343E-2</v>
      </c>
      <c r="X45" s="2">
        <f>ROUND(X41*LEFT(Y45,6),0)</f>
        <v>16295</v>
      </c>
      <c r="Y45" s="81" t="str">
        <f>TEXT('MYP Assumptions'!I56,"0.00%")&amp;", projected PERS rate"</f>
        <v>25.20%, projected PERS rate</v>
      </c>
      <c r="AA45" s="83">
        <f t="shared" si="22"/>
        <v>5.6459036514268181E-2</v>
      </c>
      <c r="AB45" s="2">
        <f>ROUND(AB41*LEFT(AC45,6),0)</f>
        <v>17215</v>
      </c>
      <c r="AC45" s="81" t="str">
        <f>TEXT('MYP Assumptions'!J56,"0.00%")&amp;", projected PERS rate"</f>
        <v>26.10%, projected PERS rate</v>
      </c>
    </row>
    <row r="46" spans="1:29" x14ac:dyDescent="0.25">
      <c r="A46" s="152"/>
      <c r="B46" s="939" t="s">
        <v>85</v>
      </c>
      <c r="C46" s="857" t="s">
        <v>78</v>
      </c>
      <c r="D46" s="2">
        <v>3172.53</v>
      </c>
      <c r="E46" s="854" t="str">
        <f>TEXT('MYP Assumptions'!$D$57,"0.00%")&amp;", SS rate"</f>
        <v>6.20%, SS rate</v>
      </c>
      <c r="F46" s="2"/>
      <c r="G46" s="83">
        <f t="shared" si="17"/>
        <v>0.30337616980769283</v>
      </c>
      <c r="H46" s="389">
        <v>4135</v>
      </c>
      <c r="I46" s="967" t="str">
        <f>TEXT('MYP Assumptions'!E57,"0.00%")&amp;", no rate change"</f>
        <v>6.20%, no rate change</v>
      </c>
      <c r="J46" s="449"/>
      <c r="K46" s="450">
        <f t="shared" si="18"/>
        <v>-8.6336154776299884E-2</v>
      </c>
      <c r="L46" s="389">
        <f>ROUND(L41*LEFT(M46,5),0)</f>
        <v>3778</v>
      </c>
      <c r="M46" s="967" t="str">
        <f>TEXT('MYP Assumptions'!F57,"0.00%")&amp;", no rate change"</f>
        <v>6.20%, no rate change</v>
      </c>
      <c r="N46" s="451"/>
      <c r="O46" s="450">
        <f t="shared" si="19"/>
        <v>1.9851773425092641E-2</v>
      </c>
      <c r="P46" s="389">
        <f>ROUND(P41*LEFT(Q46,5),0)</f>
        <v>3853</v>
      </c>
      <c r="Q46" s="967" t="str">
        <f>TEXT('MYP Assumptions'!G57,"0.00%")&amp;", no rate change"</f>
        <v>6.20%, no rate change</v>
      </c>
      <c r="S46" s="83">
        <f t="shared" si="20"/>
        <v>2.0243965740981053E-2</v>
      </c>
      <c r="T46" s="2">
        <f>ROUND(T41*LEFT(U46,5),0)</f>
        <v>3931</v>
      </c>
      <c r="U46" s="81" t="str">
        <f>TEXT('MYP Assumptions'!H57,"0.00%")&amp;", no rate change"</f>
        <v>6.20%, no rate change</v>
      </c>
      <c r="W46" s="83">
        <f t="shared" si="21"/>
        <v>1.9842279318239633E-2</v>
      </c>
      <c r="X46" s="2">
        <f>ROUND(X41*LEFT(Y46,5),0)</f>
        <v>4009</v>
      </c>
      <c r="Y46" s="81" t="str">
        <f>TEXT('MYP Assumptions'!I57,"0.00%")&amp;", no rate change"</f>
        <v>6.20%, no rate change</v>
      </c>
      <c r="AA46" s="83">
        <f t="shared" si="22"/>
        <v>1.9955101022698929E-2</v>
      </c>
      <c r="AB46" s="2">
        <f>ROUND(AB41*LEFT(AC46,5),0)</f>
        <v>4089</v>
      </c>
      <c r="AC46" s="81" t="str">
        <f>TEXT('MYP Assumptions'!J57,"0.00%")&amp;", no rate change"</f>
        <v>6.20%, no rate change</v>
      </c>
    </row>
    <row r="47" spans="1:29" x14ac:dyDescent="0.25">
      <c r="A47" s="152"/>
      <c r="B47" s="939" t="s">
        <v>86</v>
      </c>
      <c r="C47" s="857" t="s">
        <v>79</v>
      </c>
      <c r="D47" s="2">
        <f>36.78+741.93</f>
        <v>778.70999999999992</v>
      </c>
      <c r="E47" s="854" t="str">
        <f>TEXT('MYP Assumptions'!$D$58,"0.00%")&amp;", Medicare rate"</f>
        <v>1.45%, Medicare rate</v>
      </c>
      <c r="F47" s="2"/>
      <c r="G47" s="83">
        <f t="shared" si="17"/>
        <v>8.5127968049723363E-2</v>
      </c>
      <c r="H47" s="389">
        <f>10+835</f>
        <v>845</v>
      </c>
      <c r="I47" s="967" t="str">
        <f>TEXT('MYP Assumptions'!E58,"0.00%")&amp;", no rate change"</f>
        <v>1.45%, no rate change</v>
      </c>
      <c r="J47" s="449"/>
      <c r="K47" s="450">
        <f t="shared" si="18"/>
        <v>0.11479289940828402</v>
      </c>
      <c r="L47" s="389">
        <f>ROUND((L41+L30)*LEFT(M47,5),0)</f>
        <v>942</v>
      </c>
      <c r="M47" s="967" t="str">
        <f>TEXT('MYP Assumptions'!F58,"0.00%")&amp;", no rate change"</f>
        <v>1.45%, no rate change</v>
      </c>
      <c r="N47" s="451"/>
      <c r="O47" s="450">
        <f t="shared" si="19"/>
        <v>1.8046709129511677E-2</v>
      </c>
      <c r="P47" s="389">
        <f>ROUND((P41+P30)*LEFT(Q47,5),0)</f>
        <v>959</v>
      </c>
      <c r="Q47" s="967" t="str">
        <f>TEXT('MYP Assumptions'!G58,"0.00%")&amp;", no rate change"</f>
        <v>1.45%, no rate change</v>
      </c>
      <c r="S47" s="83">
        <f t="shared" si="20"/>
        <v>1.9812304483837331E-2</v>
      </c>
      <c r="T47" s="2">
        <f>ROUND((T41+T30)*LEFT(U47,5),0)</f>
        <v>978</v>
      </c>
      <c r="U47" s="81" t="str">
        <f>TEXT('MYP Assumptions'!H58,"0.00%")&amp;", no rate change"</f>
        <v>1.45%, no rate change</v>
      </c>
      <c r="W47" s="83">
        <f t="shared" si="21"/>
        <v>2.0449897750511249E-2</v>
      </c>
      <c r="X47" s="2">
        <f>ROUND((X41+X30)*LEFT(Y47,5),0)</f>
        <v>998</v>
      </c>
      <c r="Y47" s="81" t="str">
        <f>TEXT('MYP Assumptions'!I58,"0.00%")&amp;", no rate change"</f>
        <v>1.45%, no rate change</v>
      </c>
      <c r="AA47" s="83">
        <f t="shared" si="22"/>
        <v>2.004008016032064E-2</v>
      </c>
      <c r="AB47" s="2">
        <f>ROUND((AB41+AB30)*LEFT(AC47,5),0)</f>
        <v>1018</v>
      </c>
      <c r="AC47" s="81" t="str">
        <f>TEXT('MYP Assumptions'!J58,"0.00%")&amp;", no rate change"</f>
        <v>1.45%, no rate change</v>
      </c>
    </row>
    <row r="48" spans="1:29" x14ac:dyDescent="0.25">
      <c r="A48" s="152"/>
      <c r="B48" s="939" t="s">
        <v>87</v>
      </c>
      <c r="C48" s="857" t="s">
        <v>80</v>
      </c>
      <c r="D48" s="2">
        <v>7495.32</v>
      </c>
      <c r="E48" s="854"/>
      <c r="F48" s="2"/>
      <c r="G48" s="83">
        <f t="shared" si="17"/>
        <v>1.2498465709269289E-2</v>
      </c>
      <c r="H48" s="389">
        <v>7589</v>
      </c>
      <c r="I48" s="967"/>
      <c r="J48" s="449"/>
      <c r="K48" s="450">
        <f t="shared" si="18"/>
        <v>6.9969692976676767E-2</v>
      </c>
      <c r="L48" s="389">
        <f>ROUND((H48)*(LEFT(M48,5)+1),0)</f>
        <v>8120</v>
      </c>
      <c r="M48" s="967" t="str">
        <f>TEXT('MYP Assumptions'!$M$65,"0.00%")&amp;", projected increase"</f>
        <v>7.00%, projected increase</v>
      </c>
      <c r="N48" s="451"/>
      <c r="O48" s="450">
        <f t="shared" si="19"/>
        <v>6.9950738916256153E-2</v>
      </c>
      <c r="P48" s="389">
        <f>ROUND((L48)*(LEFT(Q48,5)+1),0)</f>
        <v>8688</v>
      </c>
      <c r="Q48" s="967" t="str">
        <f>TEXT('MYP Assumptions'!$M$65,"0.00%")&amp;", projected increase"</f>
        <v>7.00%, projected increase</v>
      </c>
      <c r="S48" s="83">
        <f t="shared" si="20"/>
        <v>6.9981583793738492E-2</v>
      </c>
      <c r="T48" s="2">
        <f>ROUND((P48)*(LEFT(U48,5)+1),0)</f>
        <v>9296</v>
      </c>
      <c r="U48" s="81" t="str">
        <f>TEXT('MYP Assumptions'!$M$65,"0.00%")&amp;", projected increase"</f>
        <v>7.00%, projected increase</v>
      </c>
      <c r="W48" s="83">
        <f t="shared" si="21"/>
        <v>7.0030120481927707E-2</v>
      </c>
      <c r="X48" s="2">
        <f>ROUND((T48)*(LEFT(Y48,5)+1),0)</f>
        <v>9947</v>
      </c>
      <c r="Y48" s="81" t="str">
        <f>TEXT('MYP Assumptions'!$M$65,"0.00%")&amp;", projected increase"</f>
        <v>7.00%, projected increase</v>
      </c>
      <c r="AA48" s="83">
        <f t="shared" si="22"/>
        <v>6.9970845481049565E-2</v>
      </c>
      <c r="AB48" s="2">
        <f>ROUND((X48)*(LEFT(AC48,5)+1),0)</f>
        <v>10643</v>
      </c>
      <c r="AC48" s="81" t="str">
        <f>TEXT('MYP Assumptions'!$M$65,"0.00%")&amp;", projected increase"</f>
        <v>7.00%, projected increase</v>
      </c>
    </row>
    <row r="49" spans="1:29" x14ac:dyDescent="0.25">
      <c r="A49" s="152"/>
      <c r="B49" s="939" t="s">
        <v>88</v>
      </c>
      <c r="C49" s="857" t="s">
        <v>81</v>
      </c>
      <c r="D49" s="2">
        <f>1.27+25.65</f>
        <v>26.919999999999998</v>
      </c>
      <c r="E49" s="854" t="str">
        <f>TEXT('MYP Assumptions'!$D$59,"0.00%")&amp;", SUI rate"</f>
        <v>0.05%, SUI rate</v>
      </c>
      <c r="F49" s="2"/>
      <c r="G49" s="83">
        <f t="shared" si="17"/>
        <v>0.18870728083209518</v>
      </c>
      <c r="H49" s="389">
        <f>2+30</f>
        <v>32</v>
      </c>
      <c r="I49" s="967" t="str">
        <f>TEXT('MYP Assumptions'!E59,"0.00%")&amp;", no rate change"</f>
        <v>0.05%, no rate change</v>
      </c>
      <c r="J49" s="449"/>
      <c r="K49" s="450">
        <f t="shared" si="18"/>
        <v>0</v>
      </c>
      <c r="L49" s="389">
        <f>ROUND((L41+L30)*LEFT(M49,5),0)</f>
        <v>32</v>
      </c>
      <c r="M49" s="967" t="str">
        <f>TEXT('MYP Assumptions'!F59,"0.00%")&amp;", no rate change"</f>
        <v>0.05%, no rate change</v>
      </c>
      <c r="N49" s="451"/>
      <c r="O49" s="450">
        <f t="shared" si="19"/>
        <v>3.125E-2</v>
      </c>
      <c r="P49" s="389">
        <f>ROUND((P41+P30)*LEFT(Q49,5),0)</f>
        <v>33</v>
      </c>
      <c r="Q49" s="967" t="str">
        <f>TEXT('MYP Assumptions'!G59,"0.00%")&amp;", no rate change"</f>
        <v>0.05%, no rate change</v>
      </c>
      <c r="S49" s="83">
        <f t="shared" si="20"/>
        <v>3.0303030303030304E-2</v>
      </c>
      <c r="T49" s="2">
        <f>ROUND((T41+T30)*LEFT(U49,5),0)</f>
        <v>34</v>
      </c>
      <c r="U49" s="81" t="str">
        <f>TEXT('MYP Assumptions'!H59,"0.00%")&amp;", no rate change"</f>
        <v>0.05%, no rate change</v>
      </c>
      <c r="W49" s="83">
        <f t="shared" si="21"/>
        <v>0</v>
      </c>
      <c r="X49" s="2">
        <f>ROUND((X41+X30)*LEFT(Y49,5),0)</f>
        <v>34</v>
      </c>
      <c r="Y49" s="81" t="str">
        <f>TEXT('MYP Assumptions'!I59,"0.00%")&amp;", no rate change"</f>
        <v>0.05%, no rate change</v>
      </c>
      <c r="AA49" s="83">
        <f t="shared" si="22"/>
        <v>2.9411764705882353E-2</v>
      </c>
      <c r="AB49" s="2">
        <f>ROUND((AB41+AB30)*LEFT(AC49,5),0)</f>
        <v>35</v>
      </c>
      <c r="AC49" s="81" t="str">
        <f>TEXT('MYP Assumptions'!J59,"0.00%")&amp;", no rate change"</f>
        <v>0.05%, no rate change</v>
      </c>
    </row>
    <row r="50" spans="1:29" x14ac:dyDescent="0.25">
      <c r="A50" s="152"/>
      <c r="B50" s="939" t="s">
        <v>89</v>
      </c>
      <c r="C50" s="857" t="s">
        <v>82</v>
      </c>
      <c r="D50" s="2">
        <v>27.92</v>
      </c>
      <c r="E50" s="854" t="str">
        <f>TEXT('MYP Assumptions'!$D$60,"0.00%")&amp;", W/C rate"</f>
        <v>1.10%, W/C rate</v>
      </c>
      <c r="F50" s="2"/>
      <c r="G50" s="83">
        <f t="shared" si="17"/>
        <v>22.101719197707737</v>
      </c>
      <c r="H50" s="389">
        <f>8+637</f>
        <v>645</v>
      </c>
      <c r="I50" s="967" t="str">
        <f>TEXT('MYP Assumptions'!E60,"0.00%")&amp;", no rate change"</f>
        <v>0.80%, no rate change</v>
      </c>
      <c r="J50" s="449"/>
      <c r="K50" s="450">
        <f t="shared" si="18"/>
        <v>-0.19534883720930232</v>
      </c>
      <c r="L50" s="389">
        <f>ROUND((L41+L30)*LEFT(M50,5),0)</f>
        <v>519</v>
      </c>
      <c r="M50" s="967" t="str">
        <f>TEXT('MYP Assumptions'!F60,"0.00%")&amp;", no rate change"</f>
        <v>0.80%, no rate change</v>
      </c>
      <c r="N50" s="451"/>
      <c r="O50" s="450">
        <f t="shared" si="19"/>
        <v>1.9267822736030827E-2</v>
      </c>
      <c r="P50" s="389">
        <f>ROUND((P41+P30)*LEFT(Q50,5),0)</f>
        <v>529</v>
      </c>
      <c r="Q50" s="967" t="str">
        <f>TEXT('MYP Assumptions'!G60,"0.00%")&amp;", no rate change"</f>
        <v>0.80%, no rate change</v>
      </c>
      <c r="S50" s="83">
        <f t="shared" si="20"/>
        <v>2.0793950850661626E-2</v>
      </c>
      <c r="T50" s="2">
        <f>ROUND((T41+T30)*LEFT(U50,5),0)</f>
        <v>540</v>
      </c>
      <c r="U50" s="81" t="str">
        <f>TEXT('MYP Assumptions'!H60,"0.00%")&amp;", no rate change"</f>
        <v>0.80%, no rate change</v>
      </c>
      <c r="W50" s="83">
        <f t="shared" si="21"/>
        <v>2.0370370370370372E-2</v>
      </c>
      <c r="X50" s="2">
        <f>ROUND((X41+X30)*LEFT(Y50,5),0)</f>
        <v>551</v>
      </c>
      <c r="Y50" s="81" t="str">
        <f>TEXT('MYP Assumptions'!I60,"0.00%")&amp;", no rate change"</f>
        <v>0.80%, no rate change</v>
      </c>
      <c r="AA50" s="83">
        <f t="shared" si="22"/>
        <v>1.9963702359346643E-2</v>
      </c>
      <c r="AB50" s="2">
        <f>ROUND((AB41+AB30)*LEFT(AC50,5),0)</f>
        <v>562</v>
      </c>
      <c r="AC50" s="81" t="str">
        <f>TEXT('MYP Assumptions'!J60,"0.00%")&amp;", no rate change"</f>
        <v>0.80%, no rate change</v>
      </c>
    </row>
    <row r="51" spans="1:29" x14ac:dyDescent="0.25">
      <c r="A51" s="152"/>
      <c r="B51" s="939" t="s">
        <v>91</v>
      </c>
      <c r="C51" s="857" t="s">
        <v>93</v>
      </c>
      <c r="D51" s="2">
        <v>563.01</v>
      </c>
      <c r="E51" s="863"/>
      <c r="F51" s="2"/>
      <c r="G51" s="83">
        <f t="shared" ref="G51" si="23">IF(D51=0,"0.00%",(H51-D51)/D51)</f>
        <v>-1</v>
      </c>
      <c r="H51" s="389">
        <v>0</v>
      </c>
      <c r="I51" s="967" t="s">
        <v>166</v>
      </c>
      <c r="J51" s="449"/>
      <c r="K51" s="450" t="str">
        <f t="shared" ref="K51" si="24">IF(H51=0,"0.00%",(L51-H51)/H51)</f>
        <v>0.00%</v>
      </c>
      <c r="L51" s="389">
        <f>H51</f>
        <v>0</v>
      </c>
      <c r="M51" s="967" t="s">
        <v>166</v>
      </c>
      <c r="N51" s="451"/>
      <c r="O51" s="450" t="str">
        <f t="shared" ref="O51" si="25">IF(L51=0,"0.00%",(P51-L51)/L51)</f>
        <v>0.00%</v>
      </c>
      <c r="P51" s="389">
        <f>L51</f>
        <v>0</v>
      </c>
      <c r="Q51" s="967" t="s">
        <v>166</v>
      </c>
      <c r="S51" s="83" t="str">
        <f t="shared" ref="S51" si="26">IF(P51=0,"0.00%",(T51-P51)/P51)</f>
        <v>0.00%</v>
      </c>
      <c r="T51" s="2">
        <f>P51</f>
        <v>0</v>
      </c>
      <c r="U51" s="81" t="s">
        <v>166</v>
      </c>
      <c r="W51" s="83" t="str">
        <f t="shared" ref="W51" si="27">IF(T51=0,"0.00%",(X51-T51)/T51)</f>
        <v>0.00%</v>
      </c>
      <c r="X51" s="2">
        <f>T51</f>
        <v>0</v>
      </c>
      <c r="Y51" s="81" t="s">
        <v>166</v>
      </c>
      <c r="AA51" s="83" t="str">
        <f t="shared" ref="AA51" si="28">IF(X51=0,"0.00%",(AB51-X51)/X51)</f>
        <v>0.00%</v>
      </c>
      <c r="AB51" s="2">
        <f>X51</f>
        <v>0</v>
      </c>
      <c r="AC51" s="81" t="s">
        <v>166</v>
      </c>
    </row>
    <row r="52" spans="1:29" x14ac:dyDescent="0.25">
      <c r="A52" s="152"/>
      <c r="B52" s="939"/>
      <c r="E52" s="863"/>
      <c r="F52" s="2"/>
      <c r="G52" s="83"/>
      <c r="H52" s="389"/>
      <c r="I52" s="967"/>
      <c r="J52" s="449"/>
      <c r="K52" s="450"/>
      <c r="L52" s="389"/>
      <c r="M52" s="967"/>
      <c r="N52" s="451"/>
      <c r="O52" s="450"/>
      <c r="P52" s="389"/>
      <c r="Q52" s="967"/>
      <c r="S52" s="83"/>
      <c r="T52" s="2"/>
      <c r="U52" s="81"/>
      <c r="W52" s="83"/>
      <c r="X52" s="2"/>
      <c r="Y52" s="81"/>
      <c r="AA52" s="83"/>
      <c r="AB52" s="2"/>
      <c r="AC52" s="81"/>
    </row>
    <row r="53" spans="1:29" x14ac:dyDescent="0.25">
      <c r="A53" s="153"/>
      <c r="B53" s="939"/>
      <c r="D53" s="8">
        <f>SUM(D44:D52)</f>
        <v>20105.049999999992</v>
      </c>
      <c r="E53" s="863"/>
      <c r="F53" s="2"/>
      <c r="G53" s="83">
        <f t="shared" si="17"/>
        <v>0.19029795996528281</v>
      </c>
      <c r="H53" s="452">
        <f>SUM(H44:H52)</f>
        <v>23931</v>
      </c>
      <c r="I53" s="1292">
        <f>+H53-D53</f>
        <v>3825.950000000008</v>
      </c>
      <c r="J53" s="453"/>
      <c r="K53" s="450">
        <f t="shared" si="18"/>
        <v>4.7636956249216496E-2</v>
      </c>
      <c r="L53" s="452">
        <f>SUM(L44:L52)</f>
        <v>25071</v>
      </c>
      <c r="M53" s="1292">
        <f>+L53-H53</f>
        <v>1140</v>
      </c>
      <c r="N53" s="451"/>
      <c r="O53" s="450">
        <f t="shared" si="19"/>
        <v>0.1054604922021459</v>
      </c>
      <c r="P53" s="452">
        <f>SUM(P44:P52)</f>
        <v>27715</v>
      </c>
      <c r="Q53" s="1292">
        <f>+P53-L53</f>
        <v>2644</v>
      </c>
      <c r="S53" s="83">
        <f t="shared" si="20"/>
        <v>0.10575500631427025</v>
      </c>
      <c r="T53" s="8">
        <f>SUM(T44:T52)</f>
        <v>30646</v>
      </c>
      <c r="U53" s="73"/>
      <c r="W53" s="83">
        <f t="shared" si="21"/>
        <v>6.4706650133785806E-2</v>
      </c>
      <c r="X53" s="8">
        <f>SUM(X44:X52)</f>
        <v>32629</v>
      </c>
      <c r="Y53" s="73"/>
      <c r="AA53" s="83">
        <f t="shared" si="22"/>
        <v>5.3449385515952068E-2</v>
      </c>
      <c r="AB53" s="8">
        <f>SUM(AB44:AB52)</f>
        <v>34373</v>
      </c>
      <c r="AC53" s="73"/>
    </row>
    <row r="54" spans="1:29" x14ac:dyDescent="0.25">
      <c r="A54" s="154"/>
      <c r="B54" s="939"/>
      <c r="E54" s="863"/>
      <c r="F54" s="2"/>
      <c r="H54" s="389"/>
      <c r="I54" s="965"/>
      <c r="J54" s="449"/>
      <c r="K54" s="1871"/>
      <c r="L54" s="389"/>
      <c r="M54" s="969"/>
      <c r="N54" s="451"/>
      <c r="O54" s="1871"/>
      <c r="P54" s="389"/>
      <c r="Q54" s="969"/>
      <c r="T54" s="2"/>
      <c r="U54" s="73"/>
      <c r="X54" s="2"/>
      <c r="Y54" s="73"/>
      <c r="AB54" s="2"/>
      <c r="AC54" s="73"/>
    </row>
    <row r="55" spans="1:29" x14ac:dyDescent="0.25">
      <c r="A55" s="153"/>
      <c r="B55" s="936" t="s">
        <v>26</v>
      </c>
      <c r="D55" s="8">
        <f>SUM(D53,D41,D30)</f>
        <v>78290.36</v>
      </c>
      <c r="E55" s="863"/>
      <c r="F55" s="2"/>
      <c r="G55" s="83">
        <f>IF(D55=0,"0.00%",(H55-D55)/D55)</f>
        <v>0.1198058100639721</v>
      </c>
      <c r="H55" s="452">
        <f>SUM(H53,H41,H30)</f>
        <v>87670</v>
      </c>
      <c r="I55" s="1292">
        <f>+H55-D55</f>
        <v>9379.64</v>
      </c>
      <c r="J55" s="453"/>
      <c r="K55" s="450">
        <f>IF(H55=0,"0.00%",(L55-H55)/H55)</f>
        <v>2.663396829017908E-2</v>
      </c>
      <c r="L55" s="452">
        <f>SUM(L53,L41,L30)</f>
        <v>90005</v>
      </c>
      <c r="M55" s="1292">
        <f>+L55-H55</f>
        <v>2335</v>
      </c>
      <c r="N55" s="451"/>
      <c r="O55" s="450">
        <f>IF(L55=0,"0.00%",(P55-L55)/L55)</f>
        <v>4.2919837786789622E-2</v>
      </c>
      <c r="P55" s="452">
        <f>SUM(P53,P41,P30)</f>
        <v>93868</v>
      </c>
      <c r="Q55" s="1292">
        <f>+P55-L55</f>
        <v>3863</v>
      </c>
      <c r="S55" s="83">
        <f>IF(P55=0,"0.00%",(T55-P55)/P55)</f>
        <v>4.531895853752077E-2</v>
      </c>
      <c r="T55" s="8">
        <f>SUM(T53,T41,T30)</f>
        <v>98122</v>
      </c>
      <c r="U55" s="73"/>
      <c r="W55" s="83">
        <f>IF(T55=0,"0.00%",(X55-T55)/T55)</f>
        <v>3.3967917490471046E-2</v>
      </c>
      <c r="X55" s="8">
        <f>SUM(X53,X41,X30)</f>
        <v>101455</v>
      </c>
      <c r="Y55" s="73"/>
      <c r="AA55" s="83">
        <f>IF(X55=0,"0.00%",(AB55-X55)/X55)</f>
        <v>3.0752550391799319E-2</v>
      </c>
      <c r="AB55" s="8">
        <f>SUM(AB53,AB41,AB30)</f>
        <v>104575</v>
      </c>
      <c r="AC55" s="73"/>
    </row>
    <row r="56" spans="1:29" x14ac:dyDescent="0.25">
      <c r="A56" s="155"/>
      <c r="E56" s="863"/>
      <c r="F56" s="2"/>
      <c r="H56" s="389"/>
      <c r="I56" s="965"/>
      <c r="J56" s="449"/>
      <c r="K56" s="1871"/>
      <c r="L56" s="389"/>
      <c r="M56" s="969"/>
      <c r="N56" s="451"/>
      <c r="O56" s="1871"/>
      <c r="P56" s="389"/>
      <c r="Q56" s="969"/>
      <c r="T56" s="2"/>
      <c r="U56" s="73"/>
      <c r="X56" s="2"/>
      <c r="Y56" s="73"/>
      <c r="AB56" s="2"/>
      <c r="AC56" s="73"/>
    </row>
    <row r="57" spans="1:29" hidden="1" x14ac:dyDescent="0.25">
      <c r="A57" s="152"/>
      <c r="E57" s="863"/>
      <c r="F57" s="2"/>
      <c r="H57" s="389"/>
      <c r="I57" s="965"/>
      <c r="J57" s="449"/>
      <c r="K57" s="1871"/>
      <c r="L57" s="389"/>
      <c r="M57" s="969"/>
      <c r="N57" s="451"/>
      <c r="O57" s="1871"/>
      <c r="P57" s="389"/>
      <c r="Q57" s="969"/>
      <c r="T57" s="2"/>
      <c r="U57" s="73"/>
      <c r="X57" s="2"/>
      <c r="Y57" s="73"/>
      <c r="AB57" s="2"/>
      <c r="AC57" s="73"/>
    </row>
    <row r="58" spans="1:29" hidden="1" x14ac:dyDescent="0.25">
      <c r="A58" s="155"/>
      <c r="B58" s="940" t="s">
        <v>25</v>
      </c>
      <c r="C58" s="873"/>
      <c r="E58" s="863"/>
      <c r="F58" s="2"/>
      <c r="H58" s="389"/>
      <c r="I58" s="965"/>
      <c r="J58" s="449"/>
      <c r="K58" s="1871"/>
      <c r="L58" s="389"/>
      <c r="M58" s="969"/>
      <c r="N58" s="451"/>
      <c r="O58" s="1871"/>
      <c r="P58" s="389"/>
      <c r="Q58" s="969"/>
      <c r="T58" s="2"/>
      <c r="U58" s="73"/>
      <c r="X58" s="2"/>
      <c r="Y58" s="73"/>
      <c r="AB58" s="2"/>
      <c r="AC58" s="73"/>
    </row>
    <row r="59" spans="1:29" hidden="1" x14ac:dyDescent="0.25">
      <c r="A59" s="152"/>
      <c r="B59" s="939">
        <v>4310</v>
      </c>
      <c r="C59" s="857" t="s">
        <v>23</v>
      </c>
      <c r="D59" s="2">
        <v>0</v>
      </c>
      <c r="E59" s="863"/>
      <c r="F59" s="2"/>
      <c r="G59" s="83" t="str">
        <f t="shared" ref="G59:G66" si="29">IF(D59=0,"0.00%",(H59-D59)/D59)</f>
        <v>0.00%</v>
      </c>
      <c r="H59" s="389">
        <f t="shared" ref="H59:H65" si="30">ROUND(D59*(LEFT(I59,5)+1),0)</f>
        <v>0</v>
      </c>
      <c r="I59" s="967" t="str">
        <f>TEXT('MYP Assumptions'!E75,"0.00%")&amp;", CPI"</f>
        <v>3.42%, CPI</v>
      </c>
      <c r="J59" s="449"/>
      <c r="K59" s="450" t="str">
        <f t="shared" ref="K59:K66" si="31">IF(H59=0,"0.00%",(L59-H59)/H59)</f>
        <v>0.00%</v>
      </c>
      <c r="L59" s="389">
        <f>ROUND(H59*(LEFT(M59,5)+1),0)</f>
        <v>0</v>
      </c>
      <c r="M59" s="967" t="str">
        <f>TEXT('MYP Assumptions'!F75,"0.00%")&amp;", CPI"</f>
        <v>3.35%, CPI</v>
      </c>
      <c r="N59" s="451"/>
      <c r="O59" s="450" t="str">
        <f t="shared" ref="O59:O66" si="32">IF(L59=0,"0.00%",(P59-L59)/L59)</f>
        <v>0.00%</v>
      </c>
      <c r="P59" s="389">
        <f>ROUND(L59*(LEFT(Q59,5)+1),0)</f>
        <v>0</v>
      </c>
      <c r="Q59" s="967" t="str">
        <f>TEXT('MYP Assumptions'!G75,"0.00%")&amp;", CPI"</f>
        <v>3.02%, CPI</v>
      </c>
      <c r="S59" s="83" t="str">
        <f t="shared" ref="S59:S66" si="33">IF(P59=0,"0.00%",(T59-P59)/P59)</f>
        <v>0.00%</v>
      </c>
      <c r="T59" s="2">
        <f>ROUND(P59*(LEFT(U59,5)+1),0)</f>
        <v>0</v>
      </c>
      <c r="U59" s="81" t="str">
        <f>TEXT('MYP Assumptions'!H75,"0.00%")&amp;", CPI"</f>
        <v>2.73%, CPI</v>
      </c>
      <c r="W59" s="83" t="str">
        <f t="shared" ref="W59:W66" si="34">IF(T59=0,"0.00%",(X59-T59)/T59)</f>
        <v>0.00%</v>
      </c>
      <c r="X59" s="2">
        <f>ROUND(T59*(LEFT(Y59,5)+1),0)</f>
        <v>0</v>
      </c>
      <c r="Y59" s="81" t="str">
        <f>TEXT('MYP Assumptions'!I75,"0.00%")&amp;", CPI"</f>
        <v>2.73%, CPI</v>
      </c>
      <c r="AA59" s="83" t="str">
        <f t="shared" ref="AA59:AA66" si="35">IF(X59=0,"0.00%",(AB59-X59)/X59)</f>
        <v>0.00%</v>
      </c>
      <c r="AB59" s="2">
        <f>ROUND(X59*(LEFT(AC59,5)+1),0)</f>
        <v>0</v>
      </c>
      <c r="AC59" s="81" t="str">
        <f>TEXT('MYP Assumptions'!J75,"0.00%")&amp;", CPI"</f>
        <v>2.73%, CPI</v>
      </c>
    </row>
    <row r="60" spans="1:29" hidden="1" x14ac:dyDescent="0.25">
      <c r="A60" s="152"/>
      <c r="B60" s="939">
        <v>4311</v>
      </c>
      <c r="C60" s="857" t="s">
        <v>96</v>
      </c>
      <c r="D60" s="2">
        <v>0</v>
      </c>
      <c r="E60" s="863"/>
      <c r="F60" s="2"/>
      <c r="G60" s="83" t="str">
        <f t="shared" si="29"/>
        <v>0.00%</v>
      </c>
      <c r="H60" s="389">
        <f t="shared" si="30"/>
        <v>0</v>
      </c>
      <c r="I60" s="967" t="str">
        <f>TEXT('MYP Assumptions'!E75,"0.00%")&amp;", CPI"</f>
        <v>3.42%, CPI</v>
      </c>
      <c r="J60" s="449"/>
      <c r="K60" s="450" t="str">
        <f t="shared" si="31"/>
        <v>0.00%</v>
      </c>
      <c r="L60" s="389">
        <f t="shared" ref="L60:L62" si="36">ROUND(H60*(LEFT(M60,5)+1),0)</f>
        <v>0</v>
      </c>
      <c r="M60" s="967" t="str">
        <f>TEXT('MYP Assumptions'!F75,"0.00%")&amp;", CPI"</f>
        <v>3.35%, CPI</v>
      </c>
      <c r="N60" s="451"/>
      <c r="O60" s="450" t="str">
        <f t="shared" si="32"/>
        <v>0.00%</v>
      </c>
      <c r="P60" s="389">
        <f t="shared" ref="P60:P61" si="37">ROUND(L60*(LEFT(Q60,5)+1),0)</f>
        <v>0</v>
      </c>
      <c r="Q60" s="967" t="str">
        <f>TEXT('MYP Assumptions'!G75,"0.00%")&amp;", CPI"</f>
        <v>3.02%, CPI</v>
      </c>
      <c r="S60" s="83" t="str">
        <f t="shared" si="33"/>
        <v>0.00%</v>
      </c>
      <c r="T60" s="2">
        <f t="shared" ref="T60:T65" si="38">ROUND(P60*(LEFT(U60,5)+1),0)</f>
        <v>0</v>
      </c>
      <c r="U60" s="81" t="str">
        <f>TEXT('MYP Assumptions'!H75,"0.00%")&amp;", CPI"</f>
        <v>2.73%, CPI</v>
      </c>
      <c r="W60" s="83" t="str">
        <f t="shared" si="34"/>
        <v>0.00%</v>
      </c>
      <c r="X60" s="2">
        <f t="shared" ref="X60:X65" si="39">ROUND(T60*(LEFT(Y60,5)+1),0)</f>
        <v>0</v>
      </c>
      <c r="Y60" s="81" t="str">
        <f>TEXT('MYP Assumptions'!I75,"0.00%")&amp;", CPI"</f>
        <v>2.73%, CPI</v>
      </c>
      <c r="AA60" s="83" t="str">
        <f t="shared" si="35"/>
        <v>0.00%</v>
      </c>
      <c r="AB60" s="2">
        <f t="shared" ref="AB60:AB65" si="40">ROUND(X60*(LEFT(AC60,5)+1),0)</f>
        <v>0</v>
      </c>
      <c r="AC60" s="81" t="str">
        <f>TEXT('MYP Assumptions'!J75,"0.00%")&amp;", CPI"</f>
        <v>2.73%, CPI</v>
      </c>
    </row>
    <row r="61" spans="1:29" hidden="1" x14ac:dyDescent="0.25">
      <c r="A61" s="152"/>
      <c r="B61" s="939">
        <v>4344</v>
      </c>
      <c r="C61" s="857" t="s">
        <v>97</v>
      </c>
      <c r="D61" s="2">
        <v>0</v>
      </c>
      <c r="E61" s="863"/>
      <c r="F61" s="2"/>
      <c r="G61" s="83" t="str">
        <f t="shared" si="29"/>
        <v>0.00%</v>
      </c>
      <c r="H61" s="389">
        <f t="shared" si="30"/>
        <v>0</v>
      </c>
      <c r="I61" s="967" t="str">
        <f>TEXT('MYP Assumptions'!E75,"0.00%")&amp;", CPI"</f>
        <v>3.42%, CPI</v>
      </c>
      <c r="J61" s="449"/>
      <c r="K61" s="450" t="str">
        <f t="shared" si="31"/>
        <v>0.00%</v>
      </c>
      <c r="L61" s="389">
        <f t="shared" si="36"/>
        <v>0</v>
      </c>
      <c r="M61" s="967" t="str">
        <f>TEXT('MYP Assumptions'!F75,"0.00%")&amp;", CPI"</f>
        <v>3.35%, CPI</v>
      </c>
      <c r="N61" s="451"/>
      <c r="O61" s="450" t="str">
        <f t="shared" si="32"/>
        <v>0.00%</v>
      </c>
      <c r="P61" s="389">
        <f t="shared" si="37"/>
        <v>0</v>
      </c>
      <c r="Q61" s="967" t="str">
        <f>TEXT('MYP Assumptions'!G75,"0.00%")&amp;", CPI"</f>
        <v>3.02%, CPI</v>
      </c>
      <c r="S61" s="83" t="str">
        <f t="shared" si="33"/>
        <v>0.00%</v>
      </c>
      <c r="T61" s="2">
        <f t="shared" si="38"/>
        <v>0</v>
      </c>
      <c r="U61" s="81" t="str">
        <f>TEXT('MYP Assumptions'!H75,"0.00%")&amp;", CPI"</f>
        <v>2.73%, CPI</v>
      </c>
      <c r="W61" s="83" t="str">
        <f t="shared" si="34"/>
        <v>0.00%</v>
      </c>
      <c r="X61" s="2">
        <f t="shared" si="39"/>
        <v>0</v>
      </c>
      <c r="Y61" s="81" t="str">
        <f>TEXT('MYP Assumptions'!I75,"0.00%")&amp;", CPI"</f>
        <v>2.73%, CPI</v>
      </c>
      <c r="AA61" s="83" t="str">
        <f t="shared" si="35"/>
        <v>0.00%</v>
      </c>
      <c r="AB61" s="2">
        <f t="shared" si="40"/>
        <v>0</v>
      </c>
      <c r="AC61" s="81" t="str">
        <f>TEXT('MYP Assumptions'!J75,"0.00%")&amp;", CPI"</f>
        <v>2.73%, CPI</v>
      </c>
    </row>
    <row r="62" spans="1:29" hidden="1" x14ac:dyDescent="0.25">
      <c r="A62" s="152"/>
      <c r="B62" s="939">
        <v>4353</v>
      </c>
      <c r="C62" s="857" t="s">
        <v>21</v>
      </c>
      <c r="D62" s="2">
        <v>0</v>
      </c>
      <c r="E62" s="863"/>
      <c r="F62" s="2"/>
      <c r="G62" s="83" t="str">
        <f t="shared" si="29"/>
        <v>0.00%</v>
      </c>
      <c r="H62" s="389">
        <f t="shared" si="30"/>
        <v>0</v>
      </c>
      <c r="I62" s="967" t="str">
        <f>TEXT('MYP Assumptions'!E75,"0.00%")&amp;", CPI"</f>
        <v>3.42%, CPI</v>
      </c>
      <c r="J62" s="449"/>
      <c r="K62" s="450" t="str">
        <f t="shared" si="31"/>
        <v>0.00%</v>
      </c>
      <c r="L62" s="389">
        <f t="shared" si="36"/>
        <v>0</v>
      </c>
      <c r="M62" s="967" t="str">
        <f>TEXT('MYP Assumptions'!F75,"0.00%")&amp;", CPI"</f>
        <v>3.35%, CPI</v>
      </c>
      <c r="N62" s="451"/>
      <c r="O62" s="450" t="str">
        <f t="shared" si="32"/>
        <v>0.00%</v>
      </c>
      <c r="P62" s="389">
        <f t="shared" ref="P62:P65" si="41">ROUND(L62*(LEFT(Q62,5)+1),0)</f>
        <v>0</v>
      </c>
      <c r="Q62" s="967" t="str">
        <f>TEXT('MYP Assumptions'!G75,"0.00%")&amp;", CPI"</f>
        <v>3.02%, CPI</v>
      </c>
      <c r="S62" s="83" t="str">
        <f t="shared" si="33"/>
        <v>0.00%</v>
      </c>
      <c r="T62" s="2">
        <f t="shared" si="38"/>
        <v>0</v>
      </c>
      <c r="U62" s="81" t="str">
        <f>TEXT('MYP Assumptions'!H75,"0.00%")&amp;", CPI"</f>
        <v>2.73%, CPI</v>
      </c>
      <c r="W62" s="83" t="str">
        <f t="shared" si="34"/>
        <v>0.00%</v>
      </c>
      <c r="X62" s="2">
        <f t="shared" si="39"/>
        <v>0</v>
      </c>
      <c r="Y62" s="81" t="str">
        <f>TEXT('MYP Assumptions'!I75,"0.00%")&amp;", CPI"</f>
        <v>2.73%, CPI</v>
      </c>
      <c r="AA62" s="83" t="str">
        <f t="shared" si="35"/>
        <v>0.00%</v>
      </c>
      <c r="AB62" s="2">
        <f t="shared" si="40"/>
        <v>0</v>
      </c>
      <c r="AC62" s="81" t="str">
        <f>TEXT('MYP Assumptions'!J75,"0.00%")&amp;", CPI"</f>
        <v>2.73%, CPI</v>
      </c>
    </row>
    <row r="63" spans="1:29" hidden="1" x14ac:dyDescent="0.25">
      <c r="A63" s="152"/>
      <c r="B63" s="939">
        <v>4400</v>
      </c>
      <c r="C63" s="857" t="s">
        <v>19</v>
      </c>
      <c r="D63" s="2">
        <v>0</v>
      </c>
      <c r="E63" s="863"/>
      <c r="F63" s="2"/>
      <c r="G63" s="83" t="str">
        <f t="shared" si="29"/>
        <v>0.00%</v>
      </c>
      <c r="H63" s="389">
        <f t="shared" si="30"/>
        <v>0</v>
      </c>
      <c r="I63" s="967" t="str">
        <f>TEXT('MYP Assumptions'!E75,"0.00%")&amp;", CPI"</f>
        <v>3.42%, CPI</v>
      </c>
      <c r="J63" s="449"/>
      <c r="K63" s="450" t="str">
        <f t="shared" si="31"/>
        <v>0.00%</v>
      </c>
      <c r="L63" s="389">
        <f t="shared" ref="L63:L65" si="42">ROUND(H63*(LEFT(M63,5)+1),0)</f>
        <v>0</v>
      </c>
      <c r="M63" s="967" t="str">
        <f>TEXT('MYP Assumptions'!F75,"0.00%")&amp;", CPI"</f>
        <v>3.35%, CPI</v>
      </c>
      <c r="N63" s="451"/>
      <c r="O63" s="450" t="str">
        <f t="shared" si="32"/>
        <v>0.00%</v>
      </c>
      <c r="P63" s="389">
        <f t="shared" si="41"/>
        <v>0</v>
      </c>
      <c r="Q63" s="967" t="str">
        <f>TEXT('MYP Assumptions'!G75,"0.00%")&amp;", CPI"</f>
        <v>3.02%, CPI</v>
      </c>
      <c r="S63" s="83" t="str">
        <f t="shared" si="33"/>
        <v>0.00%</v>
      </c>
      <c r="T63" s="2">
        <f t="shared" si="38"/>
        <v>0</v>
      </c>
      <c r="U63" s="81" t="str">
        <f>TEXT('MYP Assumptions'!H75,"0.00%")&amp;", CPI"</f>
        <v>2.73%, CPI</v>
      </c>
      <c r="W63" s="83" t="str">
        <f t="shared" si="34"/>
        <v>0.00%</v>
      </c>
      <c r="X63" s="2">
        <f t="shared" si="39"/>
        <v>0</v>
      </c>
      <c r="Y63" s="81" t="str">
        <f>TEXT('MYP Assumptions'!I75,"0.00%")&amp;", CPI"</f>
        <v>2.73%, CPI</v>
      </c>
      <c r="AA63" s="83" t="str">
        <f t="shared" si="35"/>
        <v>0.00%</v>
      </c>
      <c r="AB63" s="2">
        <f t="shared" si="40"/>
        <v>0</v>
      </c>
      <c r="AC63" s="81" t="str">
        <f>TEXT('MYP Assumptions'!J75,"0.00%")&amp;", CPI"</f>
        <v>2.73%, CPI</v>
      </c>
    </row>
    <row r="64" spans="1:29" hidden="1" x14ac:dyDescent="0.25">
      <c r="A64" s="152"/>
      <c r="B64" s="939">
        <v>4000</v>
      </c>
      <c r="D64" s="2">
        <v>0</v>
      </c>
      <c r="E64" s="863"/>
      <c r="F64" s="2"/>
      <c r="G64" s="83" t="str">
        <f t="shared" si="29"/>
        <v>0.00%</v>
      </c>
      <c r="H64" s="389">
        <f t="shared" si="30"/>
        <v>0</v>
      </c>
      <c r="I64" s="967" t="str">
        <f>TEXT('MYP Assumptions'!E75,"0.00%")&amp;", CPI"</f>
        <v>3.42%, CPI</v>
      </c>
      <c r="J64" s="449"/>
      <c r="K64" s="450" t="str">
        <f t="shared" si="31"/>
        <v>0.00%</v>
      </c>
      <c r="L64" s="389">
        <f t="shared" si="42"/>
        <v>0</v>
      </c>
      <c r="M64" s="967" t="str">
        <f>TEXT('MYP Assumptions'!F75,"0.00%")&amp;", CPI"</f>
        <v>3.35%, CPI</v>
      </c>
      <c r="N64" s="451"/>
      <c r="O64" s="450" t="str">
        <f t="shared" si="32"/>
        <v>0.00%</v>
      </c>
      <c r="P64" s="389">
        <f t="shared" si="41"/>
        <v>0</v>
      </c>
      <c r="Q64" s="967" t="str">
        <f>TEXT('MYP Assumptions'!G75,"0.00%")&amp;", CPI"</f>
        <v>3.02%, CPI</v>
      </c>
      <c r="S64" s="83" t="str">
        <f t="shared" si="33"/>
        <v>0.00%</v>
      </c>
      <c r="T64" s="2">
        <f t="shared" si="38"/>
        <v>0</v>
      </c>
      <c r="U64" s="81" t="str">
        <f>TEXT('MYP Assumptions'!H75,"0.00%")&amp;", CPI"</f>
        <v>2.73%, CPI</v>
      </c>
      <c r="W64" s="83" t="str">
        <f t="shared" si="34"/>
        <v>0.00%</v>
      </c>
      <c r="X64" s="2">
        <f t="shared" si="39"/>
        <v>0</v>
      </c>
      <c r="Y64" s="81" t="str">
        <f>TEXT('MYP Assumptions'!I75,"0.00%")&amp;", CPI"</f>
        <v>2.73%, CPI</v>
      </c>
      <c r="AA64" s="83" t="str">
        <f t="shared" si="35"/>
        <v>0.00%</v>
      </c>
      <c r="AB64" s="2">
        <f t="shared" si="40"/>
        <v>0</v>
      </c>
      <c r="AC64" s="81" t="str">
        <f>TEXT('MYP Assumptions'!J75,"0.00%")&amp;", CPI"</f>
        <v>2.73%, CPI</v>
      </c>
    </row>
    <row r="65" spans="1:29" hidden="1" x14ac:dyDescent="0.25">
      <c r="A65" s="152"/>
      <c r="B65" s="939">
        <v>4000</v>
      </c>
      <c r="C65" s="941"/>
      <c r="D65" s="2">
        <v>0</v>
      </c>
      <c r="E65" s="863"/>
      <c r="F65" s="2"/>
      <c r="G65" s="83" t="str">
        <f t="shared" si="29"/>
        <v>0.00%</v>
      </c>
      <c r="H65" s="389">
        <f t="shared" si="30"/>
        <v>0</v>
      </c>
      <c r="I65" s="967" t="str">
        <f>TEXT('MYP Assumptions'!E75,"0.00%")&amp;", CPI"</f>
        <v>3.42%, CPI</v>
      </c>
      <c r="J65" s="449"/>
      <c r="K65" s="450" t="str">
        <f t="shared" si="31"/>
        <v>0.00%</v>
      </c>
      <c r="L65" s="389">
        <f t="shared" si="42"/>
        <v>0</v>
      </c>
      <c r="M65" s="967" t="str">
        <f>TEXT('MYP Assumptions'!F75,"0.00%")&amp;", CPI"</f>
        <v>3.35%, CPI</v>
      </c>
      <c r="N65" s="451"/>
      <c r="O65" s="450" t="str">
        <f t="shared" si="32"/>
        <v>0.00%</v>
      </c>
      <c r="P65" s="389">
        <f t="shared" si="41"/>
        <v>0</v>
      </c>
      <c r="Q65" s="967" t="str">
        <f>TEXT('MYP Assumptions'!G75,"0.00%")&amp;", CPI"</f>
        <v>3.02%, CPI</v>
      </c>
      <c r="S65" s="83" t="str">
        <f t="shared" si="33"/>
        <v>0.00%</v>
      </c>
      <c r="T65" s="2">
        <f t="shared" si="38"/>
        <v>0</v>
      </c>
      <c r="U65" s="81" t="str">
        <f>TEXT('MYP Assumptions'!H75,"0.00%")&amp;", CPI"</f>
        <v>2.73%, CPI</v>
      </c>
      <c r="W65" s="83" t="str">
        <f t="shared" si="34"/>
        <v>0.00%</v>
      </c>
      <c r="X65" s="2">
        <f t="shared" si="39"/>
        <v>0</v>
      </c>
      <c r="Y65" s="81" t="str">
        <f>TEXT('MYP Assumptions'!I75,"0.00%")&amp;", CPI"</f>
        <v>2.73%, CPI</v>
      </c>
      <c r="AA65" s="83" t="str">
        <f t="shared" si="35"/>
        <v>0.00%</v>
      </c>
      <c r="AB65" s="2">
        <f t="shared" si="40"/>
        <v>0</v>
      </c>
      <c r="AC65" s="81" t="str">
        <f>TEXT('MYP Assumptions'!J75,"0.00%")&amp;", CPI"</f>
        <v>2.73%, CPI</v>
      </c>
    </row>
    <row r="66" spans="1:29" hidden="1" x14ac:dyDescent="0.25">
      <c r="A66" s="153"/>
      <c r="B66" s="857"/>
      <c r="D66" s="8">
        <f>SUM(D59:D65)</f>
        <v>0</v>
      </c>
      <c r="E66" s="863"/>
      <c r="F66" s="2"/>
      <c r="G66" s="83" t="str">
        <f t="shared" si="29"/>
        <v>0.00%</v>
      </c>
      <c r="H66" s="452">
        <f>SUM(H59:H65)</f>
        <v>0</v>
      </c>
      <c r="I66" s="966"/>
      <c r="J66" s="453"/>
      <c r="K66" s="450" t="str">
        <f t="shared" si="31"/>
        <v>0.00%</v>
      </c>
      <c r="L66" s="452">
        <f>SUM(L59:L65)</f>
        <v>0</v>
      </c>
      <c r="M66" s="969"/>
      <c r="N66" s="451"/>
      <c r="O66" s="450" t="str">
        <f t="shared" si="32"/>
        <v>0.00%</v>
      </c>
      <c r="P66" s="452">
        <f>SUM(P59:P65)</f>
        <v>0</v>
      </c>
      <c r="Q66" s="969"/>
      <c r="S66" s="83" t="str">
        <f t="shared" si="33"/>
        <v>0.00%</v>
      </c>
      <c r="T66" s="8">
        <f>SUM(T59:T65)</f>
        <v>0</v>
      </c>
      <c r="U66" s="73"/>
      <c r="W66" s="83" t="str">
        <f t="shared" si="34"/>
        <v>0.00%</v>
      </c>
      <c r="X66" s="8">
        <f>SUM(X59:X65)</f>
        <v>0</v>
      </c>
      <c r="Y66" s="73"/>
      <c r="AA66" s="83" t="str">
        <f t="shared" si="35"/>
        <v>0.00%</v>
      </c>
      <c r="AB66" s="8">
        <f>SUM(AB59:AB65)</f>
        <v>0</v>
      </c>
      <c r="AC66" s="73"/>
    </row>
    <row r="67" spans="1:29" hidden="1" x14ac:dyDescent="0.25">
      <c r="A67" s="152"/>
      <c r="E67" s="863"/>
      <c r="F67" s="2"/>
      <c r="H67" s="389"/>
      <c r="I67" s="965"/>
      <c r="J67" s="449"/>
      <c r="K67" s="1871"/>
      <c r="L67" s="389"/>
      <c r="M67" s="969"/>
      <c r="N67" s="451"/>
      <c r="O67" s="1871"/>
      <c r="P67" s="389"/>
      <c r="Q67" s="969"/>
      <c r="T67" s="2"/>
      <c r="U67" s="73"/>
      <c r="X67" s="2"/>
      <c r="Y67" s="73"/>
      <c r="AB67" s="2"/>
      <c r="AC67" s="73"/>
    </row>
    <row r="68" spans="1:29" s="4" customFormat="1" x14ac:dyDescent="0.25">
      <c r="A68" s="150"/>
      <c r="B68" s="936" t="s">
        <v>16</v>
      </c>
      <c r="C68" s="873"/>
      <c r="D68" s="6"/>
      <c r="E68" s="864"/>
      <c r="F68" s="6"/>
      <c r="G68" s="373"/>
      <c r="H68" s="454"/>
      <c r="I68" s="968"/>
      <c r="J68" s="455"/>
      <c r="K68" s="1872"/>
      <c r="L68" s="454"/>
      <c r="M68" s="970"/>
      <c r="N68" s="455"/>
      <c r="O68" s="1872"/>
      <c r="P68" s="454"/>
      <c r="Q68" s="970"/>
      <c r="R68" s="111"/>
      <c r="U68" s="71"/>
      <c r="Y68" s="71"/>
      <c r="AC68" s="71"/>
    </row>
    <row r="69" spans="1:29" x14ac:dyDescent="0.25">
      <c r="A69" s="152"/>
      <c r="B69" s="939">
        <v>5813</v>
      </c>
      <c r="C69" s="857" t="s">
        <v>6</v>
      </c>
      <c r="D69" s="2">
        <v>131738.57</v>
      </c>
      <c r="E69" s="863" t="s">
        <v>663</v>
      </c>
      <c r="F69" s="2"/>
      <c r="G69" s="83">
        <f t="shared" ref="G69:G74" si="43">IF(D69=0,"0.00%",(H69-D69)/D69)</f>
        <v>-8.8960810793680289E-2</v>
      </c>
      <c r="H69" s="389">
        <v>120019</v>
      </c>
      <c r="I69" s="967"/>
      <c r="J69" s="449"/>
      <c r="K69" s="450">
        <f t="shared" ref="K69:K82" si="44">IF(H69=0,"0.00%",(L69-H69)/H69)</f>
        <v>-1.2356376906989727E-2</v>
      </c>
      <c r="L69" s="389">
        <v>118536</v>
      </c>
      <c r="M69" s="967"/>
      <c r="N69" s="451"/>
      <c r="O69" s="450">
        <f t="shared" ref="O69:O82" si="45">IF(L69=0,"0.00%",(P69-L69)/L69)</f>
        <v>-3.258925558480124E-2</v>
      </c>
      <c r="P69" s="389">
        <v>114673</v>
      </c>
      <c r="Q69" s="967"/>
      <c r="S69" s="83">
        <f t="shared" ref="S69:S82" si="46">IF(P69=0,"0.00%",(T69-P69)/P69)</f>
        <v>2.7303724503588464E-2</v>
      </c>
      <c r="T69" s="2">
        <f>ROUND(P69*(LEFT(U69,5)+1),0)</f>
        <v>117804</v>
      </c>
      <c r="U69" s="81" t="str">
        <f>TEXT('MYP Assumptions'!H75,"0.00%")&amp;", CPI"</f>
        <v>2.73%, CPI</v>
      </c>
      <c r="W69" s="83">
        <f t="shared" ref="W69:W82" si="47">IF(T69=0,"0.00%",(X69-T69)/T69)</f>
        <v>2.7299582357135581E-2</v>
      </c>
      <c r="X69" s="2">
        <f>ROUND(T69*(LEFT(Y69,5)+1),0)</f>
        <v>121020</v>
      </c>
      <c r="Y69" s="81" t="str">
        <f>TEXT('MYP Assumptions'!I75,"0.00%")&amp;", CPI"</f>
        <v>2.73%, CPI</v>
      </c>
      <c r="AA69" s="83">
        <f t="shared" ref="AA69:AA82" si="48">IF(X69=0,"0.00%",(AB69-X69)/X69)</f>
        <v>2.730127251693935E-2</v>
      </c>
      <c r="AB69" s="2">
        <f>ROUND(X69*(LEFT(AC69,5)+1),0)</f>
        <v>124324</v>
      </c>
      <c r="AC69" s="81" t="str">
        <f>TEXT('MYP Assumptions'!J75,"0.00%")&amp;", CPI"</f>
        <v>2.73%, CPI</v>
      </c>
    </row>
    <row r="70" spans="1:29" hidden="1" x14ac:dyDescent="0.25">
      <c r="A70" s="152"/>
      <c r="B70" s="939"/>
      <c r="D70" s="2">
        <v>0</v>
      </c>
      <c r="E70" s="863"/>
      <c r="F70" s="2"/>
      <c r="G70" s="83" t="str">
        <f t="shared" si="43"/>
        <v>0.00%</v>
      </c>
      <c r="H70" s="2">
        <f>ROUND(D70*(LEFT(I70,5)+1),0)</f>
        <v>0</v>
      </c>
      <c r="I70" s="854" t="str">
        <f>TEXT('MYP Assumptions'!E75,"0.00%")&amp;", CPI"</f>
        <v>3.42%, CPI</v>
      </c>
      <c r="J70" s="66"/>
      <c r="K70" s="83" t="str">
        <f t="shared" si="44"/>
        <v>0.00%</v>
      </c>
      <c r="L70" s="2">
        <f t="shared" ref="L70:L81" si="49">ROUND(H70*(LEFT(M70,5)+1),0)</f>
        <v>0</v>
      </c>
      <c r="M70" s="854" t="str">
        <f>TEXT('MYP Assumptions'!F75,"0.00%")&amp;", CPI"</f>
        <v>3.35%, CPI</v>
      </c>
      <c r="O70" s="83" t="str">
        <f t="shared" si="45"/>
        <v>0.00%</v>
      </c>
      <c r="P70" s="2">
        <f t="shared" ref="P70:P81" si="50">ROUND(L70*(LEFT(Q70,5)+1),0)</f>
        <v>0</v>
      </c>
      <c r="Q70" s="854" t="str">
        <f>TEXT('MYP Assumptions'!G75,"0.00%")&amp;", CPI"</f>
        <v>3.02%, CPI</v>
      </c>
      <c r="S70" s="83" t="str">
        <f t="shared" si="46"/>
        <v>0.00%</v>
      </c>
      <c r="T70" s="2">
        <f t="shared" ref="T70:T81" si="51">ROUND(P70*(LEFT(U70,5)+1),0)</f>
        <v>0</v>
      </c>
      <c r="U70" s="81" t="str">
        <f>TEXT('MYP Assumptions'!H75,"0.00%")&amp;", CPI"</f>
        <v>2.73%, CPI</v>
      </c>
      <c r="W70" s="83" t="str">
        <f t="shared" si="47"/>
        <v>0.00%</v>
      </c>
      <c r="X70" s="2">
        <f t="shared" ref="X70:X81" si="52">ROUND(T70*(LEFT(Y70,5)+1),0)</f>
        <v>0</v>
      </c>
      <c r="Y70" s="81" t="str">
        <f>TEXT('MYP Assumptions'!I75,"0.00%")&amp;", CPI"</f>
        <v>2.73%, CPI</v>
      </c>
      <c r="AA70" s="83" t="str">
        <f t="shared" si="48"/>
        <v>0.00%</v>
      </c>
      <c r="AB70" s="2">
        <f t="shared" ref="AB70:AB81" si="53">ROUND(X70*(LEFT(AC70,5)+1),0)</f>
        <v>0</v>
      </c>
      <c r="AC70" s="81" t="str">
        <f>TEXT('MYP Assumptions'!J75,"0.00%")&amp;", CPI"</f>
        <v>2.73%, CPI</v>
      </c>
    </row>
    <row r="71" spans="1:29" hidden="1" x14ac:dyDescent="0.25">
      <c r="A71" s="152"/>
      <c r="B71" s="939"/>
      <c r="D71" s="2">
        <v>0</v>
      </c>
      <c r="E71" s="863"/>
      <c r="F71" s="2"/>
      <c r="G71" s="83" t="str">
        <f t="shared" si="43"/>
        <v>0.00%</v>
      </c>
      <c r="H71" s="2">
        <f t="shared" ref="H71:H76" si="54">ROUND(D71*(LEFT(I71,5)+1),0)</f>
        <v>0</v>
      </c>
      <c r="I71" s="854" t="str">
        <f>TEXT('MYP Assumptions'!E75,"0.00%")&amp;", CPI"</f>
        <v>3.42%, CPI</v>
      </c>
      <c r="J71" s="66"/>
      <c r="K71" s="83" t="str">
        <f t="shared" si="44"/>
        <v>0.00%</v>
      </c>
      <c r="L71" s="2">
        <f t="shared" si="49"/>
        <v>0</v>
      </c>
      <c r="M71" s="854" t="str">
        <f>TEXT('MYP Assumptions'!F75,"0.00%")&amp;", CPI"</f>
        <v>3.35%, CPI</v>
      </c>
      <c r="O71" s="83" t="str">
        <f t="shared" si="45"/>
        <v>0.00%</v>
      </c>
      <c r="P71" s="2">
        <f t="shared" si="50"/>
        <v>0</v>
      </c>
      <c r="Q71" s="854" t="str">
        <f>TEXT('MYP Assumptions'!G75,"0.00%")&amp;", CPI"</f>
        <v>3.02%, CPI</v>
      </c>
      <c r="S71" s="83" t="str">
        <f t="shared" si="46"/>
        <v>0.00%</v>
      </c>
      <c r="T71" s="2">
        <f t="shared" si="51"/>
        <v>0</v>
      </c>
      <c r="U71" s="81" t="str">
        <f>TEXT('MYP Assumptions'!H75,"0.00%")&amp;", CPI"</f>
        <v>2.73%, CPI</v>
      </c>
      <c r="W71" s="83" t="str">
        <f t="shared" si="47"/>
        <v>0.00%</v>
      </c>
      <c r="X71" s="2">
        <f t="shared" si="52"/>
        <v>0</v>
      </c>
      <c r="Y71" s="81" t="str">
        <f>TEXT('MYP Assumptions'!I75,"0.00%")&amp;", CPI"</f>
        <v>2.73%, CPI</v>
      </c>
      <c r="AA71" s="83" t="str">
        <f t="shared" si="48"/>
        <v>0.00%</v>
      </c>
      <c r="AB71" s="2">
        <f t="shared" si="53"/>
        <v>0</v>
      </c>
      <c r="AC71" s="81" t="str">
        <f>TEXT('MYP Assumptions'!J75,"0.00%")&amp;", CPI"</f>
        <v>2.73%, CPI</v>
      </c>
    </row>
    <row r="72" spans="1:29" hidden="1" x14ac:dyDescent="0.25">
      <c r="A72" s="152"/>
      <c r="B72" s="939"/>
      <c r="D72" s="2">
        <v>0</v>
      </c>
      <c r="E72" s="863"/>
      <c r="F72" s="2"/>
      <c r="G72" s="83" t="str">
        <f t="shared" si="43"/>
        <v>0.00%</v>
      </c>
      <c r="H72" s="2">
        <f t="shared" si="54"/>
        <v>0</v>
      </c>
      <c r="I72" s="854" t="str">
        <f>TEXT('MYP Assumptions'!E75,"0.00%")&amp;", CPI"</f>
        <v>3.42%, CPI</v>
      </c>
      <c r="J72" s="66"/>
      <c r="K72" s="83" t="str">
        <f t="shared" si="44"/>
        <v>0.00%</v>
      </c>
      <c r="L72" s="2">
        <f t="shared" si="49"/>
        <v>0</v>
      </c>
      <c r="M72" s="854" t="str">
        <f>TEXT('MYP Assumptions'!F75,"0.00%")&amp;", CPI"</f>
        <v>3.35%, CPI</v>
      </c>
      <c r="O72" s="83" t="str">
        <f t="shared" si="45"/>
        <v>0.00%</v>
      </c>
      <c r="P72" s="2">
        <f t="shared" si="50"/>
        <v>0</v>
      </c>
      <c r="Q72" s="854" t="str">
        <f>TEXT('MYP Assumptions'!G75,"0.00%")&amp;", CPI"</f>
        <v>3.02%, CPI</v>
      </c>
      <c r="S72" s="83" t="str">
        <f t="shared" si="46"/>
        <v>0.00%</v>
      </c>
      <c r="T72" s="2">
        <f t="shared" si="51"/>
        <v>0</v>
      </c>
      <c r="U72" s="81" t="str">
        <f>TEXT('MYP Assumptions'!H75,"0.00%")&amp;", CPI"</f>
        <v>2.73%, CPI</v>
      </c>
      <c r="W72" s="83" t="str">
        <f t="shared" si="47"/>
        <v>0.00%</v>
      </c>
      <c r="X72" s="2">
        <f t="shared" si="52"/>
        <v>0</v>
      </c>
      <c r="Y72" s="81" t="str">
        <f>TEXT('MYP Assumptions'!I75,"0.00%")&amp;", CPI"</f>
        <v>2.73%, CPI</v>
      </c>
      <c r="AA72" s="83" t="str">
        <f t="shared" si="48"/>
        <v>0.00%</v>
      </c>
      <c r="AB72" s="2">
        <f t="shared" si="53"/>
        <v>0</v>
      </c>
      <c r="AC72" s="81" t="str">
        <f>TEXT('MYP Assumptions'!J75,"0.00%")&amp;", CPI"</f>
        <v>2.73%, CPI</v>
      </c>
    </row>
    <row r="73" spans="1:29" hidden="1" x14ac:dyDescent="0.25">
      <c r="A73" s="152"/>
      <c r="B73" s="939"/>
      <c r="D73" s="2">
        <v>0</v>
      </c>
      <c r="E73" s="863"/>
      <c r="F73" s="2"/>
      <c r="G73" s="83" t="str">
        <f t="shared" si="43"/>
        <v>0.00%</v>
      </c>
      <c r="H73" s="2">
        <f t="shared" si="54"/>
        <v>0</v>
      </c>
      <c r="I73" s="854" t="str">
        <f>TEXT('MYP Assumptions'!E75,"0.00%")&amp;", CPI"</f>
        <v>3.42%, CPI</v>
      </c>
      <c r="J73" s="66"/>
      <c r="K73" s="83" t="str">
        <f t="shared" si="44"/>
        <v>0.00%</v>
      </c>
      <c r="L73" s="2">
        <f t="shared" si="49"/>
        <v>0</v>
      </c>
      <c r="M73" s="854" t="str">
        <f>TEXT('MYP Assumptions'!F75,"0.00%")&amp;", CPI"</f>
        <v>3.35%, CPI</v>
      </c>
      <c r="O73" s="83" t="str">
        <f t="shared" si="45"/>
        <v>0.00%</v>
      </c>
      <c r="P73" s="2">
        <f t="shared" si="50"/>
        <v>0</v>
      </c>
      <c r="Q73" s="854" t="str">
        <f>TEXT('MYP Assumptions'!G75,"0.00%")&amp;", CPI"</f>
        <v>3.02%, CPI</v>
      </c>
      <c r="S73" s="83" t="str">
        <f t="shared" si="46"/>
        <v>0.00%</v>
      </c>
      <c r="T73" s="2">
        <f t="shared" si="51"/>
        <v>0</v>
      </c>
      <c r="U73" s="81" t="str">
        <f>TEXT('MYP Assumptions'!H75,"0.00%")&amp;", CPI"</f>
        <v>2.73%, CPI</v>
      </c>
      <c r="W73" s="83" t="str">
        <f t="shared" si="47"/>
        <v>0.00%</v>
      </c>
      <c r="X73" s="2">
        <f t="shared" si="52"/>
        <v>0</v>
      </c>
      <c r="Y73" s="81" t="str">
        <f>TEXT('MYP Assumptions'!I75,"0.00%")&amp;", CPI"</f>
        <v>2.73%, CPI</v>
      </c>
      <c r="AA73" s="83" t="str">
        <f t="shared" si="48"/>
        <v>0.00%</v>
      </c>
      <c r="AB73" s="2">
        <f t="shared" si="53"/>
        <v>0</v>
      </c>
      <c r="AC73" s="81" t="str">
        <f>TEXT('MYP Assumptions'!J75,"0.00%")&amp;", CPI"</f>
        <v>2.73%, CPI</v>
      </c>
    </row>
    <row r="74" spans="1:29" hidden="1" x14ac:dyDescent="0.25">
      <c r="A74" s="152"/>
      <c r="B74" s="939"/>
      <c r="D74" s="2">
        <v>0</v>
      </c>
      <c r="E74" s="863"/>
      <c r="F74" s="2"/>
      <c r="G74" s="83" t="str">
        <f t="shared" si="43"/>
        <v>0.00%</v>
      </c>
      <c r="H74" s="2">
        <f t="shared" si="54"/>
        <v>0</v>
      </c>
      <c r="I74" s="854" t="str">
        <f>TEXT('MYP Assumptions'!E75,"0.00%")&amp;", CPI"</f>
        <v>3.42%, CPI</v>
      </c>
      <c r="J74" s="66"/>
      <c r="K74" s="83" t="str">
        <f t="shared" si="44"/>
        <v>0.00%</v>
      </c>
      <c r="L74" s="2">
        <f t="shared" si="49"/>
        <v>0</v>
      </c>
      <c r="M74" s="854" t="str">
        <f>TEXT('MYP Assumptions'!F75,"0.00%")&amp;", CPI"</f>
        <v>3.35%, CPI</v>
      </c>
      <c r="O74" s="83" t="str">
        <f t="shared" si="45"/>
        <v>0.00%</v>
      </c>
      <c r="P74" s="2">
        <f t="shared" si="50"/>
        <v>0</v>
      </c>
      <c r="Q74" s="854" t="str">
        <f>TEXT('MYP Assumptions'!G75,"0.00%")&amp;", CPI"</f>
        <v>3.02%, CPI</v>
      </c>
      <c r="S74" s="83" t="str">
        <f t="shared" si="46"/>
        <v>0.00%</v>
      </c>
      <c r="T74" s="2">
        <f t="shared" si="51"/>
        <v>0</v>
      </c>
      <c r="U74" s="81" t="str">
        <f>TEXT('MYP Assumptions'!H75,"0.00%")&amp;", CPI"</f>
        <v>2.73%, CPI</v>
      </c>
      <c r="W74" s="83" t="str">
        <f t="shared" si="47"/>
        <v>0.00%</v>
      </c>
      <c r="X74" s="2">
        <f t="shared" si="52"/>
        <v>0</v>
      </c>
      <c r="Y74" s="81" t="str">
        <f>TEXT('MYP Assumptions'!I75,"0.00%")&amp;", CPI"</f>
        <v>2.73%, CPI</v>
      </c>
      <c r="AA74" s="83" t="str">
        <f t="shared" si="48"/>
        <v>0.00%</v>
      </c>
      <c r="AB74" s="2">
        <f t="shared" si="53"/>
        <v>0</v>
      </c>
      <c r="AC74" s="81" t="str">
        <f>TEXT('MYP Assumptions'!J75,"0.00%")&amp;", CPI"</f>
        <v>2.73%, CPI</v>
      </c>
    </row>
    <row r="75" spans="1:29" hidden="1" x14ac:dyDescent="0.25">
      <c r="A75" s="152"/>
      <c r="B75" s="939"/>
      <c r="D75" s="2">
        <v>0</v>
      </c>
      <c r="E75" s="863"/>
      <c r="F75" s="2"/>
      <c r="G75" s="83" t="str">
        <f>IF(D75=0,"0.00%",(H75-D75)/D75)</f>
        <v>0.00%</v>
      </c>
      <c r="H75" s="2">
        <f t="shared" si="54"/>
        <v>0</v>
      </c>
      <c r="I75" s="854" t="str">
        <f>TEXT('MYP Assumptions'!E75,"0.00%")&amp;", CPI"</f>
        <v>3.42%, CPI</v>
      </c>
      <c r="J75" s="66"/>
      <c r="K75" s="83" t="str">
        <f t="shared" si="44"/>
        <v>0.00%</v>
      </c>
      <c r="L75" s="2">
        <f t="shared" si="49"/>
        <v>0</v>
      </c>
      <c r="M75" s="854" t="str">
        <f>TEXT('MYP Assumptions'!F75,"0.00%")&amp;", CPI"</f>
        <v>3.35%, CPI</v>
      </c>
      <c r="O75" s="83" t="str">
        <f t="shared" si="45"/>
        <v>0.00%</v>
      </c>
      <c r="P75" s="2">
        <f t="shared" si="50"/>
        <v>0</v>
      </c>
      <c r="Q75" s="854" t="str">
        <f>TEXT('MYP Assumptions'!G75,"0.00%")&amp;", CPI"</f>
        <v>3.02%, CPI</v>
      </c>
      <c r="S75" s="83" t="str">
        <f t="shared" si="46"/>
        <v>0.00%</v>
      </c>
      <c r="T75" s="2">
        <f t="shared" si="51"/>
        <v>0</v>
      </c>
      <c r="U75" s="81" t="str">
        <f>TEXT('MYP Assumptions'!H75,"0.00%")&amp;", CPI"</f>
        <v>2.73%, CPI</v>
      </c>
      <c r="W75" s="83" t="str">
        <f t="shared" si="47"/>
        <v>0.00%</v>
      </c>
      <c r="X75" s="2">
        <f t="shared" si="52"/>
        <v>0</v>
      </c>
      <c r="Y75" s="81" t="str">
        <f>TEXT('MYP Assumptions'!I75,"0.00%")&amp;", CPI"</f>
        <v>2.73%, CPI</v>
      </c>
      <c r="AA75" s="83" t="str">
        <f t="shared" si="48"/>
        <v>0.00%</v>
      </c>
      <c r="AB75" s="2">
        <f t="shared" si="53"/>
        <v>0</v>
      </c>
      <c r="AC75" s="81" t="str">
        <f>TEXT('MYP Assumptions'!J75,"0.00%")&amp;", CPI"</f>
        <v>2.73%, CPI</v>
      </c>
    </row>
    <row r="76" spans="1:29" hidden="1" x14ac:dyDescent="0.25">
      <c r="A76" s="152"/>
      <c r="B76" s="939"/>
      <c r="D76" s="2">
        <v>0</v>
      </c>
      <c r="E76" s="863"/>
      <c r="F76" s="2"/>
      <c r="G76" s="83" t="str">
        <f t="shared" ref="G76:G82" si="55">IF(D76=0,"0.00%",(H76-D76)/D76)</f>
        <v>0.00%</v>
      </c>
      <c r="H76" s="2">
        <f t="shared" si="54"/>
        <v>0</v>
      </c>
      <c r="I76" s="854" t="str">
        <f>TEXT('MYP Assumptions'!E75,"0.00%")&amp;", CPI"</f>
        <v>3.42%, CPI</v>
      </c>
      <c r="J76" s="66"/>
      <c r="K76" s="83" t="str">
        <f t="shared" si="44"/>
        <v>0.00%</v>
      </c>
      <c r="L76" s="2">
        <f t="shared" si="49"/>
        <v>0</v>
      </c>
      <c r="M76" s="854" t="str">
        <f>TEXT('MYP Assumptions'!F75,"0.00%")&amp;", CPI"</f>
        <v>3.35%, CPI</v>
      </c>
      <c r="O76" s="83" t="str">
        <f t="shared" si="45"/>
        <v>0.00%</v>
      </c>
      <c r="P76" s="2">
        <f t="shared" si="50"/>
        <v>0</v>
      </c>
      <c r="Q76" s="854" t="str">
        <f>TEXT('MYP Assumptions'!G75,"0.00%")&amp;", CPI"</f>
        <v>3.02%, CPI</v>
      </c>
      <c r="S76" s="83" t="str">
        <f t="shared" si="46"/>
        <v>0.00%</v>
      </c>
      <c r="T76" s="2">
        <f t="shared" si="51"/>
        <v>0</v>
      </c>
      <c r="U76" s="81" t="str">
        <f>TEXT('MYP Assumptions'!H75,"0.00%")&amp;", CPI"</f>
        <v>2.73%, CPI</v>
      </c>
      <c r="W76" s="83" t="str">
        <f t="shared" si="47"/>
        <v>0.00%</v>
      </c>
      <c r="X76" s="2">
        <f t="shared" si="52"/>
        <v>0</v>
      </c>
      <c r="Y76" s="81" t="str">
        <f>TEXT('MYP Assumptions'!I75,"0.00%")&amp;", CPI"</f>
        <v>2.73%, CPI</v>
      </c>
      <c r="AA76" s="83" t="str">
        <f t="shared" si="48"/>
        <v>0.00%</v>
      </c>
      <c r="AB76" s="2">
        <f t="shared" si="53"/>
        <v>0</v>
      </c>
      <c r="AC76" s="81" t="str">
        <f>TEXT('MYP Assumptions'!J75,"0.00%")&amp;", CPI"</f>
        <v>2.73%, CPI</v>
      </c>
    </row>
    <row r="77" spans="1:29" hidden="1" x14ac:dyDescent="0.25">
      <c r="A77" s="152"/>
      <c r="B77" s="939"/>
      <c r="D77" s="2">
        <v>0</v>
      </c>
      <c r="E77" s="863"/>
      <c r="F77" s="2"/>
      <c r="G77" s="83" t="str">
        <f t="shared" si="55"/>
        <v>0.00%</v>
      </c>
      <c r="H77" s="2">
        <f>ROUND(D77*(LEFT(I77,5)+1),0)</f>
        <v>0</v>
      </c>
      <c r="I77" s="854" t="str">
        <f>TEXT('MYP Assumptions'!E75,"0.00%")&amp;", CPI"</f>
        <v>3.42%, CPI</v>
      </c>
      <c r="J77" s="66"/>
      <c r="K77" s="83" t="str">
        <f t="shared" si="44"/>
        <v>0.00%</v>
      </c>
      <c r="L77" s="2">
        <f t="shared" si="49"/>
        <v>0</v>
      </c>
      <c r="M77" s="854" t="str">
        <f>TEXT('MYP Assumptions'!F75,"0.00%")&amp;", CPI"</f>
        <v>3.35%, CPI</v>
      </c>
      <c r="O77" s="83" t="str">
        <f t="shared" si="45"/>
        <v>0.00%</v>
      </c>
      <c r="P77" s="2">
        <f t="shared" si="50"/>
        <v>0</v>
      </c>
      <c r="Q77" s="854" t="str">
        <f>TEXT('MYP Assumptions'!G75,"0.00%")&amp;", CPI"</f>
        <v>3.02%, CPI</v>
      </c>
      <c r="S77" s="83" t="str">
        <f t="shared" si="46"/>
        <v>0.00%</v>
      </c>
      <c r="T77" s="2">
        <f t="shared" si="51"/>
        <v>0</v>
      </c>
      <c r="U77" s="81" t="str">
        <f>TEXT('MYP Assumptions'!H75,"0.00%")&amp;", CPI"</f>
        <v>2.73%, CPI</v>
      </c>
      <c r="W77" s="83" t="str">
        <f t="shared" si="47"/>
        <v>0.00%</v>
      </c>
      <c r="X77" s="2">
        <f t="shared" si="52"/>
        <v>0</v>
      </c>
      <c r="Y77" s="81" t="str">
        <f>TEXT('MYP Assumptions'!I75,"0.00%")&amp;", CPI"</f>
        <v>2.73%, CPI</v>
      </c>
      <c r="AA77" s="83" t="str">
        <f t="shared" si="48"/>
        <v>0.00%</v>
      </c>
      <c r="AB77" s="2">
        <f t="shared" si="53"/>
        <v>0</v>
      </c>
      <c r="AC77" s="81" t="str">
        <f>TEXT('MYP Assumptions'!J75,"0.00%")&amp;", CPI"</f>
        <v>2.73%, CPI</v>
      </c>
    </row>
    <row r="78" spans="1:29" hidden="1" x14ac:dyDescent="0.25">
      <c r="A78" s="152"/>
      <c r="B78" s="939"/>
      <c r="D78" s="2">
        <v>0</v>
      </c>
      <c r="E78" s="863"/>
      <c r="F78" s="2"/>
      <c r="G78" s="83" t="str">
        <f t="shared" si="55"/>
        <v>0.00%</v>
      </c>
      <c r="H78" s="2">
        <f>ROUND(D78*(LEFT(I78,5)+1),0)</f>
        <v>0</v>
      </c>
      <c r="I78" s="854" t="str">
        <f>TEXT('MYP Assumptions'!E75,"0.00%")&amp;", CPI"</f>
        <v>3.42%, CPI</v>
      </c>
      <c r="J78" s="66"/>
      <c r="K78" s="83" t="str">
        <f t="shared" si="44"/>
        <v>0.00%</v>
      </c>
      <c r="L78" s="2">
        <f t="shared" si="49"/>
        <v>0</v>
      </c>
      <c r="M78" s="854" t="str">
        <f>TEXT('MYP Assumptions'!F75,"0.00%")&amp;", CPI"</f>
        <v>3.35%, CPI</v>
      </c>
      <c r="O78" s="83" t="str">
        <f t="shared" si="45"/>
        <v>0.00%</v>
      </c>
      <c r="P78" s="2">
        <f t="shared" si="50"/>
        <v>0</v>
      </c>
      <c r="Q78" s="854" t="str">
        <f>TEXT('MYP Assumptions'!G75,"0.00%")&amp;", CPI"</f>
        <v>3.02%, CPI</v>
      </c>
      <c r="S78" s="83" t="str">
        <f t="shared" si="46"/>
        <v>0.00%</v>
      </c>
      <c r="T78" s="2">
        <f t="shared" si="51"/>
        <v>0</v>
      </c>
      <c r="U78" s="81" t="str">
        <f>TEXT('MYP Assumptions'!H75,"0.00%")&amp;", CPI"</f>
        <v>2.73%, CPI</v>
      </c>
      <c r="W78" s="83" t="str">
        <f t="shared" si="47"/>
        <v>0.00%</v>
      </c>
      <c r="X78" s="2">
        <f t="shared" si="52"/>
        <v>0</v>
      </c>
      <c r="Y78" s="81" t="str">
        <f>TEXT('MYP Assumptions'!I75,"0.00%")&amp;", CPI"</f>
        <v>2.73%, CPI</v>
      </c>
      <c r="AA78" s="83" t="str">
        <f t="shared" si="48"/>
        <v>0.00%</v>
      </c>
      <c r="AB78" s="2">
        <f t="shared" si="53"/>
        <v>0</v>
      </c>
      <c r="AC78" s="81" t="str">
        <f>TEXT('MYP Assumptions'!J75,"0.00%")&amp;", CPI"</f>
        <v>2.73%, CPI</v>
      </c>
    </row>
    <row r="79" spans="1:29" hidden="1" x14ac:dyDescent="0.25">
      <c r="A79" s="152"/>
      <c r="B79" s="939"/>
      <c r="D79" s="2">
        <v>0</v>
      </c>
      <c r="E79" s="863"/>
      <c r="F79" s="2"/>
      <c r="G79" s="83" t="str">
        <f t="shared" si="55"/>
        <v>0.00%</v>
      </c>
      <c r="H79" s="2">
        <f>ROUND(D79*(LEFT(I79,5)+1),0)</f>
        <v>0</v>
      </c>
      <c r="I79" s="854" t="str">
        <f>TEXT('MYP Assumptions'!E75,"0.00%")&amp;", CPI"</f>
        <v>3.42%, CPI</v>
      </c>
      <c r="J79" s="66"/>
      <c r="K79" s="83" t="str">
        <f t="shared" si="44"/>
        <v>0.00%</v>
      </c>
      <c r="L79" s="2">
        <f t="shared" si="49"/>
        <v>0</v>
      </c>
      <c r="M79" s="854" t="str">
        <f>TEXT('MYP Assumptions'!F75,"0.00%")&amp;", CPI"</f>
        <v>3.35%, CPI</v>
      </c>
      <c r="O79" s="83" t="str">
        <f t="shared" si="45"/>
        <v>0.00%</v>
      </c>
      <c r="P79" s="2">
        <f t="shared" si="50"/>
        <v>0</v>
      </c>
      <c r="Q79" s="854" t="str">
        <f>TEXT('MYP Assumptions'!G75,"0.00%")&amp;", CPI"</f>
        <v>3.02%, CPI</v>
      </c>
      <c r="S79" s="83" t="str">
        <f t="shared" si="46"/>
        <v>0.00%</v>
      </c>
      <c r="T79" s="2">
        <f t="shared" si="51"/>
        <v>0</v>
      </c>
      <c r="U79" s="81" t="str">
        <f>TEXT('MYP Assumptions'!H75,"0.00%")&amp;", CPI"</f>
        <v>2.73%, CPI</v>
      </c>
      <c r="W79" s="83" t="str">
        <f t="shared" si="47"/>
        <v>0.00%</v>
      </c>
      <c r="X79" s="2">
        <f t="shared" si="52"/>
        <v>0</v>
      </c>
      <c r="Y79" s="81" t="str">
        <f>TEXT('MYP Assumptions'!I75,"0.00%")&amp;", CPI"</f>
        <v>2.73%, CPI</v>
      </c>
      <c r="AA79" s="83" t="str">
        <f t="shared" si="48"/>
        <v>0.00%</v>
      </c>
      <c r="AB79" s="2">
        <f t="shared" si="53"/>
        <v>0</v>
      </c>
      <c r="AC79" s="81" t="str">
        <f>TEXT('MYP Assumptions'!J75,"0.00%")&amp;", CPI"</f>
        <v>2.73%, CPI</v>
      </c>
    </row>
    <row r="80" spans="1:29" hidden="1" x14ac:dyDescent="0.25">
      <c r="A80" s="152"/>
      <c r="B80" s="939"/>
      <c r="D80" s="2">
        <v>0</v>
      </c>
      <c r="E80" s="863"/>
      <c r="F80" s="2"/>
      <c r="G80" s="83" t="str">
        <f t="shared" si="55"/>
        <v>0.00%</v>
      </c>
      <c r="H80" s="2">
        <f>ROUND(D80*(LEFT(I80,5)+1),0)</f>
        <v>0</v>
      </c>
      <c r="I80" s="854" t="str">
        <f>TEXT('MYP Assumptions'!E75,"0.00%")&amp;", CPI"</f>
        <v>3.42%, CPI</v>
      </c>
      <c r="J80" s="66"/>
      <c r="K80" s="83" t="str">
        <f t="shared" si="44"/>
        <v>0.00%</v>
      </c>
      <c r="L80" s="2">
        <f t="shared" si="49"/>
        <v>0</v>
      </c>
      <c r="M80" s="854" t="str">
        <f>TEXT('MYP Assumptions'!F75,"0.00%")&amp;", CPI"</f>
        <v>3.35%, CPI</v>
      </c>
      <c r="O80" s="83" t="str">
        <f t="shared" si="45"/>
        <v>0.00%</v>
      </c>
      <c r="P80" s="2">
        <f t="shared" si="50"/>
        <v>0</v>
      </c>
      <c r="Q80" s="854" t="str">
        <f>TEXT('MYP Assumptions'!G75,"0.00%")&amp;", CPI"</f>
        <v>3.02%, CPI</v>
      </c>
      <c r="S80" s="83" t="str">
        <f t="shared" si="46"/>
        <v>0.00%</v>
      </c>
      <c r="T80" s="2">
        <f t="shared" si="51"/>
        <v>0</v>
      </c>
      <c r="U80" s="81" t="str">
        <f>TEXT('MYP Assumptions'!H75,"0.00%")&amp;", CPI"</f>
        <v>2.73%, CPI</v>
      </c>
      <c r="W80" s="83" t="str">
        <f t="shared" si="47"/>
        <v>0.00%</v>
      </c>
      <c r="X80" s="2">
        <f t="shared" si="52"/>
        <v>0</v>
      </c>
      <c r="Y80" s="81" t="str">
        <f>TEXT('MYP Assumptions'!I75,"0.00%")&amp;", CPI"</f>
        <v>2.73%, CPI</v>
      </c>
      <c r="AA80" s="83" t="str">
        <f t="shared" si="48"/>
        <v>0.00%</v>
      </c>
      <c r="AB80" s="2">
        <f t="shared" si="53"/>
        <v>0</v>
      </c>
      <c r="AC80" s="81" t="str">
        <f>TEXT('MYP Assumptions'!J75,"0.00%")&amp;", CPI"</f>
        <v>2.73%, CPI</v>
      </c>
    </row>
    <row r="81" spans="1:29" hidden="1" x14ac:dyDescent="0.25">
      <c r="A81" s="152"/>
      <c r="B81" s="939"/>
      <c r="D81" s="2">
        <f>'RS 3010-ALL'!AF80</f>
        <v>0</v>
      </c>
      <c r="E81" s="863"/>
      <c r="F81" s="2"/>
      <c r="G81" s="83" t="str">
        <f t="shared" si="55"/>
        <v>0.00%</v>
      </c>
      <c r="H81" s="2">
        <f>ROUND(D81*(LEFT(I81,5)+1),0)</f>
        <v>0</v>
      </c>
      <c r="I81" s="854" t="str">
        <f>TEXT('MYP Assumptions'!E75,"0.00%")&amp;", CPI"</f>
        <v>3.42%, CPI</v>
      </c>
      <c r="J81" s="66"/>
      <c r="K81" s="83" t="str">
        <f t="shared" si="44"/>
        <v>0.00%</v>
      </c>
      <c r="L81" s="2">
        <f t="shared" si="49"/>
        <v>0</v>
      </c>
      <c r="M81" s="854" t="str">
        <f>TEXT('MYP Assumptions'!F75,"0.00%")&amp;", CPI"</f>
        <v>3.35%, CPI</v>
      </c>
      <c r="O81" s="83" t="str">
        <f t="shared" si="45"/>
        <v>0.00%</v>
      </c>
      <c r="P81" s="2">
        <f t="shared" si="50"/>
        <v>0</v>
      </c>
      <c r="Q81" s="854" t="str">
        <f>TEXT('MYP Assumptions'!G75,"0.00%")&amp;", CPI"</f>
        <v>3.02%, CPI</v>
      </c>
      <c r="S81" s="83" t="str">
        <f t="shared" si="46"/>
        <v>0.00%</v>
      </c>
      <c r="T81" s="2">
        <f t="shared" si="51"/>
        <v>0</v>
      </c>
      <c r="U81" s="81" t="str">
        <f>TEXT('MYP Assumptions'!H75,"0.00%")&amp;", CPI"</f>
        <v>2.73%, CPI</v>
      </c>
      <c r="W81" s="83" t="str">
        <f t="shared" si="47"/>
        <v>0.00%</v>
      </c>
      <c r="X81" s="2">
        <f t="shared" si="52"/>
        <v>0</v>
      </c>
      <c r="Y81" s="81" t="str">
        <f>TEXT('MYP Assumptions'!I75,"0.00%")&amp;", CPI"</f>
        <v>2.73%, CPI</v>
      </c>
      <c r="AA81" s="83" t="str">
        <f t="shared" si="48"/>
        <v>0.00%</v>
      </c>
      <c r="AB81" s="2">
        <f t="shared" si="53"/>
        <v>0</v>
      </c>
      <c r="AC81" s="81" t="str">
        <f>TEXT('MYP Assumptions'!J75,"0.00%")&amp;", CPI"</f>
        <v>2.73%, CPI</v>
      </c>
    </row>
    <row r="82" spans="1:29" x14ac:dyDescent="0.25">
      <c r="A82" s="153"/>
      <c r="D82" s="8">
        <f>SUM(D69:D81)</f>
        <v>131738.57</v>
      </c>
      <c r="E82" s="863"/>
      <c r="F82" s="2"/>
      <c r="G82" s="83">
        <f t="shared" si="55"/>
        <v>-8.8960810793680289E-2</v>
      </c>
      <c r="H82" s="8">
        <f>SUM(H69:H81)</f>
        <v>120019</v>
      </c>
      <c r="I82" s="1292">
        <f>+H82-D82</f>
        <v>-11719.570000000007</v>
      </c>
      <c r="J82" s="29"/>
      <c r="K82" s="83">
        <f t="shared" si="44"/>
        <v>-1.2356376906989727E-2</v>
      </c>
      <c r="L82" s="8">
        <f>SUM(L69:L81)</f>
        <v>118536</v>
      </c>
      <c r="M82" s="1292">
        <f>+L82-H82</f>
        <v>-1483</v>
      </c>
      <c r="O82" s="83">
        <f t="shared" si="45"/>
        <v>-3.258925558480124E-2</v>
      </c>
      <c r="P82" s="8">
        <f>SUM(P69:P81)</f>
        <v>114673</v>
      </c>
      <c r="Q82" s="1292">
        <f>+P82-L82</f>
        <v>-3863</v>
      </c>
      <c r="S82" s="83">
        <f t="shared" si="46"/>
        <v>2.7303724503588464E-2</v>
      </c>
      <c r="T82" s="8">
        <f>SUM(T69:T81)</f>
        <v>117804</v>
      </c>
      <c r="U82" s="73"/>
      <c r="W82" s="83">
        <f t="shared" si="47"/>
        <v>2.7299582357135581E-2</v>
      </c>
      <c r="X82" s="8">
        <f>SUM(X69:X81)</f>
        <v>121020</v>
      </c>
      <c r="Y82" s="73"/>
      <c r="AA82" s="83">
        <f t="shared" si="48"/>
        <v>2.730127251693935E-2</v>
      </c>
      <c r="AB82" s="8">
        <f>SUM(AB69:AB81)</f>
        <v>124324</v>
      </c>
      <c r="AC82" s="73"/>
    </row>
    <row r="83" spans="1:29" x14ac:dyDescent="0.25">
      <c r="A83" s="152"/>
      <c r="B83" s="936"/>
      <c r="E83" s="863"/>
      <c r="F83" s="2"/>
      <c r="G83" s="83"/>
      <c r="H83" s="2"/>
      <c r="I83" s="871"/>
      <c r="J83" s="66"/>
      <c r="L83" s="2"/>
      <c r="M83" s="948"/>
      <c r="Q83" s="948"/>
      <c r="T83" s="2"/>
      <c r="U83" s="73"/>
      <c r="X83" s="2"/>
      <c r="Y83" s="73"/>
      <c r="AB83" s="2"/>
      <c r="AC83" s="73"/>
    </row>
    <row r="84" spans="1:29" x14ac:dyDescent="0.25">
      <c r="A84" s="152"/>
      <c r="E84" s="863"/>
      <c r="F84" s="2"/>
      <c r="H84" s="2"/>
      <c r="I84" s="871"/>
      <c r="J84" s="66"/>
      <c r="L84" s="2"/>
      <c r="M84" s="948"/>
      <c r="Q84" s="948"/>
      <c r="T84" s="2"/>
      <c r="U84" s="73"/>
      <c r="X84" s="2"/>
      <c r="Y84" s="73"/>
      <c r="AB84" s="2"/>
      <c r="AC84" s="73"/>
    </row>
    <row r="85" spans="1:29" x14ac:dyDescent="0.25">
      <c r="A85" s="153"/>
      <c r="B85" s="936" t="s">
        <v>0</v>
      </c>
      <c r="D85" s="8">
        <f>SUM(D82,D66,D55,D13)</f>
        <v>217800</v>
      </c>
      <c r="E85" s="863"/>
      <c r="F85" s="2"/>
      <c r="G85" s="83">
        <f>IF(D85=0,"0.00%",(H85-D85)/D85)</f>
        <v>0</v>
      </c>
      <c r="H85" s="8">
        <f>SUM(H82,H66,H55,H13)</f>
        <v>217800</v>
      </c>
      <c r="I85" s="1292">
        <f>+H85-D85</f>
        <v>0</v>
      </c>
      <c r="J85" s="29"/>
      <c r="K85" s="83">
        <f>IF(H85=0,"0.00%",(L85-H85)/H85)</f>
        <v>0</v>
      </c>
      <c r="L85" s="8">
        <f>SUM(L82,L66,L55,L13)</f>
        <v>217800</v>
      </c>
      <c r="M85" s="1292">
        <f>+L85-H85</f>
        <v>0</v>
      </c>
      <c r="O85" s="83">
        <f>IF(L85=0,"0.00%",(P85-L85)/L85)</f>
        <v>0</v>
      </c>
      <c r="P85" s="8">
        <f>SUM(P82,P66,P55,P13)</f>
        <v>217800</v>
      </c>
      <c r="Q85" s="1292">
        <f>+P85-L85</f>
        <v>0</v>
      </c>
      <c r="S85" s="83">
        <f>IF(P85=0,"0.00%",(T85-P85)/P85)</f>
        <v>2.7075298438934803E-2</v>
      </c>
      <c r="T85" s="8">
        <f>SUM(T82,T66,T55,T13)</f>
        <v>223697</v>
      </c>
      <c r="U85" s="73"/>
      <c r="W85" s="83">
        <f>IF(T85=0,"0.00%",(X85-T85)/T85)</f>
        <v>2.9276208442670218E-2</v>
      </c>
      <c r="X85" s="8">
        <f>SUM(X82,X66,X55,X13)</f>
        <v>230246</v>
      </c>
      <c r="Y85" s="73"/>
      <c r="AA85" s="83">
        <f>IF(X85=0,"0.00%",(AB85-X85)/X85)</f>
        <v>0.21306341912563084</v>
      </c>
      <c r="AB85" s="8">
        <f>SUM(AB82,AB66,AB55,AB13)</f>
        <v>279303</v>
      </c>
      <c r="AC85" s="73"/>
    </row>
    <row r="86" spans="1:29" x14ac:dyDescent="0.25">
      <c r="A86" s="152"/>
      <c r="E86" s="863"/>
      <c r="F86" s="2"/>
      <c r="H86" s="2"/>
      <c r="I86" s="871"/>
      <c r="J86" s="66"/>
      <c r="L86" s="2"/>
      <c r="M86" s="948"/>
      <c r="Q86" s="948"/>
      <c r="T86" s="2"/>
      <c r="U86" s="73"/>
      <c r="X86" s="2"/>
      <c r="Y86" s="73"/>
      <c r="AB86" s="2"/>
      <c r="AC86" s="73"/>
    </row>
    <row r="87" spans="1:29" x14ac:dyDescent="0.25">
      <c r="A87" s="152"/>
      <c r="B87" s="936" t="s">
        <v>138</v>
      </c>
      <c r="D87" s="3">
        <f>D11-D85</f>
        <v>0</v>
      </c>
      <c r="G87" s="83" t="str">
        <f>IF(D87=0,"0.00%",(H87-D87)/D87)</f>
        <v>0.00%</v>
      </c>
      <c r="H87" s="3">
        <f>H11-H85</f>
        <v>0</v>
      </c>
      <c r="I87" s="871"/>
      <c r="J87" s="66"/>
      <c r="K87" s="83" t="str">
        <f>IF(H87=0,"0.00%",(L87-H87)/H87)</f>
        <v>0.00%</v>
      </c>
      <c r="L87" s="3">
        <f>L11-L85</f>
        <v>0</v>
      </c>
      <c r="M87" s="948"/>
      <c r="O87" s="83" t="str">
        <f>IF(L87=0,"0.00%",(P87-L87)/L87)</f>
        <v>0.00%</v>
      </c>
      <c r="P87" s="3">
        <f>P11-P85</f>
        <v>0</v>
      </c>
      <c r="Q87" s="948"/>
      <c r="S87" s="83" t="str">
        <f>IF(P87=0,"0.00%",(T87-P87)/P87)</f>
        <v>0.00%</v>
      </c>
      <c r="T87" s="3">
        <f>T11-T85</f>
        <v>-5897</v>
      </c>
      <c r="U87" s="73"/>
      <c r="W87" s="83">
        <f>IF(T87=0,"0.00%",(X87-T87)/T87)</f>
        <v>1.1105646939121587</v>
      </c>
      <c r="X87" s="3">
        <f>X11-X85</f>
        <v>-12446</v>
      </c>
      <c r="Y87" s="73"/>
      <c r="AA87" s="83">
        <f>IF(X87=0,"0.00%",(AB87-X87)/X87)</f>
        <v>3.9415876586855214</v>
      </c>
      <c r="AB87" s="3">
        <f>AB11-AB85</f>
        <v>-61503</v>
      </c>
      <c r="AC87" s="73"/>
    </row>
    <row r="88" spans="1:29" x14ac:dyDescent="0.25">
      <c r="B88" s="936"/>
      <c r="C88" s="930"/>
      <c r="D88" s="3"/>
      <c r="H88" s="3"/>
      <c r="I88" s="871"/>
      <c r="J88" s="66"/>
      <c r="L88" s="3"/>
      <c r="M88" s="948"/>
      <c r="P88" s="3"/>
      <c r="Q88" s="948"/>
      <c r="T88" s="44"/>
      <c r="U88" s="73"/>
      <c r="X88" s="44"/>
      <c r="Y88" s="73"/>
      <c r="AB88" s="44"/>
      <c r="AC88" s="73"/>
    </row>
    <row r="89" spans="1:29" x14ac:dyDescent="0.25">
      <c r="B89" s="936" t="s">
        <v>136</v>
      </c>
      <c r="C89" s="932"/>
      <c r="D89" s="3">
        <f>D7+D87</f>
        <v>0</v>
      </c>
      <c r="G89" s="83" t="str">
        <f>IF(D89=0,"0.00%",(H89-D89)/D89)</f>
        <v>0.00%</v>
      </c>
      <c r="H89" s="3">
        <f>H7+H87</f>
        <v>0</v>
      </c>
      <c r="I89" s="871"/>
      <c r="J89" s="66"/>
      <c r="K89" s="83" t="str">
        <f>IF(H89=0,"0.00%",(L89-H89)/H89)</f>
        <v>0.00%</v>
      </c>
      <c r="L89" s="3">
        <f>L7+L87</f>
        <v>0</v>
      </c>
      <c r="M89" s="948"/>
      <c r="O89" s="83" t="str">
        <f>IF(L89=0,"0.00%",(P89-L89)/L89)</f>
        <v>0.00%</v>
      </c>
      <c r="P89" s="3">
        <f>P7+P87</f>
        <v>0</v>
      </c>
      <c r="Q89" s="948"/>
      <c r="S89" s="83" t="str">
        <f>IF(P89=0,"0.00%",(T89-P89)/P89)</f>
        <v>0.00%</v>
      </c>
      <c r="T89" s="49">
        <f>T7+T87</f>
        <v>-5897</v>
      </c>
      <c r="U89" s="73"/>
      <c r="W89" s="83">
        <f>IF(T89=0,"0.00%",(X89-T89)/T89)</f>
        <v>2.1105646939121585</v>
      </c>
      <c r="X89" s="49">
        <f>X7+X87</f>
        <v>-18343</v>
      </c>
      <c r="Y89" s="73"/>
      <c r="AA89" s="83">
        <f>IF(X89=0,"0.00%",(AB89-X89)/X89)</f>
        <v>3.3529411764705883</v>
      </c>
      <c r="AB89" s="49">
        <f>AB7+AB87</f>
        <v>-79846</v>
      </c>
      <c r="AC89" s="73"/>
    </row>
    <row r="90" spans="1:29" x14ac:dyDescent="0.25">
      <c r="C90" s="873"/>
      <c r="G90" s="374"/>
      <c r="H90" s="5"/>
      <c r="I90" s="872"/>
      <c r="J90" s="29"/>
      <c r="L90" s="5"/>
      <c r="M90" s="948"/>
      <c r="P90" s="5"/>
      <c r="Q90" s="948"/>
      <c r="T90" s="5"/>
      <c r="U90" s="73"/>
      <c r="X90" s="5"/>
      <c r="Y90" s="73"/>
      <c r="AB90" s="5"/>
      <c r="AC90" s="73"/>
    </row>
    <row r="91" spans="1:29" x14ac:dyDescent="0.25">
      <c r="C91" s="868"/>
      <c r="G91" s="374"/>
      <c r="H91" s="36"/>
      <c r="I91" s="871"/>
      <c r="J91" s="66"/>
      <c r="L91" s="2"/>
      <c r="M91" s="948"/>
      <c r="Q91" s="948"/>
      <c r="T91" s="2"/>
      <c r="U91" s="73"/>
      <c r="X91" s="2"/>
      <c r="Y91" s="73"/>
      <c r="AB91" s="2"/>
      <c r="AC91" s="73"/>
    </row>
    <row r="92" spans="1:29" x14ac:dyDescent="0.25">
      <c r="C92" s="868"/>
      <c r="G92" s="374"/>
      <c r="H92" s="36"/>
      <c r="I92" s="871"/>
      <c r="J92" s="66"/>
      <c r="L92" s="2"/>
      <c r="M92" s="948"/>
      <c r="Q92" s="948"/>
      <c r="T92" s="2"/>
      <c r="U92" s="73"/>
      <c r="X92" s="2"/>
      <c r="Y92" s="73"/>
      <c r="AB92" s="2"/>
      <c r="AC92" s="73"/>
    </row>
    <row r="93" spans="1:29" x14ac:dyDescent="0.25">
      <c r="C93" s="868"/>
      <c r="G93" s="374"/>
      <c r="H93" s="36"/>
      <c r="I93" s="871"/>
      <c r="J93" s="66"/>
      <c r="L93" s="2"/>
      <c r="M93" s="948"/>
      <c r="Q93" s="948"/>
      <c r="T93" s="2"/>
      <c r="U93" s="73"/>
      <c r="X93" s="2"/>
      <c r="Y93" s="73"/>
      <c r="AB93" s="2"/>
      <c r="AC93" s="73"/>
    </row>
    <row r="94" spans="1:29" x14ac:dyDescent="0.25">
      <c r="C94" s="868"/>
      <c r="G94" s="374"/>
      <c r="H94" s="36"/>
      <c r="I94" s="871"/>
      <c r="J94" s="66"/>
      <c r="L94" s="2"/>
      <c r="M94" s="948"/>
      <c r="Q94" s="948"/>
      <c r="T94" s="2"/>
      <c r="U94" s="73"/>
      <c r="X94" s="2"/>
      <c r="Y94" s="73"/>
      <c r="AB94" s="2"/>
      <c r="AC94" s="73"/>
    </row>
    <row r="95" spans="1:29" s="137" customFormat="1" ht="11.25" x14ac:dyDescent="0.2">
      <c r="A95" s="156"/>
      <c r="B95" s="942"/>
      <c r="C95" s="943" t="s">
        <v>223</v>
      </c>
      <c r="D95" s="134">
        <f>+D82+D66+D53+D41+D30</f>
        <v>210028.93</v>
      </c>
      <c r="E95" s="865"/>
      <c r="G95" s="133" t="s">
        <v>223</v>
      </c>
      <c r="H95" s="134">
        <f>+H82+H66+H53+H41+H30</f>
        <v>207689</v>
      </c>
      <c r="I95" s="874"/>
      <c r="J95" s="135"/>
      <c r="K95" s="133" t="s">
        <v>223</v>
      </c>
      <c r="L95" s="134">
        <f>+L82+L66+L53+L41+L30</f>
        <v>208541</v>
      </c>
      <c r="M95" s="951"/>
      <c r="O95" s="133" t="s">
        <v>223</v>
      </c>
      <c r="P95" s="134">
        <f>+P82+P66+P53+P41+P30</f>
        <v>208541</v>
      </c>
      <c r="Q95" s="951"/>
      <c r="R95" s="139"/>
      <c r="S95" s="133" t="s">
        <v>223</v>
      </c>
      <c r="T95" s="134">
        <f>+T82+T66+T53+T41+T30</f>
        <v>215926</v>
      </c>
      <c r="U95" s="138"/>
      <c r="W95" s="133" t="s">
        <v>223</v>
      </c>
      <c r="X95" s="134">
        <f>+X82+X66+X53+X41+X30</f>
        <v>222475</v>
      </c>
      <c r="Y95" s="138"/>
      <c r="AA95" s="133" t="s">
        <v>223</v>
      </c>
      <c r="AB95" s="134">
        <f>+AB82+AB66+AB53+AB41+AB30</f>
        <v>228899</v>
      </c>
      <c r="AC95" s="138"/>
    </row>
    <row r="96" spans="1:29" s="137" customFormat="1" ht="11.25" x14ac:dyDescent="0.2">
      <c r="A96" s="158"/>
      <c r="B96" s="942"/>
      <c r="C96" s="944" t="s">
        <v>224</v>
      </c>
      <c r="D96" s="142">
        <f>+D13</f>
        <v>7771.07</v>
      </c>
      <c r="E96" s="866"/>
      <c r="F96" s="144"/>
      <c r="G96" s="375" t="s">
        <v>224</v>
      </c>
      <c r="H96" s="142">
        <f>+H13</f>
        <v>10111</v>
      </c>
      <c r="I96" s="875"/>
      <c r="J96" s="143"/>
      <c r="K96" s="375" t="s">
        <v>224</v>
      </c>
      <c r="L96" s="142">
        <f>+L13</f>
        <v>9259</v>
      </c>
      <c r="M96" s="951"/>
      <c r="O96" s="375" t="s">
        <v>224</v>
      </c>
      <c r="P96" s="142">
        <f>+P13</f>
        <v>9259</v>
      </c>
      <c r="Q96" s="865"/>
      <c r="R96" s="139"/>
      <c r="S96" s="141" t="s">
        <v>224</v>
      </c>
      <c r="T96" s="142">
        <f>+T13</f>
        <v>7771</v>
      </c>
      <c r="W96" s="141" t="s">
        <v>224</v>
      </c>
      <c r="X96" s="142">
        <f>+X13</f>
        <v>7771</v>
      </c>
      <c r="AA96" s="141" t="s">
        <v>224</v>
      </c>
      <c r="AB96" s="142">
        <f>+AB13</f>
        <v>50404</v>
      </c>
    </row>
    <row r="97" spans="1:28" s="137" customFormat="1" ht="11.25" x14ac:dyDescent="0.2">
      <c r="A97" s="158"/>
      <c r="B97" s="942"/>
      <c r="C97" s="944"/>
      <c r="D97" s="145">
        <f>+D95+D96</f>
        <v>217800</v>
      </c>
      <c r="E97" s="866"/>
      <c r="F97" s="144"/>
      <c r="G97" s="375"/>
      <c r="H97" s="145">
        <f>+H95+H96</f>
        <v>217800</v>
      </c>
      <c r="I97" s="875"/>
      <c r="J97" s="143"/>
      <c r="K97" s="375"/>
      <c r="L97" s="145">
        <f>+L95+L96</f>
        <v>217800</v>
      </c>
      <c r="M97" s="865"/>
      <c r="O97" s="375"/>
      <c r="P97" s="145">
        <f>+P95+P96</f>
        <v>217800</v>
      </c>
      <c r="Q97" s="865"/>
      <c r="R97" s="139"/>
      <c r="S97" s="141"/>
      <c r="T97" s="145">
        <f>+T95+T96</f>
        <v>223697</v>
      </c>
      <c r="W97" s="141"/>
      <c r="X97" s="145">
        <f>+X95+X96</f>
        <v>230246</v>
      </c>
      <c r="AA97" s="141"/>
      <c r="AB97" s="145">
        <f>+AB95+AB96</f>
        <v>279303</v>
      </c>
    </row>
    <row r="98" spans="1:28" ht="15" customHeight="1" x14ac:dyDescent="0.25">
      <c r="A98" s="152"/>
      <c r="B98" s="945"/>
      <c r="C98" s="945"/>
      <c r="D98" s="5">
        <f>+D85-D97</f>
        <v>0</v>
      </c>
      <c r="E98" s="863"/>
      <c r="F98" s="2"/>
      <c r="G98" s="376"/>
      <c r="H98" s="5">
        <f>+H85-H97</f>
        <v>0</v>
      </c>
      <c r="K98" s="376"/>
      <c r="L98" s="5">
        <f>+L85-L97</f>
        <v>0</v>
      </c>
      <c r="O98" s="376"/>
      <c r="P98" s="5">
        <f>+P85-P97</f>
        <v>0</v>
      </c>
      <c r="S98" s="103"/>
      <c r="T98" s="5">
        <f>+T85-T97</f>
        <v>0</v>
      </c>
      <c r="W98" s="103"/>
      <c r="X98" s="5">
        <f>+X85-X97</f>
        <v>0</v>
      </c>
      <c r="AA98" s="103"/>
      <c r="AB98" s="5">
        <f>+AB85-AB97</f>
        <v>0</v>
      </c>
    </row>
    <row r="99" spans="1:28" x14ac:dyDescent="0.25">
      <c r="A99" s="152"/>
      <c r="B99" s="945"/>
      <c r="C99" s="945"/>
      <c r="D99" s="36"/>
      <c r="E99" s="863"/>
      <c r="F99" s="2"/>
    </row>
    <row r="100" spans="1:28" x14ac:dyDescent="0.25">
      <c r="A100" s="152"/>
      <c r="B100" s="932"/>
      <c r="C100" s="868"/>
      <c r="D100" s="25"/>
      <c r="E100" s="863"/>
      <c r="F100" s="2"/>
    </row>
    <row r="101" spans="1:28" x14ac:dyDescent="0.25">
      <c r="B101" s="932"/>
      <c r="C101" s="868"/>
      <c r="D101" s="36"/>
    </row>
    <row r="102" spans="1:28" x14ac:dyDescent="0.25">
      <c r="B102" s="932"/>
      <c r="C102" s="868"/>
      <c r="D102" s="36"/>
    </row>
    <row r="103" spans="1:28" ht="15" customHeight="1" x14ac:dyDescent="0.25">
      <c r="B103" s="932"/>
      <c r="C103" s="868"/>
      <c r="D103" s="36"/>
    </row>
    <row r="104" spans="1:28" x14ac:dyDescent="0.25">
      <c r="B104" s="932"/>
      <c r="C104" s="868"/>
      <c r="D104" s="36"/>
    </row>
    <row r="105" spans="1:28" x14ac:dyDescent="0.25">
      <c r="B105" s="932"/>
      <c r="C105" s="868"/>
      <c r="D105" s="36"/>
    </row>
    <row r="106" spans="1:28" ht="15" customHeight="1" x14ac:dyDescent="0.25">
      <c r="B106" s="2209"/>
      <c r="C106" s="2209"/>
      <c r="D106" s="36"/>
    </row>
    <row r="107" spans="1:28" x14ac:dyDescent="0.25">
      <c r="B107" s="2209"/>
      <c r="C107" s="2209"/>
      <c r="D107" s="36"/>
    </row>
    <row r="108" spans="1:28" x14ac:dyDescent="0.25">
      <c r="B108" s="932"/>
      <c r="C108" s="868"/>
      <c r="D108" s="6"/>
    </row>
    <row r="109" spans="1:28" x14ac:dyDescent="0.25">
      <c r="B109" s="932"/>
      <c r="C109" s="868"/>
      <c r="D109" s="36"/>
    </row>
    <row r="110" spans="1:28" x14ac:dyDescent="0.25">
      <c r="B110" s="932"/>
      <c r="C110" s="868"/>
      <c r="D110" s="36"/>
    </row>
    <row r="111" spans="1:28" ht="28.5" customHeight="1" x14ac:dyDescent="0.25">
      <c r="B111" s="932"/>
      <c r="C111" s="868"/>
      <c r="D111" s="25"/>
    </row>
    <row r="112" spans="1:28" x14ac:dyDescent="0.25">
      <c r="B112" s="932"/>
      <c r="C112" s="868"/>
      <c r="D112" s="36"/>
    </row>
    <row r="113" spans="2:4" x14ac:dyDescent="0.25">
      <c r="B113" s="932"/>
      <c r="C113" s="868"/>
      <c r="D113" s="36"/>
    </row>
    <row r="114" spans="2:4" x14ac:dyDescent="0.25">
      <c r="B114" s="932"/>
      <c r="C114" s="868"/>
      <c r="D114" s="36"/>
    </row>
    <row r="115" spans="2:4" x14ac:dyDescent="0.25">
      <c r="B115" s="932"/>
      <c r="C115" s="868"/>
      <c r="D115" s="36"/>
    </row>
    <row r="116" spans="2:4" x14ac:dyDescent="0.25">
      <c r="B116" s="932"/>
      <c r="C116" s="868"/>
      <c r="D116" s="36"/>
    </row>
    <row r="117" spans="2:4" x14ac:dyDescent="0.25">
      <c r="B117" s="932"/>
      <c r="C117" s="868"/>
      <c r="D117" s="36"/>
    </row>
    <row r="118" spans="2:4" x14ac:dyDescent="0.25">
      <c r="B118" s="932"/>
      <c r="C118" s="868"/>
      <c r="D118" s="36"/>
    </row>
    <row r="119" spans="2:4" x14ac:dyDescent="0.25">
      <c r="B119" s="932"/>
      <c r="C119" s="868"/>
      <c r="D119" s="36"/>
    </row>
    <row r="120" spans="2:4" x14ac:dyDescent="0.25">
      <c r="B120" s="932"/>
      <c r="C120" s="868"/>
      <c r="D120" s="36"/>
    </row>
    <row r="121" spans="2:4" x14ac:dyDescent="0.25">
      <c r="B121" s="932"/>
      <c r="C121" s="868"/>
      <c r="D121" s="36"/>
    </row>
    <row r="122" spans="2:4" x14ac:dyDescent="0.25">
      <c r="B122" s="932"/>
      <c r="C122" s="868"/>
      <c r="D122" s="36"/>
    </row>
    <row r="123" spans="2:4" x14ac:dyDescent="0.25">
      <c r="B123" s="932"/>
      <c r="C123" s="868"/>
      <c r="D123" s="36"/>
    </row>
    <row r="124" spans="2:4" x14ac:dyDescent="0.25">
      <c r="B124" s="932"/>
      <c r="C124" s="868"/>
      <c r="D124" s="36"/>
    </row>
    <row r="125" spans="2:4" x14ac:dyDescent="0.25">
      <c r="B125" s="932"/>
      <c r="C125" s="868"/>
      <c r="D125" s="36"/>
    </row>
    <row r="126" spans="2:4" x14ac:dyDescent="0.25">
      <c r="B126" s="932"/>
      <c r="C126" s="868"/>
      <c r="D126" s="36"/>
    </row>
  </sheetData>
  <sheetProtection password="B79F" sheet="1" objects="1" scenarios="1"/>
  <mergeCells count="1">
    <mergeCell ref="B106:C107"/>
  </mergeCells>
  <pageMargins left="0.25" right="0.25" top="0.5" bottom="0.5" header="0.25" footer="0.25"/>
  <pageSetup paperSize="5" scale="73" orientation="portrait" r:id="rId1"/>
  <headerFooter>
    <oddHeader>&amp;L&amp;F</oddHeader>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C126"/>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1.7109375" style="146" customWidth="1"/>
    <col min="2" max="2" width="8.5703125" style="930" customWidth="1"/>
    <col min="3" max="3" width="18.28515625" style="857" customWidth="1"/>
    <col min="4" max="4" width="16" style="2" customWidth="1"/>
    <col min="5" max="5" width="17.7109375" style="857" hidden="1" customWidth="1"/>
    <col min="6" max="6" width="6" style="39" customWidth="1"/>
    <col min="7" max="7" width="9.7109375" style="52" bestFit="1" customWidth="1"/>
    <col min="8" max="8" width="13.85546875" style="122" bestFit="1" customWidth="1"/>
    <col min="9" max="9" width="26" style="868" hidden="1" customWidth="1"/>
    <col min="10" max="10" width="5.7109375" style="59" customWidth="1"/>
    <col min="11" max="11" width="10.5703125" style="377" customWidth="1"/>
    <col min="12" max="12" width="14" style="123" bestFit="1" customWidth="1"/>
    <col min="13" max="13" width="26" style="857" hidden="1" customWidth="1"/>
    <col min="14" max="14" width="5.7109375" style="39" customWidth="1"/>
    <col min="15" max="15" width="9.42578125" style="377" bestFit="1" customWidth="1"/>
    <col min="16" max="16" width="14" style="2" bestFit="1" customWidth="1"/>
    <col min="17" max="17" width="24.85546875" style="857"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930" t="s">
        <v>61</v>
      </c>
      <c r="C1" s="931" t="s">
        <v>275</v>
      </c>
      <c r="D1" s="1044"/>
      <c r="E1" s="855"/>
      <c r="F1" s="98"/>
      <c r="G1" s="369"/>
      <c r="H1" s="1045"/>
      <c r="I1" s="855"/>
      <c r="K1" s="382"/>
      <c r="L1" s="122"/>
      <c r="M1" s="855"/>
      <c r="N1" s="51"/>
      <c r="O1" s="382"/>
      <c r="P1" s="122"/>
      <c r="Q1" s="855"/>
      <c r="T1" s="86">
        <v>0</v>
      </c>
      <c r="U1" s="98"/>
      <c r="X1" s="86">
        <v>0</v>
      </c>
      <c r="Y1" s="98"/>
      <c r="AB1" s="86">
        <v>0</v>
      </c>
      <c r="AC1" s="98"/>
    </row>
    <row r="2" spans="1:29" ht="17.25" x14ac:dyDescent="0.4">
      <c r="B2" s="932" t="s">
        <v>59</v>
      </c>
      <c r="C2" s="933">
        <v>6230</v>
      </c>
      <c r="D2" s="1045"/>
      <c r="E2" s="855"/>
      <c r="F2" s="98"/>
      <c r="G2" s="1863"/>
      <c r="H2" s="1045"/>
      <c r="I2" s="855"/>
      <c r="K2" s="382"/>
      <c r="L2" s="87"/>
      <c r="M2" s="855"/>
      <c r="N2" s="51"/>
      <c r="O2" s="382"/>
      <c r="P2" s="87"/>
      <c r="Q2" s="855"/>
      <c r="T2" s="87">
        <v>0</v>
      </c>
      <c r="U2" s="98"/>
      <c r="X2" s="87">
        <v>0</v>
      </c>
      <c r="Y2" s="98"/>
      <c r="AB2" s="87">
        <v>0</v>
      </c>
      <c r="AC2" s="98"/>
    </row>
    <row r="3" spans="1:29" x14ac:dyDescent="0.25">
      <c r="D3" s="1046"/>
      <c r="E3" s="867"/>
      <c r="F3" s="1047"/>
      <c r="G3" s="1864"/>
      <c r="H3" s="1046"/>
      <c r="I3" s="867"/>
      <c r="K3" s="382"/>
      <c r="L3" s="122"/>
      <c r="M3" s="868"/>
      <c r="N3" s="51"/>
      <c r="O3" s="382"/>
      <c r="P3" s="122"/>
      <c r="Q3" s="868"/>
      <c r="T3" s="86">
        <f>SUM(T1:T2)</f>
        <v>0</v>
      </c>
      <c r="U3" s="51"/>
      <c r="X3" s="86">
        <f>SUM(X1:X2)</f>
        <v>0</v>
      </c>
      <c r="Y3" s="51"/>
      <c r="AB3" s="86">
        <f>SUM(AB1:AB2)</f>
        <v>0</v>
      </c>
      <c r="AC3" s="51"/>
    </row>
    <row r="4" spans="1:29" x14ac:dyDescent="0.25">
      <c r="D4" s="36"/>
      <c r="E4" s="868"/>
      <c r="F4" s="51"/>
      <c r="G4" s="374"/>
      <c r="K4" s="382"/>
      <c r="L4" s="122"/>
      <c r="M4" s="868"/>
      <c r="N4" s="51"/>
      <c r="O4" s="382"/>
      <c r="P4" s="122"/>
      <c r="Q4" s="868"/>
      <c r="T4" s="86"/>
      <c r="U4" s="51"/>
      <c r="X4" s="86"/>
      <c r="Y4" s="51"/>
      <c r="AB4" s="86"/>
      <c r="AC4" s="51"/>
    </row>
    <row r="5" spans="1:29" ht="15.75" x14ac:dyDescent="0.25">
      <c r="B5" s="934" t="s">
        <v>56</v>
      </c>
      <c r="P5" s="123"/>
      <c r="T5" s="73"/>
      <c r="X5" s="73"/>
      <c r="AB5" s="73"/>
    </row>
    <row r="6" spans="1:29" s="89" customFormat="1" ht="15.75" x14ac:dyDescent="0.25">
      <c r="A6" s="147"/>
      <c r="B6" s="935"/>
      <c r="C6" s="935"/>
      <c r="D6" s="284" t="s">
        <v>55</v>
      </c>
      <c r="E6" s="858"/>
      <c r="G6" s="371"/>
      <c r="H6" s="324" t="str">
        <f>LEFT(D6,4)+1&amp;"-"&amp;RIGHT(D6,4)+1</f>
        <v>2017-2018</v>
      </c>
      <c r="I6" s="869"/>
      <c r="J6" s="93"/>
      <c r="K6" s="378"/>
      <c r="L6" s="124" t="str">
        <f>LEFT(H6,4)+1&amp;"-"&amp;RIGHT(H6,4)+1</f>
        <v>2018-2019</v>
      </c>
      <c r="M6" s="946"/>
      <c r="N6" s="96"/>
      <c r="O6" s="381"/>
      <c r="P6" s="124" t="str">
        <f>LEFT(L6,4)+1&amp;"-"&amp;RIGHT(L6,4)+1</f>
        <v>2019-2020</v>
      </c>
      <c r="Q6" s="94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936" t="s">
        <v>54</v>
      </c>
      <c r="D7" s="2">
        <v>-228093.64</v>
      </c>
      <c r="E7" s="928"/>
      <c r="H7" s="2">
        <f>D89</f>
        <v>-221149.14</v>
      </c>
      <c r="I7" s="928"/>
      <c r="J7" s="60"/>
      <c r="L7" s="2">
        <f>H89</f>
        <v>0</v>
      </c>
      <c r="M7" s="928"/>
      <c r="P7" s="2">
        <f>L89</f>
        <v>0</v>
      </c>
      <c r="Q7" s="928"/>
      <c r="T7" s="2">
        <f>P89</f>
        <v>0</v>
      </c>
      <c r="U7" s="105"/>
      <c r="X7" s="2">
        <f>T89</f>
        <v>0</v>
      </c>
      <c r="Y7" s="105"/>
      <c r="AB7" s="2">
        <f>X89</f>
        <v>0</v>
      </c>
      <c r="AC7" s="105"/>
    </row>
    <row r="8" spans="1:29" x14ac:dyDescent="0.25">
      <c r="E8" s="928"/>
      <c r="H8" s="2"/>
      <c r="I8" s="928"/>
      <c r="L8" s="2"/>
      <c r="M8" s="928"/>
      <c r="Q8" s="928"/>
      <c r="U8" s="105"/>
      <c r="Y8" s="105"/>
      <c r="AC8" s="105"/>
    </row>
    <row r="9" spans="1:29" x14ac:dyDescent="0.25">
      <c r="B9" s="930" t="s">
        <v>52</v>
      </c>
      <c r="C9" s="857" t="s">
        <v>53</v>
      </c>
      <c r="D9" s="2">
        <v>466860</v>
      </c>
      <c r="E9" s="928" t="s">
        <v>468</v>
      </c>
      <c r="G9" s="83">
        <f>IF(D9=0,"0.00%",(H9-D9)/D9)</f>
        <v>-5.4568821488240583E-2</v>
      </c>
      <c r="H9" s="3">
        <v>441384</v>
      </c>
      <c r="I9" s="928" t="s">
        <v>469</v>
      </c>
      <c r="J9" s="61"/>
      <c r="K9" s="83">
        <f>IF(H9=0,"0.00%",(L9-H9)/H9)</f>
        <v>-1</v>
      </c>
      <c r="L9" s="3">
        <f>L3</f>
        <v>0</v>
      </c>
      <c r="M9" s="928"/>
      <c r="O9" s="83" t="str">
        <f>IF(L9=0,"0.00%",(P9-L9)/L9)</f>
        <v>0.00%</v>
      </c>
      <c r="P9" s="3">
        <f>P3</f>
        <v>0</v>
      </c>
      <c r="Q9" s="928"/>
      <c r="S9" s="83" t="str">
        <f>IF(P9=0,"0.00%",(T9-P9)/P9)</f>
        <v>0.00%</v>
      </c>
      <c r="T9" s="3">
        <f>T3</f>
        <v>0</v>
      </c>
      <c r="U9" s="105"/>
      <c r="W9" s="83" t="str">
        <f>IF(T9=0,"0.00%",(X9-T9)/T9)</f>
        <v>0.00%</v>
      </c>
      <c r="X9" s="3">
        <f>X3</f>
        <v>0</v>
      </c>
      <c r="Y9" s="105"/>
      <c r="AA9" s="83" t="str">
        <f>IF(X9=0,"0.00%",(AB9-X9)/X9)</f>
        <v>0.00%</v>
      </c>
      <c r="AB9" s="3">
        <f>AB3</f>
        <v>0</v>
      </c>
      <c r="AC9" s="105"/>
    </row>
    <row r="10" spans="1:29" x14ac:dyDescent="0.25">
      <c r="C10" s="857" t="s">
        <v>51</v>
      </c>
      <c r="D10" s="2">
        <v>0</v>
      </c>
      <c r="E10" s="928"/>
      <c r="G10" s="83" t="str">
        <f t="shared" ref="G10:G15" si="0">IF(D10=0,"0.00%",(H10-D10)/D10)</f>
        <v>0.00%</v>
      </c>
      <c r="H10" s="3">
        <v>0</v>
      </c>
      <c r="I10" s="928"/>
      <c r="J10" s="61"/>
      <c r="K10" s="83" t="str">
        <f>IF(H10=0,"0.00%",(L10-H10)/H10)</f>
        <v>0.00%</v>
      </c>
      <c r="L10" s="3">
        <f>-H2</f>
        <v>0</v>
      </c>
      <c r="M10" s="928"/>
      <c r="O10" s="83" t="str">
        <f>IF(L10=0,"0.00%",(P10-L10)/L10)</f>
        <v>0.00%</v>
      </c>
      <c r="P10" s="3">
        <f>-L2</f>
        <v>0</v>
      </c>
      <c r="Q10" s="928"/>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936" t="s">
        <v>137</v>
      </c>
      <c r="D11" s="8">
        <f>SUM(D9:D10)</f>
        <v>466860</v>
      </c>
      <c r="E11" s="928"/>
      <c r="G11" s="83">
        <f t="shared" si="0"/>
        <v>-5.4568821488240583E-2</v>
      </c>
      <c r="H11" s="8">
        <f>SUM(H9:H10)</f>
        <v>441384</v>
      </c>
      <c r="I11" s="928"/>
      <c r="J11" s="62"/>
      <c r="K11" s="83">
        <f>IF(H11=0,"0.00%",(L11-H11)/H11)</f>
        <v>-1</v>
      </c>
      <c r="L11" s="8">
        <f>SUM(L9:L10)</f>
        <v>0</v>
      </c>
      <c r="M11" s="928"/>
      <c r="O11" s="83" t="str">
        <f>IF(L11=0,"0.00%",(P11-L11)/L11)</f>
        <v>0.00%</v>
      </c>
      <c r="P11" s="8">
        <f>SUM(P9:P10)</f>
        <v>0</v>
      </c>
      <c r="Q11" s="928"/>
      <c r="S11" s="83" t="str">
        <f>IF(P11=0,"0.00%",(T11-P11)/P11)</f>
        <v>0.00%</v>
      </c>
      <c r="T11" s="78">
        <f>SUM(T9:T10)</f>
        <v>0</v>
      </c>
      <c r="U11" s="105"/>
      <c r="W11" s="83" t="str">
        <f>IF(T11=0,"0.00%",(X11-T11)/T11)</f>
        <v>0.00%</v>
      </c>
      <c r="X11" s="78">
        <f>SUM(X9:X10)</f>
        <v>0</v>
      </c>
      <c r="Y11" s="105"/>
      <c r="AA11" s="83" t="str">
        <f>IF(X11=0,"0.00%",(AB11-X11)/X11)</f>
        <v>0.00%</v>
      </c>
      <c r="AB11" s="78">
        <f>SUM(AB9:AB10)</f>
        <v>0</v>
      </c>
      <c r="AC11" s="105"/>
    </row>
    <row r="12" spans="1:29" x14ac:dyDescent="0.25">
      <c r="E12" s="928"/>
      <c r="H12" s="3"/>
      <c r="I12" s="928"/>
      <c r="J12" s="63"/>
      <c r="K12" s="52"/>
      <c r="L12" s="3"/>
      <c r="M12" s="928"/>
      <c r="O12" s="52"/>
      <c r="P12" s="3"/>
      <c r="Q12" s="928"/>
      <c r="S12" s="46"/>
      <c r="T12" s="44"/>
      <c r="U12" s="105"/>
      <c r="W12" s="46"/>
      <c r="X12" s="44"/>
      <c r="Y12" s="105"/>
      <c r="AA12" s="46"/>
      <c r="AB12" s="44"/>
      <c r="AC12" s="105"/>
    </row>
    <row r="13" spans="1:29" x14ac:dyDescent="0.25">
      <c r="C13" s="938" t="s">
        <v>64</v>
      </c>
      <c r="D13" s="9">
        <f>ROUND(D11-(D11/(1+F13)),0)</f>
        <v>0</v>
      </c>
      <c r="E13" s="928"/>
      <c r="F13" s="52">
        <v>0</v>
      </c>
      <c r="G13" s="83" t="str">
        <f t="shared" si="0"/>
        <v>0.00%</v>
      </c>
      <c r="H13" s="9">
        <f>ROUND(H11-(H11/(1+F13)),0)</f>
        <v>0</v>
      </c>
      <c r="I13" s="928"/>
      <c r="J13" s="64"/>
      <c r="K13" s="83" t="str">
        <f>IF(H13=0,"0.00%",(L13-H13)/H13)</f>
        <v>0.00%</v>
      </c>
      <c r="L13" s="9">
        <f>ROUND(L11-(L11/(1+F13)),0)</f>
        <v>0</v>
      </c>
      <c r="M13" s="928"/>
      <c r="O13" s="83" t="str">
        <f>IF(L13=0,"0.00%",(P13-L13)/L13)</f>
        <v>0.00%</v>
      </c>
      <c r="P13" s="9">
        <f>ROUND(P11-(P11/(1+F13)),0)</f>
        <v>0</v>
      </c>
      <c r="Q13" s="928"/>
      <c r="S13" s="83" t="str">
        <f>IF(P13=0,"0.00%",(T13-P13)/P13)</f>
        <v>0.00%</v>
      </c>
      <c r="T13" s="77">
        <f>ROUND(T11-(T11/(1+F13)),0)</f>
        <v>0</v>
      </c>
      <c r="U13" s="105"/>
      <c r="W13" s="83" t="str">
        <f>IF(T13=0,"0.00%",(X13-T13)/T13)</f>
        <v>0.00%</v>
      </c>
      <c r="X13" s="77">
        <f>ROUND(X11-(X11/(1+F13)),0)</f>
        <v>0</v>
      </c>
      <c r="Y13" s="105"/>
      <c r="AA13" s="83" t="str">
        <f>IF(X13=0,"0.00%",(AB13-X13)/X13)</f>
        <v>0.00%</v>
      </c>
      <c r="AB13" s="77">
        <f>ROUND(AB11-(AB11/(1+G13)),0)</f>
        <v>0</v>
      </c>
      <c r="AC13" s="105"/>
    </row>
    <row r="14" spans="1:29" x14ac:dyDescent="0.25">
      <c r="E14" s="928"/>
      <c r="H14" s="3"/>
      <c r="I14" s="928"/>
      <c r="J14" s="63"/>
      <c r="K14" s="52"/>
      <c r="L14" s="3"/>
      <c r="M14" s="928"/>
      <c r="O14" s="52"/>
      <c r="P14" s="3"/>
      <c r="Q14" s="928"/>
      <c r="S14" s="46"/>
      <c r="T14" s="44"/>
      <c r="U14" s="105"/>
      <c r="W14" s="46"/>
      <c r="X14" s="44"/>
      <c r="Y14" s="105"/>
      <c r="AA14" s="46"/>
      <c r="AB14" s="44"/>
      <c r="AC14" s="105"/>
    </row>
    <row r="15" spans="1:29" x14ac:dyDescent="0.25">
      <c r="B15" s="936" t="s">
        <v>50</v>
      </c>
      <c r="D15" s="10">
        <f>D11-D13+D7</f>
        <v>238766.36</v>
      </c>
      <c r="E15" s="928"/>
      <c r="G15" s="83">
        <f t="shared" si="0"/>
        <v>-7.7613529812156121E-2</v>
      </c>
      <c r="H15" s="10">
        <f>H11-H13+H7</f>
        <v>220234.86</v>
      </c>
      <c r="I15" s="928"/>
      <c r="J15" s="62"/>
      <c r="K15" s="83">
        <f>IF(H15=0,"0.00%",(L15-H15)/H15)</f>
        <v>-1</v>
      </c>
      <c r="L15" s="10">
        <f>L11-L13+L7</f>
        <v>0</v>
      </c>
      <c r="M15" s="928"/>
      <c r="O15" s="83" t="str">
        <f>IF(L15=0,"0.00%",(P15-L15)/L15)</f>
        <v>0.00%</v>
      </c>
      <c r="P15" s="10">
        <f>P11-P13+P7</f>
        <v>0</v>
      </c>
      <c r="Q15" s="928"/>
      <c r="S15" s="83" t="str">
        <f>IF(P15=0,"0.00%",(T15-P15)/P15)</f>
        <v>0.00%</v>
      </c>
      <c r="T15" s="53">
        <f>T11-T13+T7</f>
        <v>0</v>
      </c>
      <c r="U15" s="105"/>
      <c r="W15" s="83" t="str">
        <f>IF(T15=0,"0.00%",(X15-T15)/T15)</f>
        <v>0.00%</v>
      </c>
      <c r="X15" s="53">
        <f>X11-X13+X7</f>
        <v>0</v>
      </c>
      <c r="Y15" s="105"/>
      <c r="AA15" s="83" t="str">
        <f>IF(X15=0,"0.00%",(AB15-X15)/X15)</f>
        <v>0.00%</v>
      </c>
      <c r="AB15" s="53">
        <f>AB11-AB13+AB7</f>
        <v>0</v>
      </c>
      <c r="AC15" s="105"/>
    </row>
    <row r="16" spans="1:29" x14ac:dyDescent="0.25">
      <c r="E16" s="928"/>
      <c r="H16" s="3"/>
      <c r="I16" s="928"/>
      <c r="J16" s="62"/>
      <c r="L16" s="3"/>
      <c r="M16" s="928"/>
      <c r="P16" s="3"/>
      <c r="Q16" s="928"/>
      <c r="T16" s="49"/>
      <c r="U16" s="105"/>
      <c r="X16" s="49"/>
      <c r="Y16" s="105"/>
      <c r="AB16" s="49"/>
      <c r="AC16" s="105"/>
    </row>
    <row r="17" spans="1:29" x14ac:dyDescent="0.25">
      <c r="C17" s="930"/>
      <c r="E17" s="928"/>
      <c r="H17" s="3"/>
      <c r="I17" s="928"/>
      <c r="J17" s="63"/>
      <c r="L17" s="3"/>
      <c r="M17" s="928"/>
      <c r="P17" s="3"/>
      <c r="Q17" s="928"/>
      <c r="T17" s="44"/>
      <c r="U17" s="105"/>
      <c r="X17" s="44"/>
      <c r="Y17" s="105"/>
      <c r="AB17" s="44"/>
      <c r="AC17" s="105"/>
    </row>
    <row r="18" spans="1:29" x14ac:dyDescent="0.25">
      <c r="A18" s="148"/>
      <c r="D18" s="29" t="s">
        <v>826</v>
      </c>
      <c r="E18" s="929"/>
      <c r="F18" s="32"/>
      <c r="H18" s="29" t="s">
        <v>177</v>
      </c>
      <c r="I18" s="929"/>
      <c r="J18" s="65"/>
      <c r="M18" s="929"/>
      <c r="Q18" s="929"/>
      <c r="U18" s="106"/>
      <c r="Y18" s="106"/>
      <c r="AC18" s="106"/>
    </row>
    <row r="19" spans="1:29" ht="17.25" x14ac:dyDescent="0.4">
      <c r="A19" s="149"/>
      <c r="D19" s="35" t="s">
        <v>827</v>
      </c>
      <c r="E19" s="860"/>
      <c r="F19" s="34"/>
      <c r="H19" s="35" t="s">
        <v>48</v>
      </c>
      <c r="I19" s="870">
        <v>0.02</v>
      </c>
      <c r="J19" s="29"/>
      <c r="L19" s="14" t="s">
        <v>48</v>
      </c>
      <c r="M19" s="870">
        <v>0.02</v>
      </c>
      <c r="P19" s="14" t="s">
        <v>48</v>
      </c>
      <c r="Q19" s="870">
        <v>0.02</v>
      </c>
      <c r="T19" s="14" t="s">
        <v>48</v>
      </c>
      <c r="U19" s="104">
        <v>0.02</v>
      </c>
      <c r="X19" s="14" t="s">
        <v>48</v>
      </c>
      <c r="Y19" s="104">
        <v>0.02</v>
      </c>
      <c r="AB19" s="14" t="s">
        <v>48</v>
      </c>
      <c r="AC19" s="104">
        <v>0.02</v>
      </c>
    </row>
    <row r="20" spans="1:29" s="13" customFormat="1" hidden="1" x14ac:dyDescent="0.25">
      <c r="A20" s="150"/>
      <c r="B20" s="936" t="s">
        <v>46</v>
      </c>
      <c r="C20" s="938"/>
      <c r="D20" s="10"/>
      <c r="E20" s="861"/>
      <c r="F20" s="10"/>
      <c r="G20" s="372"/>
      <c r="H20" s="10"/>
      <c r="I20" s="864"/>
      <c r="J20" s="57"/>
      <c r="K20" s="379"/>
      <c r="L20" s="10"/>
      <c r="M20" s="947"/>
      <c r="O20" s="379"/>
      <c r="P20" s="10"/>
      <c r="Q20" s="947"/>
      <c r="R20" s="111"/>
      <c r="T20" s="10"/>
      <c r="U20" s="74"/>
      <c r="X20" s="10"/>
      <c r="Y20" s="74"/>
      <c r="AB20" s="10"/>
      <c r="AC20" s="74"/>
    </row>
    <row r="21" spans="1:29" hidden="1" x14ac:dyDescent="0.25">
      <c r="A21" s="151"/>
      <c r="B21" s="939"/>
      <c r="D21" s="2">
        <v>0</v>
      </c>
      <c r="E21" s="863"/>
      <c r="F21" s="2"/>
      <c r="G21" s="83" t="str">
        <f t="shared" ref="G21:G30" si="1">IF(D21=0,"0.00%",(H21-D21)/D21)</f>
        <v>0.00%</v>
      </c>
      <c r="H21" s="2">
        <f t="shared" ref="H21:H27" si="2">ROUND(D21*(1+$I$19),0)</f>
        <v>0</v>
      </c>
      <c r="I21" s="854" t="str">
        <f t="shared" ref="I21:I28" si="3">TEXT($I$19,"0.0%")&amp;" = Est. S &amp; C"</f>
        <v>2.0% = Est. S &amp; C</v>
      </c>
      <c r="J21" s="66"/>
      <c r="K21" s="83" t="str">
        <f t="shared" ref="K21:K27" si="4">IF(H21=0,"0.00%",(L21-H21)/H21)</f>
        <v>0.00%</v>
      </c>
      <c r="L21" s="2">
        <f>ROUND(H21*(1+M19),0)</f>
        <v>0</v>
      </c>
      <c r="M21" s="871" t="str">
        <f>TEXT(M19,"0.0%")&amp;" = Est. S &amp; C"</f>
        <v>2.0% = Est. S &amp; C</v>
      </c>
      <c r="O21" s="83" t="str">
        <f t="shared" ref="O21:O27" si="5">IF(L21=0,"0.00%",(P21-L21)/L21)</f>
        <v>0.00%</v>
      </c>
      <c r="P21" s="2">
        <f>ROUND(L21*(1+Q19),0)</f>
        <v>0</v>
      </c>
      <c r="Q21" s="871"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2"/>
      <c r="B22" s="939"/>
      <c r="D22" s="2">
        <v>0</v>
      </c>
      <c r="E22" s="863"/>
      <c r="F22" s="2"/>
      <c r="G22" s="83" t="str">
        <f t="shared" si="1"/>
        <v>0.00%</v>
      </c>
      <c r="H22" s="2">
        <f t="shared" si="2"/>
        <v>0</v>
      </c>
      <c r="I22" s="871" t="str">
        <f t="shared" si="3"/>
        <v>2.0% = Est. S &amp; C</v>
      </c>
      <c r="J22" s="66"/>
      <c r="K22" s="83" t="str">
        <f t="shared" si="4"/>
        <v>0.00%</v>
      </c>
      <c r="L22" s="2">
        <f>ROUND(H22*(1+M19),0)</f>
        <v>0</v>
      </c>
      <c r="M22" s="871" t="str">
        <f>TEXT(M19,"0.0%")&amp;" = Est. S &amp; C"</f>
        <v>2.0% = Est. S &amp; C</v>
      </c>
      <c r="O22" s="83" t="str">
        <f t="shared" si="5"/>
        <v>0.00%</v>
      </c>
      <c r="P22" s="2">
        <f>ROUND(L22*(1+Q19),0)</f>
        <v>0</v>
      </c>
      <c r="Q22" s="871"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2"/>
      <c r="B23" s="939"/>
      <c r="D23" s="2">
        <v>0</v>
      </c>
      <c r="E23" s="863"/>
      <c r="F23" s="2"/>
      <c r="G23" s="83" t="str">
        <f t="shared" si="1"/>
        <v>0.00%</v>
      </c>
      <c r="H23" s="2">
        <f t="shared" si="2"/>
        <v>0</v>
      </c>
      <c r="I23" s="871" t="str">
        <f t="shared" si="3"/>
        <v>2.0% = Est. S &amp; C</v>
      </c>
      <c r="J23" s="66"/>
      <c r="K23" s="83" t="str">
        <f t="shared" si="4"/>
        <v>0.00%</v>
      </c>
      <c r="L23" s="2">
        <f>ROUND(H23*(1+M19),0)</f>
        <v>0</v>
      </c>
      <c r="M23" s="871" t="str">
        <f>TEXT(M19,"0.0%")&amp;" = Est. S &amp; C"</f>
        <v>2.0% = Est. S &amp; C</v>
      </c>
      <c r="O23" s="83" t="str">
        <f t="shared" si="5"/>
        <v>0.00%</v>
      </c>
      <c r="P23" s="2">
        <f>ROUND(L23*(1+Q19),0)</f>
        <v>0</v>
      </c>
      <c r="Q23" s="871"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2"/>
      <c r="B24" s="939"/>
      <c r="D24" s="2">
        <v>0</v>
      </c>
      <c r="E24" s="863"/>
      <c r="F24" s="2"/>
      <c r="G24" s="83" t="str">
        <f t="shared" si="1"/>
        <v>0.00%</v>
      </c>
      <c r="H24" s="2">
        <f t="shared" si="2"/>
        <v>0</v>
      </c>
      <c r="I24" s="871" t="str">
        <f t="shared" si="3"/>
        <v>2.0% = Est. S &amp; C</v>
      </c>
      <c r="J24" s="66"/>
      <c r="K24" s="83" t="str">
        <f t="shared" si="4"/>
        <v>0.00%</v>
      </c>
      <c r="L24" s="2">
        <f>ROUND(H24*(1+M19),0)</f>
        <v>0</v>
      </c>
      <c r="M24" s="871" t="str">
        <f>TEXT(M19,"0.0%")&amp;" = Est. S &amp; C"</f>
        <v>2.0% = Est. S &amp; C</v>
      </c>
      <c r="O24" s="83" t="str">
        <f t="shared" si="5"/>
        <v>0.00%</v>
      </c>
      <c r="P24" s="2">
        <f>ROUND(L24*(1+Q19),0)</f>
        <v>0</v>
      </c>
      <c r="Q24" s="871"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2"/>
      <c r="B25" s="939"/>
      <c r="D25" s="2">
        <v>0</v>
      </c>
      <c r="E25" s="863"/>
      <c r="F25" s="2"/>
      <c r="G25" s="83" t="str">
        <f t="shared" si="1"/>
        <v>0.00%</v>
      </c>
      <c r="H25" s="2">
        <f t="shared" si="2"/>
        <v>0</v>
      </c>
      <c r="I25" s="871" t="str">
        <f t="shared" si="3"/>
        <v>2.0% = Est. S &amp; C</v>
      </c>
      <c r="J25" s="66"/>
      <c r="K25" s="83" t="str">
        <f t="shared" si="4"/>
        <v>0.00%</v>
      </c>
      <c r="L25" s="2">
        <f>ROUND(H25*(1+M19),0)</f>
        <v>0</v>
      </c>
      <c r="M25" s="871" t="str">
        <f>TEXT(M19,"0.0%")&amp;" = Est. S &amp; C"</f>
        <v>2.0% = Est. S &amp; C</v>
      </c>
      <c r="O25" s="83" t="str">
        <f t="shared" si="5"/>
        <v>0.00%</v>
      </c>
      <c r="P25" s="2">
        <f>ROUND(L25*(1+Q19),0)</f>
        <v>0</v>
      </c>
      <c r="Q25" s="871"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2"/>
      <c r="B26" s="939"/>
      <c r="D26" s="2">
        <v>0</v>
      </c>
      <c r="E26" s="863"/>
      <c r="F26" s="2"/>
      <c r="G26" s="83" t="str">
        <f t="shared" si="1"/>
        <v>0.00%</v>
      </c>
      <c r="H26" s="2">
        <f t="shared" si="2"/>
        <v>0</v>
      </c>
      <c r="I26" s="871" t="str">
        <f t="shared" si="3"/>
        <v>2.0% = Est. S &amp; C</v>
      </c>
      <c r="J26" s="66"/>
      <c r="K26" s="83" t="str">
        <f t="shared" si="4"/>
        <v>0.00%</v>
      </c>
      <c r="L26" s="2">
        <f>ROUND(H26*(1+M19),0)</f>
        <v>0</v>
      </c>
      <c r="M26" s="382" t="str">
        <f>TEXT(M19,"0.0%")&amp;" = Est. S &amp; C"</f>
        <v>2.0% = Est. S &amp; C</v>
      </c>
      <c r="O26" s="83" t="str">
        <f t="shared" si="5"/>
        <v>0.00%</v>
      </c>
      <c r="P26" s="2">
        <f>ROUND(L26*(1+Q19),0)</f>
        <v>0</v>
      </c>
      <c r="Q26" s="871"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2"/>
      <c r="B27" s="939"/>
      <c r="D27" s="2">
        <v>0</v>
      </c>
      <c r="E27" s="863"/>
      <c r="F27" s="2"/>
      <c r="G27" s="83" t="str">
        <f t="shared" si="1"/>
        <v>0.00%</v>
      </c>
      <c r="H27" s="2">
        <f t="shared" si="2"/>
        <v>0</v>
      </c>
      <c r="I27" s="871" t="str">
        <f t="shared" si="3"/>
        <v>2.0% = Est. S &amp; C</v>
      </c>
      <c r="J27" s="66"/>
      <c r="K27" s="83" t="str">
        <f t="shared" si="4"/>
        <v>0.00%</v>
      </c>
      <c r="L27" s="2">
        <f>ROUND(H27*(1+M19),0)</f>
        <v>0</v>
      </c>
      <c r="M27" s="871" t="str">
        <f>TEXT(M19,"0.0%")&amp;" = Est. S &amp; C"</f>
        <v>2.0% = Est. S &amp; C</v>
      </c>
      <c r="O27" s="83" t="str">
        <f t="shared" si="5"/>
        <v>0.00%</v>
      </c>
      <c r="P27" s="2">
        <f>ROUND(L27*(1+Q19),0)</f>
        <v>0</v>
      </c>
      <c r="Q27" s="871"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2"/>
      <c r="B28" s="939"/>
      <c r="D28" s="2">
        <v>0</v>
      </c>
      <c r="E28" s="863"/>
      <c r="F28" s="2"/>
      <c r="G28" s="83" t="str">
        <f>IF(D28=0,"0.00%",(H28-D28)/D28)</f>
        <v>0.00%</v>
      </c>
      <c r="H28" s="2">
        <f>ROUND(D28*(1+$I$19),0)</f>
        <v>0</v>
      </c>
      <c r="I28" s="871" t="str">
        <f t="shared" si="3"/>
        <v>2.0% = Est. S &amp; C</v>
      </c>
      <c r="J28" s="66"/>
      <c r="K28" s="83" t="str">
        <f>IF(H28=0,"0.00%",(L28-H28)/H28)</f>
        <v>0.00%</v>
      </c>
      <c r="L28" s="2">
        <f>ROUND(H28*(1+M20),0)</f>
        <v>0</v>
      </c>
      <c r="M28" s="871" t="str">
        <f>TEXT(M20,"0.0%")&amp;" = Est. S &amp; C"</f>
        <v>0.0% = Est. S &amp; C</v>
      </c>
      <c r="O28" s="83" t="str">
        <f>IF(L28=0,"0.00%",(P28-L28)/L28)</f>
        <v>0.00%</v>
      </c>
      <c r="P28" s="2">
        <f>ROUND(L28*(1+Q20),0)</f>
        <v>0</v>
      </c>
      <c r="Q28" s="871"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939"/>
      <c r="E29" s="863"/>
      <c r="F29" s="2"/>
      <c r="G29" s="83"/>
      <c r="H29" s="2"/>
      <c r="I29" s="871"/>
      <c r="J29" s="66"/>
      <c r="L29" s="2"/>
      <c r="M29" s="948"/>
      <c r="Q29" s="948"/>
      <c r="T29" s="2"/>
      <c r="U29" s="73"/>
      <c r="X29" s="2"/>
      <c r="Y29" s="73"/>
      <c r="AB29" s="2"/>
      <c r="AC29" s="73"/>
    </row>
    <row r="30" spans="1:29" hidden="1" x14ac:dyDescent="0.25">
      <c r="A30" s="153"/>
      <c r="B30" s="939"/>
      <c r="D30" s="8">
        <f>SUM(D21:D29)</f>
        <v>0</v>
      </c>
      <c r="E30" s="863"/>
      <c r="F30" s="2"/>
      <c r="G30" s="83" t="str">
        <f t="shared" si="1"/>
        <v>0.00%</v>
      </c>
      <c r="H30" s="8">
        <f>SUM(H21:H29)</f>
        <v>0</v>
      </c>
      <c r="I30" s="872"/>
      <c r="J30" s="29"/>
      <c r="K30" s="83" t="str">
        <f>IF(H30=0,"0.00%",(L30-H30)/H30)</f>
        <v>0.00%</v>
      </c>
      <c r="L30" s="8">
        <f>SUM(L21:L29)</f>
        <v>0</v>
      </c>
      <c r="M30" s="948"/>
      <c r="O30" s="83" t="str">
        <f>IF(L30=0,"0.00%",(P30-L30)/L30)</f>
        <v>0.00%</v>
      </c>
      <c r="P30" s="8">
        <f>SUM(P21:P29)</f>
        <v>0</v>
      </c>
      <c r="Q30" s="948"/>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2"/>
      <c r="E31" s="863"/>
      <c r="F31" s="2"/>
      <c r="H31" s="2"/>
      <c r="I31" s="854"/>
      <c r="J31" s="66"/>
      <c r="L31" s="2"/>
      <c r="M31" s="949"/>
      <c r="Q31" s="949"/>
      <c r="T31" s="2"/>
      <c r="U31" s="73"/>
      <c r="X31" s="2"/>
      <c r="Y31" s="73"/>
      <c r="AB31" s="2"/>
      <c r="AC31" s="73"/>
    </row>
    <row r="32" spans="1:29" s="4" customFormat="1" hidden="1" x14ac:dyDescent="0.25">
      <c r="A32" s="150"/>
      <c r="B32" s="940" t="s">
        <v>35</v>
      </c>
      <c r="C32" s="873"/>
      <c r="D32" s="6"/>
      <c r="E32" s="864"/>
      <c r="F32" s="6"/>
      <c r="G32" s="373"/>
      <c r="H32" s="6"/>
      <c r="I32" s="864"/>
      <c r="J32" s="57"/>
      <c r="K32" s="380"/>
      <c r="L32" s="6"/>
      <c r="M32" s="950"/>
      <c r="O32" s="380"/>
      <c r="P32" s="6"/>
      <c r="Q32" s="950"/>
      <c r="R32" s="111"/>
      <c r="T32" s="6"/>
      <c r="U32" s="71"/>
      <c r="X32" s="6"/>
      <c r="Y32" s="71"/>
      <c r="AB32" s="6"/>
      <c r="AC32" s="71"/>
    </row>
    <row r="33" spans="1:29" hidden="1" x14ac:dyDescent="0.25">
      <c r="A33" s="152"/>
      <c r="B33" s="939"/>
      <c r="D33" s="2">
        <v>0</v>
      </c>
      <c r="E33" s="863"/>
      <c r="F33" s="2"/>
      <c r="G33" s="83" t="str">
        <f t="shared" ref="G33:G39" si="9">IF(D33=0,"0.00%",(H33-D33)/D33)</f>
        <v>0.00%</v>
      </c>
      <c r="H33" s="2">
        <f t="shared" ref="H33:H39" si="10">ROUND(D33*(1+$I$19),0)</f>
        <v>0</v>
      </c>
      <c r="I33" s="871" t="str">
        <f t="shared" ref="I33:I39" si="11">TEXT($I$19,"0.0%")&amp;" = Est. S &amp; C"</f>
        <v>2.0% = Est. S &amp; C</v>
      </c>
      <c r="J33" s="66"/>
      <c r="K33" s="83" t="str">
        <f t="shared" ref="K33:K39" si="12">IF(H33=0,"0.00%",(L33-H33)/H33)</f>
        <v>0.00%</v>
      </c>
      <c r="L33" s="2">
        <f>ROUND(H33*(1+M19),0)</f>
        <v>0</v>
      </c>
      <c r="M33" s="871" t="str">
        <f>TEXT(M19,"0.0%")&amp;" = Est. S &amp; C"</f>
        <v>2.0% = Est. S &amp; C</v>
      </c>
      <c r="O33" s="83" t="str">
        <f t="shared" ref="O33:O39" si="13">IF(L33=0,"0.00%",(P33-L33)/L33)</f>
        <v>0.00%</v>
      </c>
      <c r="P33" s="2">
        <f>ROUND(L33*(1+Q19),0)</f>
        <v>0</v>
      </c>
      <c r="Q33" s="871"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2"/>
      <c r="B34" s="939"/>
      <c r="D34" s="2">
        <v>0</v>
      </c>
      <c r="E34" s="863"/>
      <c r="F34" s="2"/>
      <c r="G34" s="83" t="str">
        <f t="shared" si="9"/>
        <v>0.00%</v>
      </c>
      <c r="H34" s="2">
        <f t="shared" si="10"/>
        <v>0</v>
      </c>
      <c r="I34" s="871" t="str">
        <f t="shared" si="11"/>
        <v>2.0% = Est. S &amp; C</v>
      </c>
      <c r="J34" s="66"/>
      <c r="K34" s="83" t="str">
        <f t="shared" si="12"/>
        <v>0.00%</v>
      </c>
      <c r="L34" s="2">
        <f>ROUND(H34*(1+M19),0)</f>
        <v>0</v>
      </c>
      <c r="M34" s="871" t="str">
        <f>TEXT(M19,"0.0%")&amp;" = Est. S &amp; C"</f>
        <v>2.0% = Est. S &amp; C</v>
      </c>
      <c r="O34" s="83" t="str">
        <f t="shared" si="13"/>
        <v>0.00%</v>
      </c>
      <c r="P34" s="2">
        <f>ROUND(L34*(1+Q19),0)</f>
        <v>0</v>
      </c>
      <c r="Q34" s="871"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2"/>
      <c r="B35" s="939"/>
      <c r="D35" s="2">
        <v>0</v>
      </c>
      <c r="E35" s="863"/>
      <c r="F35" s="2"/>
      <c r="G35" s="83" t="str">
        <f t="shared" si="9"/>
        <v>0.00%</v>
      </c>
      <c r="H35" s="2">
        <f t="shared" si="10"/>
        <v>0</v>
      </c>
      <c r="I35" s="871" t="str">
        <f t="shared" si="11"/>
        <v>2.0% = Est. S &amp; C</v>
      </c>
      <c r="J35" s="66"/>
      <c r="K35" s="83" t="str">
        <f t="shared" si="12"/>
        <v>0.00%</v>
      </c>
      <c r="L35" s="2">
        <f>ROUND(H35*(1+M19),0)</f>
        <v>0</v>
      </c>
      <c r="M35" s="871" t="str">
        <f>TEXT(M19,"0.0%")&amp;" = Est. S &amp; C"</f>
        <v>2.0% = Est. S &amp; C</v>
      </c>
      <c r="O35" s="83" t="str">
        <f t="shared" si="13"/>
        <v>0.00%</v>
      </c>
      <c r="P35" s="2">
        <f>ROUND(L35*(1+Q19),0)</f>
        <v>0</v>
      </c>
      <c r="Q35" s="871"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2"/>
      <c r="B36" s="939"/>
      <c r="D36" s="2">
        <v>0</v>
      </c>
      <c r="E36" s="863"/>
      <c r="F36" s="2"/>
      <c r="G36" s="83" t="str">
        <f t="shared" si="9"/>
        <v>0.00%</v>
      </c>
      <c r="H36" s="2">
        <f t="shared" si="10"/>
        <v>0</v>
      </c>
      <c r="I36" s="871" t="str">
        <f t="shared" si="11"/>
        <v>2.0% = Est. S &amp; C</v>
      </c>
      <c r="J36" s="66"/>
      <c r="K36" s="83" t="str">
        <f t="shared" si="12"/>
        <v>0.00%</v>
      </c>
      <c r="L36" s="2">
        <f>ROUND(H36*(1+M19),0)</f>
        <v>0</v>
      </c>
      <c r="M36" s="871" t="str">
        <f>TEXT(M19,"0.0%")&amp;" = Est. S &amp; C"</f>
        <v>2.0% = Est. S &amp; C</v>
      </c>
      <c r="O36" s="83" t="str">
        <f t="shared" si="13"/>
        <v>0.00%</v>
      </c>
      <c r="P36" s="2">
        <f>ROUND(L36*(1+Q19),0)</f>
        <v>0</v>
      </c>
      <c r="Q36" s="871"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2"/>
      <c r="B37" s="939"/>
      <c r="D37" s="2">
        <v>0</v>
      </c>
      <c r="E37" s="863"/>
      <c r="F37" s="2"/>
      <c r="G37" s="83" t="str">
        <f t="shared" si="9"/>
        <v>0.00%</v>
      </c>
      <c r="H37" s="2">
        <f t="shared" si="10"/>
        <v>0</v>
      </c>
      <c r="I37" s="871" t="str">
        <f t="shared" si="11"/>
        <v>2.0% = Est. S &amp; C</v>
      </c>
      <c r="J37" s="66"/>
      <c r="K37" s="83" t="str">
        <f t="shared" si="12"/>
        <v>0.00%</v>
      </c>
      <c r="L37" s="2">
        <f>ROUND(H37*(1+M19),0)</f>
        <v>0</v>
      </c>
      <c r="M37" s="871" t="str">
        <f>TEXT(M19,"0.0%")&amp;" = Est. S &amp; C"</f>
        <v>2.0% = Est. S &amp; C</v>
      </c>
      <c r="O37" s="83" t="str">
        <f t="shared" si="13"/>
        <v>0.00%</v>
      </c>
      <c r="P37" s="2">
        <f>ROUND(L37*(1+Q19),0)</f>
        <v>0</v>
      </c>
      <c r="Q37" s="871"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2"/>
      <c r="B38" s="939"/>
      <c r="D38" s="2">
        <v>0</v>
      </c>
      <c r="E38" s="863"/>
      <c r="F38" s="2"/>
      <c r="G38" s="83" t="str">
        <f t="shared" si="9"/>
        <v>0.00%</v>
      </c>
      <c r="H38" s="2">
        <f t="shared" si="10"/>
        <v>0</v>
      </c>
      <c r="I38" s="871" t="str">
        <f t="shared" si="11"/>
        <v>2.0% = Est. S &amp; C</v>
      </c>
      <c r="J38" s="66"/>
      <c r="K38" s="83" t="str">
        <f t="shared" si="12"/>
        <v>0.00%</v>
      </c>
      <c r="L38" s="2">
        <f>ROUND(H38*(1+M19),0)</f>
        <v>0</v>
      </c>
      <c r="M38" s="871" t="str">
        <f>TEXT(M19,"0.0%")&amp;" = Est. S &amp; C"</f>
        <v>2.0% = Est. S &amp; C</v>
      </c>
      <c r="O38" s="83" t="str">
        <f t="shared" si="13"/>
        <v>0.00%</v>
      </c>
      <c r="P38" s="2">
        <f>ROUND(L38*(1+Q19),0)</f>
        <v>0</v>
      </c>
      <c r="Q38" s="871"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2"/>
      <c r="B39" s="939"/>
      <c r="D39" s="2">
        <v>0</v>
      </c>
      <c r="E39" s="863"/>
      <c r="F39" s="2"/>
      <c r="G39" s="83" t="str">
        <f t="shared" si="9"/>
        <v>0.00%</v>
      </c>
      <c r="H39" s="2">
        <f t="shared" si="10"/>
        <v>0</v>
      </c>
      <c r="I39" s="871" t="str">
        <f t="shared" si="11"/>
        <v>2.0% = Est. S &amp; C</v>
      </c>
      <c r="J39" s="66"/>
      <c r="K39" s="83" t="str">
        <f t="shared" si="12"/>
        <v>0.00%</v>
      </c>
      <c r="L39" s="2">
        <f>ROUND(H39*(1+M19),0)</f>
        <v>0</v>
      </c>
      <c r="M39" s="871" t="str">
        <f>TEXT(M19,"0.0%")&amp;" = Est. S &amp; C"</f>
        <v>2.0% = Est. S &amp; C</v>
      </c>
      <c r="O39" s="83" t="str">
        <f t="shared" si="13"/>
        <v>0.00%</v>
      </c>
      <c r="P39" s="2">
        <f>ROUND(L39*(1+Q19),0)</f>
        <v>0</v>
      </c>
      <c r="Q39" s="871"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2"/>
      <c r="B40" s="939"/>
      <c r="E40" s="863"/>
      <c r="F40" s="2"/>
      <c r="H40" s="2"/>
      <c r="I40" s="871"/>
      <c r="J40" s="66"/>
      <c r="L40" s="2"/>
      <c r="M40" s="948"/>
      <c r="Q40" s="948"/>
      <c r="T40" s="2"/>
      <c r="U40" s="73"/>
      <c r="X40" s="2"/>
      <c r="Y40" s="73"/>
      <c r="AB40" s="2"/>
      <c r="AC40" s="73"/>
    </row>
    <row r="41" spans="1:29" hidden="1" x14ac:dyDescent="0.25">
      <c r="A41" s="153"/>
      <c r="B41" s="939"/>
      <c r="D41" s="8">
        <f>SUM(D33:D40)</f>
        <v>0</v>
      </c>
      <c r="E41" s="863"/>
      <c r="F41" s="2"/>
      <c r="G41" s="83" t="str">
        <f>IF(D41=0,"0.00%",(H41-D41)/D41)</f>
        <v>0.00%</v>
      </c>
      <c r="H41" s="8">
        <f>SUM(H33:H40)</f>
        <v>0</v>
      </c>
      <c r="I41" s="872"/>
      <c r="J41" s="29"/>
      <c r="K41" s="83" t="str">
        <f>IF(H41=0,"0.00%",(L41-H41)/H41)</f>
        <v>0.00%</v>
      </c>
      <c r="L41" s="8">
        <f>SUM(L33:L40)</f>
        <v>0</v>
      </c>
      <c r="M41" s="948"/>
      <c r="O41" s="83" t="str">
        <f>IF(L41=0,"0.00%",(P41-L41)/L41)</f>
        <v>0.00%</v>
      </c>
      <c r="P41" s="8">
        <f>SUM(P33:P40)</f>
        <v>0</v>
      </c>
      <c r="Q41" s="948"/>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52"/>
      <c r="B42" s="930" t="s">
        <v>28</v>
      </c>
      <c r="E42" s="863"/>
      <c r="F42" s="2"/>
      <c r="H42" s="2"/>
      <c r="I42" s="871"/>
      <c r="J42" s="66"/>
      <c r="L42" s="2"/>
      <c r="M42" s="948"/>
      <c r="Q42" s="948"/>
      <c r="T42" s="2"/>
      <c r="U42" s="73"/>
      <c r="X42" s="2"/>
      <c r="Y42" s="73"/>
      <c r="AB42" s="2"/>
      <c r="AC42" s="73"/>
    </row>
    <row r="43" spans="1:29" hidden="1" x14ac:dyDescent="0.25">
      <c r="A43" s="154"/>
      <c r="B43" s="936" t="s">
        <v>27</v>
      </c>
      <c r="E43" s="863"/>
      <c r="F43" s="2"/>
      <c r="H43" s="2"/>
      <c r="I43" s="871"/>
      <c r="J43" s="66"/>
      <c r="L43" s="2"/>
      <c r="M43" s="948"/>
      <c r="Q43" s="948"/>
      <c r="T43" s="2"/>
      <c r="U43" s="73"/>
      <c r="X43" s="2"/>
      <c r="Y43" s="73"/>
      <c r="AB43" s="2"/>
      <c r="AC43" s="73"/>
    </row>
    <row r="44" spans="1:29" hidden="1" x14ac:dyDescent="0.25">
      <c r="A44" s="152"/>
      <c r="B44" s="939" t="s">
        <v>83</v>
      </c>
      <c r="C44" s="857" t="s">
        <v>76</v>
      </c>
      <c r="D44" s="2">
        <v>0</v>
      </c>
      <c r="E44" s="854" t="str">
        <f>TEXT('MYP Assumptions'!$D$55,"0.00%")&amp;", STRS rate"</f>
        <v>12.58%, STRS rate</v>
      </c>
      <c r="F44" s="2"/>
      <c r="G44" s="83" t="str">
        <f t="shared" ref="G44:G53" si="17">IF(D44=0,"0.00%",(H44-D44)/D44)</f>
        <v>0.00%</v>
      </c>
      <c r="H44" s="2">
        <f>ROUND(H30*LEFT(I44,6),0)</f>
        <v>0</v>
      </c>
      <c r="I44" s="854" t="str">
        <f>TEXT('MYP Assumptions'!E55,"0.00%")&amp;", projected STRS rate"</f>
        <v>14.43%, projected STRS rate</v>
      </c>
      <c r="J44" s="66"/>
      <c r="K44" s="83" t="str">
        <f t="shared" ref="K44:K53" si="18">IF(H44=0,"0.00%",(L44-H44)/H44)</f>
        <v>0.00%</v>
      </c>
      <c r="L44" s="2">
        <f>ROUND(L30*LEFT(M44,6),0)</f>
        <v>0</v>
      </c>
      <c r="M44" s="854" t="str">
        <f>TEXT('MYP Assumptions'!F55,"0.00%")&amp;", projected STRS rate"</f>
        <v>16.28%, projected STRS rate</v>
      </c>
      <c r="O44" s="83" t="str">
        <f t="shared" ref="O44:O53" si="19">IF(L44=0,"0.00%",(P44-L44)/L44)</f>
        <v>0.00%</v>
      </c>
      <c r="P44" s="2">
        <f>ROUND(P30*LEFT(Q44,6),0)</f>
        <v>0</v>
      </c>
      <c r="Q44" s="854" t="str">
        <f>TEXT('MYP Assumptions'!G55,"0.00%")&amp;", projected STRS rate"</f>
        <v>18.13%, projected STRS rate</v>
      </c>
      <c r="S44" s="83" t="str">
        <f t="shared" ref="S44:S53" si="20">IF(P44=0,"0.00%",(T44-P44)/P44)</f>
        <v>0.00%</v>
      </c>
      <c r="T44" s="2">
        <f>ROUND(T30*LEFT(U44,6),0)</f>
        <v>0</v>
      </c>
      <c r="U44" s="81" t="str">
        <f>TEXT('MYP Assumptions'!H55,"0.00%")&amp;", projected STRS rate"</f>
        <v>19.10%, projected STRS rate</v>
      </c>
      <c r="W44" s="83" t="str">
        <f t="shared" ref="W44:W53" si="21">IF(T44=0,"0.00%",(X44-T44)/T44)</f>
        <v>0.00%</v>
      </c>
      <c r="X44" s="2">
        <f>ROUND(X30*LEFT(Y44,6),0)</f>
        <v>0</v>
      </c>
      <c r="Y44" s="81" t="str">
        <f>TEXT('MYP Assumptions'!I55,"0.00%")&amp;", projected STRS rate"</f>
        <v>19.10%, projected STRS rate</v>
      </c>
      <c r="AA44" s="83" t="str">
        <f t="shared" ref="AA44:AA53" si="22">IF(X44=0,"0.00%",(AB44-X44)/X44)</f>
        <v>0.00%</v>
      </c>
      <c r="AB44" s="2">
        <f>ROUND(AB30*LEFT(AC44,6),0)</f>
        <v>0</v>
      </c>
      <c r="AC44" s="81" t="str">
        <f>TEXT('MYP Assumptions'!J55,"0.00%")&amp;", projected STRS rate"</f>
        <v>19.10%, projected STRS rate</v>
      </c>
    </row>
    <row r="45" spans="1:29" hidden="1" x14ac:dyDescent="0.25">
      <c r="A45" s="152"/>
      <c r="B45" s="939" t="s">
        <v>84</v>
      </c>
      <c r="C45" s="857" t="s">
        <v>77</v>
      </c>
      <c r="D45" s="2">
        <v>0</v>
      </c>
      <c r="E45" s="854" t="str">
        <f>TEXT('MYP Assumptions'!$D$56,"0.00%")&amp;", PERS rate"</f>
        <v>13.89%, PERS rate</v>
      </c>
      <c r="F45" s="2"/>
      <c r="G45" s="83" t="str">
        <f t="shared" si="17"/>
        <v>0.00%</v>
      </c>
      <c r="H45" s="2">
        <f>ROUND(H41*LEFT(I45,6),0)</f>
        <v>0</v>
      </c>
      <c r="I45" s="854" t="str">
        <f>TEXT('MYP Assumptions'!E56,"0.00%")&amp;", projected PERS rate"</f>
        <v>15.53%, projected PERS rate</v>
      </c>
      <c r="J45" s="66"/>
      <c r="K45" s="83" t="str">
        <f t="shared" si="18"/>
        <v>0.00%</v>
      </c>
      <c r="L45" s="2">
        <f>ROUND(L41*LEFT(M45,6),0)</f>
        <v>0</v>
      </c>
      <c r="M45" s="854" t="str">
        <f>TEXT('MYP Assumptions'!F56,"0.00%")&amp;", projected PERS rate"</f>
        <v>18.10%, projected PERS rate</v>
      </c>
      <c r="O45" s="83" t="str">
        <f t="shared" si="19"/>
        <v>0.00%</v>
      </c>
      <c r="P45" s="2">
        <f>ROUND(P41*LEFT(Q45,6),0)</f>
        <v>0</v>
      </c>
      <c r="Q45" s="854" t="str">
        <f>TEXT('MYP Assumptions'!G56,"0.00%")&amp;", projected PERS rate"</f>
        <v>20.80%, projected PERS rate</v>
      </c>
      <c r="S45" s="83" t="str">
        <f t="shared" si="20"/>
        <v>0.00%</v>
      </c>
      <c r="T45" s="2">
        <f>ROUND(T41*LEFT(U45,6),0)</f>
        <v>0</v>
      </c>
      <c r="U45" s="81" t="str">
        <f>TEXT('MYP Assumptions'!H56,"0.00%")&amp;", projected PERS rate"</f>
        <v>23.80%, projected PERS rate</v>
      </c>
      <c r="W45" s="83" t="str">
        <f t="shared" si="21"/>
        <v>0.00%</v>
      </c>
      <c r="X45" s="2">
        <f>ROUND(X41*LEFT(Y45,6),0)</f>
        <v>0</v>
      </c>
      <c r="Y45" s="81" t="str">
        <f>TEXT('MYP Assumptions'!I56,"0.00%")&amp;", projected PERS rate"</f>
        <v>25.20%, projected PERS rate</v>
      </c>
      <c r="AA45" s="83" t="str">
        <f t="shared" si="22"/>
        <v>0.00%</v>
      </c>
      <c r="AB45" s="2">
        <f>ROUND(AB41*LEFT(AC45,6),0)</f>
        <v>0</v>
      </c>
      <c r="AC45" s="81" t="str">
        <f>TEXT('MYP Assumptions'!J56,"0.00%")&amp;", projected PERS rate"</f>
        <v>26.10%, projected PERS rate</v>
      </c>
    </row>
    <row r="46" spans="1:29" hidden="1" x14ac:dyDescent="0.25">
      <c r="A46" s="152"/>
      <c r="B46" s="939" t="s">
        <v>85</v>
      </c>
      <c r="C46" s="857" t="s">
        <v>78</v>
      </c>
      <c r="D46" s="2">
        <v>0</v>
      </c>
      <c r="E46" s="854" t="str">
        <f>TEXT('MYP Assumptions'!$D$57,"0.00%")&amp;", SS rate"</f>
        <v>6.20%, SS rate</v>
      </c>
      <c r="F46" s="2"/>
      <c r="G46" s="83" t="str">
        <f t="shared" si="17"/>
        <v>0.00%</v>
      </c>
      <c r="H46" s="2">
        <f>ROUND(H41*LEFT(I46,5),0)</f>
        <v>0</v>
      </c>
      <c r="I46" s="854" t="str">
        <f>TEXT('MYP Assumptions'!E57,"0.00%")&amp;", no rate change"</f>
        <v>6.20%, no rate change</v>
      </c>
      <c r="J46" s="66"/>
      <c r="K46" s="83" t="str">
        <f t="shared" si="18"/>
        <v>0.00%</v>
      </c>
      <c r="L46" s="2">
        <f>ROUND(L41*LEFT(M46,5),0)</f>
        <v>0</v>
      </c>
      <c r="M46" s="854" t="str">
        <f>TEXT('MYP Assumptions'!F57,"0.00%")&amp;", no rate change"</f>
        <v>6.20%, no rate change</v>
      </c>
      <c r="O46" s="83" t="str">
        <f t="shared" si="19"/>
        <v>0.00%</v>
      </c>
      <c r="P46" s="2">
        <f>ROUND(P41*LEFT(Q46,5),0)</f>
        <v>0</v>
      </c>
      <c r="Q46" s="854" t="str">
        <f>TEXT('MYP Assumptions'!G57,"0.00%")&amp;", no rate change"</f>
        <v>6.20%, no rate change</v>
      </c>
      <c r="S46" s="83" t="str">
        <f t="shared" si="20"/>
        <v>0.00%</v>
      </c>
      <c r="T46" s="2">
        <f>ROUND(T41*LEFT(U46,5),0)</f>
        <v>0</v>
      </c>
      <c r="U46" s="81" t="str">
        <f>TEXT('MYP Assumptions'!H57,"0.00%")&amp;", no rate change"</f>
        <v>6.20%, no rate change</v>
      </c>
      <c r="W46" s="83" t="str">
        <f t="shared" si="21"/>
        <v>0.00%</v>
      </c>
      <c r="X46" s="2">
        <f>ROUND(X41*LEFT(Y46,5),0)</f>
        <v>0</v>
      </c>
      <c r="Y46" s="81" t="str">
        <f>TEXT('MYP Assumptions'!I57,"0.00%")&amp;", no rate change"</f>
        <v>6.20%, no rate change</v>
      </c>
      <c r="AA46" s="83" t="str">
        <f t="shared" si="22"/>
        <v>0.00%</v>
      </c>
      <c r="AB46" s="2">
        <f>ROUND(AB41*LEFT(AC46,5),0)</f>
        <v>0</v>
      </c>
      <c r="AC46" s="81" t="str">
        <f>TEXT('MYP Assumptions'!J57,"0.00%")&amp;", no rate change"</f>
        <v>6.20%, no rate change</v>
      </c>
    </row>
    <row r="47" spans="1:29" hidden="1" x14ac:dyDescent="0.25">
      <c r="A47" s="152"/>
      <c r="B47" s="939" t="s">
        <v>86</v>
      </c>
      <c r="C47" s="857" t="s">
        <v>79</v>
      </c>
      <c r="D47" s="2">
        <v>0</v>
      </c>
      <c r="E47" s="854" t="str">
        <f>TEXT('MYP Assumptions'!$D$58,"0.00%")&amp;", Medicare rate"</f>
        <v>1.45%, Medicare rate</v>
      </c>
      <c r="F47" s="2"/>
      <c r="G47" s="83" t="str">
        <f t="shared" si="17"/>
        <v>0.00%</v>
      </c>
      <c r="H47" s="2">
        <f>ROUND((H41+H30)*LEFT(I47,5),0)</f>
        <v>0</v>
      </c>
      <c r="I47" s="854" t="str">
        <f>TEXT('MYP Assumptions'!E58,"0.00%")&amp;", no rate change"</f>
        <v>1.45%, no rate change</v>
      </c>
      <c r="J47" s="66"/>
      <c r="K47" s="83" t="str">
        <f t="shared" si="18"/>
        <v>0.00%</v>
      </c>
      <c r="L47" s="2">
        <f>ROUND((L41+L30)*LEFT(M47,5),0)</f>
        <v>0</v>
      </c>
      <c r="M47" s="854" t="str">
        <f>TEXT('MYP Assumptions'!F58,"0.00%")&amp;", no rate change"</f>
        <v>1.45%, no rate change</v>
      </c>
      <c r="O47" s="83" t="str">
        <f t="shared" si="19"/>
        <v>0.00%</v>
      </c>
      <c r="P47" s="2">
        <f>ROUND((P41+P30)*LEFT(Q47,5),0)</f>
        <v>0</v>
      </c>
      <c r="Q47" s="854" t="str">
        <f>TEXT('MYP Assumptions'!G58,"0.00%")&amp;", no rate change"</f>
        <v>1.45%, no rate change</v>
      </c>
      <c r="S47" s="83" t="str">
        <f t="shared" si="20"/>
        <v>0.00%</v>
      </c>
      <c r="T47" s="2">
        <f>ROUND((T41+T30)*LEFT(U47,5),0)</f>
        <v>0</v>
      </c>
      <c r="U47" s="81" t="str">
        <f>TEXT('MYP Assumptions'!H58,"0.00%")&amp;", no rate change"</f>
        <v>1.45%, no rate change</v>
      </c>
      <c r="W47" s="83" t="str">
        <f t="shared" si="21"/>
        <v>0.00%</v>
      </c>
      <c r="X47" s="2">
        <f>ROUND((X41+X30)*LEFT(Y47,5),0)</f>
        <v>0</v>
      </c>
      <c r="Y47" s="81" t="str">
        <f>TEXT('MYP Assumptions'!I58,"0.00%")&amp;", no rate change"</f>
        <v>1.45%, no rate change</v>
      </c>
      <c r="AA47" s="83" t="str">
        <f t="shared" si="22"/>
        <v>0.00%</v>
      </c>
      <c r="AB47" s="2">
        <f>ROUND((AB41+AB30)*LEFT(AC47,5),0)</f>
        <v>0</v>
      </c>
      <c r="AC47" s="81" t="str">
        <f>TEXT('MYP Assumptions'!J58,"0.00%")&amp;", no rate change"</f>
        <v>1.45%, no rate change</v>
      </c>
    </row>
    <row r="48" spans="1:29" hidden="1" x14ac:dyDescent="0.25">
      <c r="A48" s="152"/>
      <c r="B48" s="939" t="s">
        <v>87</v>
      </c>
      <c r="C48" s="857" t="s">
        <v>80</v>
      </c>
      <c r="D48" s="2">
        <v>0</v>
      </c>
      <c r="E48" s="854"/>
      <c r="F48" s="2"/>
      <c r="G48" s="83" t="str">
        <f t="shared" si="17"/>
        <v>0.00%</v>
      </c>
      <c r="H48" s="2">
        <f>ROUND((D48)*(LEFT(I48,5)+1),0)</f>
        <v>0</v>
      </c>
      <c r="I48" s="854" t="str">
        <f>TEXT('MYP Assumptions'!$M$65,"0.00%")&amp;", projected increase"</f>
        <v>7.00%, projected increase</v>
      </c>
      <c r="J48" s="66"/>
      <c r="K48" s="83" t="str">
        <f t="shared" si="18"/>
        <v>0.00%</v>
      </c>
      <c r="L48" s="2">
        <f>ROUND((H48)*(LEFT(M48,5)+1),0)</f>
        <v>0</v>
      </c>
      <c r="M48" s="854" t="str">
        <f>TEXT('MYP Assumptions'!$M$65,"0.00%")&amp;", projected increase"</f>
        <v>7.00%, projected increase</v>
      </c>
      <c r="O48" s="83" t="str">
        <f t="shared" si="19"/>
        <v>0.00%</v>
      </c>
      <c r="P48" s="2">
        <f>ROUND((L48)*(LEFT(Q48,5)+1),0)</f>
        <v>0</v>
      </c>
      <c r="Q48" s="854" t="str">
        <f>TEXT('MYP Assumptions'!$M$65,"0.00%")&amp;", projected increase"</f>
        <v>7.00%, projected increase</v>
      </c>
      <c r="S48" s="83" t="str">
        <f t="shared" si="20"/>
        <v>0.00%</v>
      </c>
      <c r="T48" s="2">
        <f>ROUND((P48)*(LEFT(U48,5)+1),0)</f>
        <v>0</v>
      </c>
      <c r="U48" s="81" t="str">
        <f>TEXT('MYP Assumptions'!$M$65,"0.00%")&amp;", projected increase"</f>
        <v>7.00%, projected increase</v>
      </c>
      <c r="W48" s="83" t="str">
        <f t="shared" si="21"/>
        <v>0.00%</v>
      </c>
      <c r="X48" s="2">
        <f>ROUND((T48)*(LEFT(Y48,5)+1),0)</f>
        <v>0</v>
      </c>
      <c r="Y48" s="81" t="str">
        <f>TEXT('MYP Assumptions'!$M$65,"0.00%")&amp;", projected increase"</f>
        <v>7.00%, projected increase</v>
      </c>
      <c r="AA48" s="83" t="str">
        <f t="shared" si="22"/>
        <v>0.00%</v>
      </c>
      <c r="AB48" s="2">
        <f>ROUND((X48)*(LEFT(AC48,5)+1),0)</f>
        <v>0</v>
      </c>
      <c r="AC48" s="81" t="str">
        <f>TEXT('MYP Assumptions'!$M$65,"0.00%")&amp;", projected increase"</f>
        <v>7.00%, projected increase</v>
      </c>
    </row>
    <row r="49" spans="1:29" hidden="1" x14ac:dyDescent="0.25">
      <c r="A49" s="152"/>
      <c r="B49" s="939" t="s">
        <v>88</v>
      </c>
      <c r="C49" s="857" t="s">
        <v>81</v>
      </c>
      <c r="D49" s="2">
        <v>0</v>
      </c>
      <c r="E49" s="854" t="str">
        <f>TEXT('MYP Assumptions'!$D$59,"0.00%")&amp;", SUI rate"</f>
        <v>0.05%, SUI rate</v>
      </c>
      <c r="F49" s="2"/>
      <c r="G49" s="83" t="str">
        <f t="shared" si="17"/>
        <v>0.00%</v>
      </c>
      <c r="H49" s="2">
        <f>ROUND((H41+H30)*LEFT(I49,5),0)</f>
        <v>0</v>
      </c>
      <c r="I49" s="854" t="str">
        <f>TEXT('MYP Assumptions'!E59,"0.00%")&amp;", no rate change"</f>
        <v>0.05%, no rate change</v>
      </c>
      <c r="J49" s="66"/>
      <c r="K49" s="83" t="str">
        <f t="shared" si="18"/>
        <v>0.00%</v>
      </c>
      <c r="L49" s="2">
        <f>ROUND((L41+L30)*LEFT(M49,5),0)</f>
        <v>0</v>
      </c>
      <c r="M49" s="854" t="str">
        <f>TEXT('MYP Assumptions'!F59,"0.00%")&amp;", no rate change"</f>
        <v>0.05%, no rate change</v>
      </c>
      <c r="O49" s="83" t="str">
        <f t="shared" si="19"/>
        <v>0.00%</v>
      </c>
      <c r="P49" s="2">
        <f>ROUND((P41+P30)*LEFT(Q49,5),0)</f>
        <v>0</v>
      </c>
      <c r="Q49" s="854" t="str">
        <f>TEXT('MYP Assumptions'!G59,"0.00%")&amp;", no rate change"</f>
        <v>0.05%, no rate change</v>
      </c>
      <c r="S49" s="83" t="str">
        <f t="shared" si="20"/>
        <v>0.00%</v>
      </c>
      <c r="T49" s="2">
        <f>ROUND((T41+T30)*LEFT(U49,5),0)</f>
        <v>0</v>
      </c>
      <c r="U49" s="81" t="str">
        <f>TEXT('MYP Assumptions'!H59,"0.00%")&amp;", no rate change"</f>
        <v>0.05%, no rate change</v>
      </c>
      <c r="W49" s="83" t="str">
        <f t="shared" si="21"/>
        <v>0.00%</v>
      </c>
      <c r="X49" s="2">
        <f>ROUND((X41+X30)*LEFT(Y49,5),0)</f>
        <v>0</v>
      </c>
      <c r="Y49" s="81" t="str">
        <f>TEXT('MYP Assumptions'!I59,"0.00%")&amp;", no rate change"</f>
        <v>0.05%, no rate change</v>
      </c>
      <c r="AA49" s="83" t="str">
        <f t="shared" si="22"/>
        <v>0.00%</v>
      </c>
      <c r="AB49" s="2">
        <f>ROUND((AB41+AB30)*LEFT(AC49,5),0)</f>
        <v>0</v>
      </c>
      <c r="AC49" s="81" t="str">
        <f>TEXT('MYP Assumptions'!J59,"0.00%")&amp;", no rate change"</f>
        <v>0.05%, no rate change</v>
      </c>
    </row>
    <row r="50" spans="1:29" hidden="1" x14ac:dyDescent="0.25">
      <c r="A50" s="152"/>
      <c r="B50" s="939" t="s">
        <v>89</v>
      </c>
      <c r="C50" s="857" t="s">
        <v>82</v>
      </c>
      <c r="D50" s="2">
        <v>0</v>
      </c>
      <c r="E50" s="854" t="str">
        <f>TEXT('MYP Assumptions'!$D$60,"0.00%")&amp;", W/C rate"</f>
        <v>1.10%, W/C rate</v>
      </c>
      <c r="F50" s="2"/>
      <c r="G50" s="83" t="str">
        <f t="shared" si="17"/>
        <v>0.00%</v>
      </c>
      <c r="H50" s="2">
        <f>ROUND((H41+H30)*LEFT(I50,5),0)</f>
        <v>0</v>
      </c>
      <c r="I50" s="854" t="str">
        <f>TEXT('MYP Assumptions'!E60,"0.00%")&amp;", no rate change"</f>
        <v>0.80%, no rate change</v>
      </c>
      <c r="J50" s="66"/>
      <c r="K50" s="83" t="str">
        <f t="shared" si="18"/>
        <v>0.00%</v>
      </c>
      <c r="L50" s="2">
        <f>ROUND((L41+L30)*LEFT(M50,5),0)</f>
        <v>0</v>
      </c>
      <c r="M50" s="854" t="str">
        <f>TEXT('MYP Assumptions'!F60,"0.00%")&amp;", no rate change"</f>
        <v>0.80%, no rate change</v>
      </c>
      <c r="O50" s="83" t="str">
        <f t="shared" si="19"/>
        <v>0.00%</v>
      </c>
      <c r="P50" s="2">
        <f>ROUND((P41+P30)*LEFT(Q50,5),0)</f>
        <v>0</v>
      </c>
      <c r="Q50" s="854" t="str">
        <f>TEXT('MYP Assumptions'!G60,"0.00%")&amp;", no rate change"</f>
        <v>0.80%, no rate change</v>
      </c>
      <c r="S50" s="83" t="str">
        <f t="shared" si="20"/>
        <v>0.00%</v>
      </c>
      <c r="T50" s="2">
        <f>ROUND((T41+T30)*LEFT(U50,5),0)</f>
        <v>0</v>
      </c>
      <c r="U50" s="81" t="str">
        <f>TEXT('MYP Assumptions'!H60,"0.00%")&amp;", no rate change"</f>
        <v>0.80%, no rate change</v>
      </c>
      <c r="W50" s="83" t="str">
        <f t="shared" si="21"/>
        <v>0.00%</v>
      </c>
      <c r="X50" s="2">
        <f>ROUND((X41+X30)*LEFT(Y50,5),0)</f>
        <v>0</v>
      </c>
      <c r="Y50" s="81" t="str">
        <f>TEXT('MYP Assumptions'!I60,"0.00%")&amp;", no rate change"</f>
        <v>0.80%, no rate change</v>
      </c>
      <c r="AA50" s="83" t="str">
        <f t="shared" si="22"/>
        <v>0.00%</v>
      </c>
      <c r="AB50" s="2">
        <f>ROUND((AB41+AB30)*LEFT(AC50,5),0)</f>
        <v>0</v>
      </c>
      <c r="AC50" s="81" t="str">
        <f>TEXT('MYP Assumptions'!J60,"0.00%")&amp;", no rate change"</f>
        <v>0.80%, no rate change</v>
      </c>
    </row>
    <row r="51" spans="1:29" hidden="1" x14ac:dyDescent="0.25">
      <c r="A51" s="152"/>
      <c r="B51" s="939" t="s">
        <v>90</v>
      </c>
      <c r="C51" s="857" t="s">
        <v>92</v>
      </c>
      <c r="D51" s="2">
        <v>0</v>
      </c>
      <c r="E51" s="863"/>
      <c r="F51" s="2"/>
      <c r="G51" s="83" t="str">
        <f t="shared" si="17"/>
        <v>0.00%</v>
      </c>
      <c r="H51" s="2">
        <f>D51</f>
        <v>0</v>
      </c>
      <c r="I51" s="854" t="s">
        <v>166</v>
      </c>
      <c r="J51" s="66"/>
      <c r="K51" s="83" t="str">
        <f t="shared" si="18"/>
        <v>0.00%</v>
      </c>
      <c r="L51" s="2">
        <f>H51</f>
        <v>0</v>
      </c>
      <c r="M51" s="854" t="s">
        <v>166</v>
      </c>
      <c r="O51" s="83" t="str">
        <f t="shared" si="19"/>
        <v>0.00%</v>
      </c>
      <c r="P51" s="2">
        <f>L51</f>
        <v>0</v>
      </c>
      <c r="Q51" s="854" t="s">
        <v>166</v>
      </c>
      <c r="S51" s="83" t="str">
        <f t="shared" si="20"/>
        <v>0.00%</v>
      </c>
      <c r="T51" s="2">
        <f>P51</f>
        <v>0</v>
      </c>
      <c r="U51" s="81" t="s">
        <v>166</v>
      </c>
      <c r="W51" s="83" t="str">
        <f t="shared" si="21"/>
        <v>0.00%</v>
      </c>
      <c r="X51" s="2">
        <f>T51</f>
        <v>0</v>
      </c>
      <c r="Y51" s="81" t="s">
        <v>166</v>
      </c>
      <c r="AA51" s="83" t="str">
        <f t="shared" si="22"/>
        <v>0.00%</v>
      </c>
      <c r="AB51" s="2">
        <f>X51</f>
        <v>0</v>
      </c>
      <c r="AC51" s="81" t="s">
        <v>166</v>
      </c>
    </row>
    <row r="52" spans="1:29" hidden="1" x14ac:dyDescent="0.25">
      <c r="A52" s="152"/>
      <c r="B52" s="939" t="s">
        <v>91</v>
      </c>
      <c r="C52" s="857" t="s">
        <v>93</v>
      </c>
      <c r="D52" s="2">
        <v>0</v>
      </c>
      <c r="E52" s="863"/>
      <c r="F52" s="2"/>
      <c r="G52" s="83" t="str">
        <f t="shared" si="17"/>
        <v>0.00%</v>
      </c>
      <c r="H52" s="2">
        <f>D52</f>
        <v>0</v>
      </c>
      <c r="I52" s="854" t="s">
        <v>166</v>
      </c>
      <c r="J52" s="66"/>
      <c r="K52" s="83" t="str">
        <f t="shared" si="18"/>
        <v>0.00%</v>
      </c>
      <c r="L52" s="2">
        <f>H52</f>
        <v>0</v>
      </c>
      <c r="M52" s="854" t="s">
        <v>166</v>
      </c>
      <c r="O52" s="83" t="str">
        <f t="shared" si="19"/>
        <v>0.00%</v>
      </c>
      <c r="P52" s="2">
        <f>L52</f>
        <v>0</v>
      </c>
      <c r="Q52" s="854" t="s">
        <v>166</v>
      </c>
      <c r="S52" s="83" t="str">
        <f t="shared" si="20"/>
        <v>0.00%</v>
      </c>
      <c r="T52" s="2">
        <f>P52</f>
        <v>0</v>
      </c>
      <c r="U52" s="81" t="s">
        <v>166</v>
      </c>
      <c r="W52" s="83" t="str">
        <f t="shared" si="21"/>
        <v>0.00%</v>
      </c>
      <c r="X52" s="2">
        <f>T52</f>
        <v>0</v>
      </c>
      <c r="Y52" s="81" t="s">
        <v>166</v>
      </c>
      <c r="AA52" s="83" t="str">
        <f t="shared" si="22"/>
        <v>0.00%</v>
      </c>
      <c r="AB52" s="2">
        <f>X52</f>
        <v>0</v>
      </c>
      <c r="AC52" s="81" t="s">
        <v>166</v>
      </c>
    </row>
    <row r="53" spans="1:29" hidden="1" x14ac:dyDescent="0.25">
      <c r="A53" s="153"/>
      <c r="B53" s="939"/>
      <c r="D53" s="8">
        <f>SUM(D44:D52)</f>
        <v>0</v>
      </c>
      <c r="E53" s="863"/>
      <c r="F53" s="2"/>
      <c r="G53" s="83" t="str">
        <f t="shared" si="17"/>
        <v>0.00%</v>
      </c>
      <c r="H53" s="8">
        <f>SUM(H44:H52)</f>
        <v>0</v>
      </c>
      <c r="I53" s="872"/>
      <c r="J53" s="29"/>
      <c r="K53" s="83" t="str">
        <f t="shared" si="18"/>
        <v>0.00%</v>
      </c>
      <c r="L53" s="8">
        <f>SUM(L44:L52)</f>
        <v>0</v>
      </c>
      <c r="M53" s="948"/>
      <c r="O53" s="83" t="str">
        <f t="shared" si="19"/>
        <v>0.00%</v>
      </c>
      <c r="P53" s="8">
        <f>SUM(P44:P52)</f>
        <v>0</v>
      </c>
      <c r="Q53" s="948"/>
      <c r="S53" s="83" t="str">
        <f t="shared" si="20"/>
        <v>0.00%</v>
      </c>
      <c r="T53" s="8">
        <f>SUM(T44:T52)</f>
        <v>0</v>
      </c>
      <c r="U53" s="73"/>
      <c r="W53" s="83" t="str">
        <f t="shared" si="21"/>
        <v>0.00%</v>
      </c>
      <c r="X53" s="8">
        <f>SUM(X44:X52)</f>
        <v>0</v>
      </c>
      <c r="Y53" s="73"/>
      <c r="AA53" s="83" t="str">
        <f t="shared" si="22"/>
        <v>0.00%</v>
      </c>
      <c r="AB53" s="8">
        <f>SUM(AB44:AB52)</f>
        <v>0</v>
      </c>
      <c r="AC53" s="73"/>
    </row>
    <row r="54" spans="1:29" hidden="1" x14ac:dyDescent="0.25">
      <c r="A54" s="154"/>
      <c r="B54" s="939"/>
      <c r="E54" s="863"/>
      <c r="F54" s="2"/>
      <c r="H54" s="2"/>
      <c r="I54" s="871"/>
      <c r="J54" s="66"/>
      <c r="L54" s="2"/>
      <c r="M54" s="948"/>
      <c r="Q54" s="948"/>
      <c r="T54" s="2"/>
      <c r="U54" s="73"/>
      <c r="X54" s="2"/>
      <c r="Y54" s="73"/>
      <c r="AB54" s="2"/>
      <c r="AC54" s="73"/>
    </row>
    <row r="55" spans="1:29" hidden="1" x14ac:dyDescent="0.25">
      <c r="A55" s="153"/>
      <c r="B55" s="936" t="s">
        <v>26</v>
      </c>
      <c r="D55" s="8">
        <f>SUM(D53,D41,D30)</f>
        <v>0</v>
      </c>
      <c r="E55" s="863"/>
      <c r="F55" s="2"/>
      <c r="G55" s="83" t="str">
        <f>IF(D55=0,"0.00%",(H55-D55)/D55)</f>
        <v>0.00%</v>
      </c>
      <c r="H55" s="8">
        <f>SUM(H53,H41,H30)</f>
        <v>0</v>
      </c>
      <c r="I55" s="872"/>
      <c r="J55" s="29"/>
      <c r="K55" s="83" t="str">
        <f>IF(H55=0,"0.00%",(L55-H55)/H55)</f>
        <v>0.00%</v>
      </c>
      <c r="L55" s="8">
        <f>SUM(L53,L41,L30)</f>
        <v>0</v>
      </c>
      <c r="M55" s="948"/>
      <c r="O55" s="83" t="str">
        <f>IF(L55=0,"0.00%",(P55-L55)/L55)</f>
        <v>0.00%</v>
      </c>
      <c r="P55" s="8">
        <f>SUM(P53,P41,P30)</f>
        <v>0</v>
      </c>
      <c r="Q55" s="948"/>
      <c r="S55" s="83" t="str">
        <f>IF(P55=0,"0.00%",(T55-P55)/P55)</f>
        <v>0.00%</v>
      </c>
      <c r="T55" s="8">
        <f>SUM(T53,T41,T30)</f>
        <v>0</v>
      </c>
      <c r="U55" s="73"/>
      <c r="W55" s="83" t="str">
        <f>IF(T55=0,"0.00%",(X55-T55)/T55)</f>
        <v>0.00%</v>
      </c>
      <c r="X55" s="8">
        <f>SUM(X53,X41,X30)</f>
        <v>0</v>
      </c>
      <c r="Y55" s="73"/>
      <c r="AA55" s="83" t="str">
        <f>IF(X55=0,"0.00%",(AB55-X55)/X55)</f>
        <v>0.00%</v>
      </c>
      <c r="AB55" s="8">
        <f>SUM(AB53,AB41,AB30)</f>
        <v>0</v>
      </c>
      <c r="AC55" s="73"/>
    </row>
    <row r="56" spans="1:29" hidden="1" x14ac:dyDescent="0.25">
      <c r="A56" s="155"/>
      <c r="E56" s="863"/>
      <c r="F56" s="2"/>
      <c r="H56" s="2"/>
      <c r="I56" s="871"/>
      <c r="J56" s="66"/>
      <c r="L56" s="2"/>
      <c r="M56" s="948"/>
      <c r="Q56" s="948"/>
      <c r="T56" s="2"/>
      <c r="U56" s="73"/>
      <c r="X56" s="2"/>
      <c r="Y56" s="73"/>
      <c r="AB56" s="2"/>
      <c r="AC56" s="73"/>
    </row>
    <row r="57" spans="1:29" hidden="1" x14ac:dyDescent="0.25">
      <c r="A57" s="152"/>
      <c r="E57" s="863"/>
      <c r="F57" s="2"/>
      <c r="H57" s="2"/>
      <c r="I57" s="871"/>
      <c r="J57" s="66"/>
      <c r="L57" s="2"/>
      <c r="M57" s="948"/>
      <c r="Q57" s="948"/>
      <c r="T57" s="2"/>
      <c r="U57" s="73"/>
      <c r="X57" s="2"/>
      <c r="Y57" s="73"/>
      <c r="AB57" s="2"/>
      <c r="AC57" s="73"/>
    </row>
    <row r="58" spans="1:29" hidden="1" x14ac:dyDescent="0.25">
      <c r="A58" s="155"/>
      <c r="B58" s="940" t="s">
        <v>25</v>
      </c>
      <c r="C58" s="873"/>
      <c r="E58" s="863"/>
      <c r="F58" s="2"/>
      <c r="H58" s="2"/>
      <c r="I58" s="871"/>
      <c r="J58" s="66"/>
      <c r="L58" s="2"/>
      <c r="M58" s="948"/>
      <c r="Q58" s="948"/>
      <c r="T58" s="2"/>
      <c r="U58" s="73"/>
      <c r="X58" s="2"/>
      <c r="Y58" s="73"/>
      <c r="AB58" s="2"/>
      <c r="AC58" s="73"/>
    </row>
    <row r="59" spans="1:29" hidden="1" x14ac:dyDescent="0.25">
      <c r="A59" s="152"/>
      <c r="B59" s="939"/>
      <c r="D59" s="2">
        <v>0</v>
      </c>
      <c r="E59" s="863"/>
      <c r="F59" s="2"/>
      <c r="G59" s="83" t="str">
        <f t="shared" ref="G59:G66" si="23">IF(D59=0,"0.00%",(H59-D59)/D59)</f>
        <v>0.00%</v>
      </c>
      <c r="H59" s="2">
        <f t="shared" ref="H59:H65" si="24">ROUND(D59*(LEFT(I59,5)+1),0)</f>
        <v>0</v>
      </c>
      <c r="I59" s="854" t="str">
        <f>TEXT('MYP Assumptions'!E75,"0.00%")&amp;", CPI"</f>
        <v>3.42%, CPI</v>
      </c>
      <c r="J59" s="66"/>
      <c r="K59" s="83" t="str">
        <f t="shared" ref="K59:K66" si="25">IF(H59=0,"0.00%",(L59-H59)/H59)</f>
        <v>0.00%</v>
      </c>
      <c r="L59" s="2">
        <f>ROUND(H59*(LEFT(M59,5)+1),0)</f>
        <v>0</v>
      </c>
      <c r="M59" s="854" t="str">
        <f>TEXT('MYP Assumptions'!F75,"0.00%")&amp;", CPI"</f>
        <v>3.35%, CPI</v>
      </c>
      <c r="O59" s="83" t="str">
        <f t="shared" ref="O59:O66" si="26">IF(L59=0,"0.00%",(P59-L59)/L59)</f>
        <v>0.00%</v>
      </c>
      <c r="P59" s="2">
        <f>ROUND(L59*(LEFT(Q59,5)+1),0)</f>
        <v>0</v>
      </c>
      <c r="Q59" s="854" t="str">
        <f>TEXT('MYP Assumptions'!G75,"0.00%")&amp;", CPI"</f>
        <v>3.02%, CPI</v>
      </c>
      <c r="S59" s="83" t="str">
        <f t="shared" ref="S59:S66" si="27">IF(P59=0,"0.00%",(T59-P59)/P59)</f>
        <v>0.00%</v>
      </c>
      <c r="T59" s="2">
        <f>ROUND(P59*(LEFT(U59,5)+1),0)</f>
        <v>0</v>
      </c>
      <c r="U59" s="81" t="str">
        <f>TEXT('MYP Assumptions'!H75,"0.00%")&amp;", CPI"</f>
        <v>2.73%, CPI</v>
      </c>
      <c r="W59" s="83" t="str">
        <f t="shared" ref="W59:W66" si="28">IF(T59=0,"0.00%",(X59-T59)/T59)</f>
        <v>0.00%</v>
      </c>
      <c r="X59" s="2">
        <f>ROUND(T59*(LEFT(Y59,5)+1),0)</f>
        <v>0</v>
      </c>
      <c r="Y59" s="81" t="str">
        <f>TEXT('MYP Assumptions'!I75,"0.00%")&amp;", CPI"</f>
        <v>2.73%, CPI</v>
      </c>
      <c r="AA59" s="83" t="str">
        <f t="shared" ref="AA59:AA66" si="29">IF(X59=0,"0.00%",(AB59-X59)/X59)</f>
        <v>0.00%</v>
      </c>
      <c r="AB59" s="2">
        <f>ROUND(X59*(LEFT(AC59,5)+1),0)</f>
        <v>0</v>
      </c>
      <c r="AC59" s="81" t="str">
        <f>TEXT('MYP Assumptions'!J75,"0.00%")&amp;", CPI"</f>
        <v>2.73%, CPI</v>
      </c>
    </row>
    <row r="60" spans="1:29" hidden="1" x14ac:dyDescent="0.25">
      <c r="A60" s="152"/>
      <c r="B60" s="939"/>
      <c r="D60" s="2">
        <v>0</v>
      </c>
      <c r="E60" s="863"/>
      <c r="F60" s="2"/>
      <c r="G60" s="83" t="str">
        <f t="shared" si="23"/>
        <v>0.00%</v>
      </c>
      <c r="H60" s="2">
        <f t="shared" si="24"/>
        <v>0</v>
      </c>
      <c r="I60" s="854" t="str">
        <f>TEXT('MYP Assumptions'!E75,"0.00%")&amp;", CPI"</f>
        <v>3.42%, CPI</v>
      </c>
      <c r="J60" s="66"/>
      <c r="K60" s="83" t="str">
        <f t="shared" si="25"/>
        <v>0.00%</v>
      </c>
      <c r="L60" s="2">
        <f t="shared" ref="L60:L65" si="30">ROUND(H60*(LEFT(M60,5)+1),0)</f>
        <v>0</v>
      </c>
      <c r="M60" s="854" t="str">
        <f>TEXT('MYP Assumptions'!F75,"0.00%")&amp;", CPI"</f>
        <v>3.35%, CPI</v>
      </c>
      <c r="O60" s="83" t="str">
        <f t="shared" si="26"/>
        <v>0.00%</v>
      </c>
      <c r="P60" s="2">
        <f t="shared" ref="P60:P65" si="31">ROUND(L60*(LEFT(Q60,5)+1),0)</f>
        <v>0</v>
      </c>
      <c r="Q60" s="854" t="str">
        <f>TEXT('MYP Assumptions'!G75,"0.00%")&amp;", CPI"</f>
        <v>3.02%, CPI</v>
      </c>
      <c r="S60" s="83" t="str">
        <f t="shared" si="27"/>
        <v>0.00%</v>
      </c>
      <c r="T60" s="2">
        <f t="shared" ref="T60:T65" si="32">ROUND(P60*(LEFT(U60,5)+1),0)</f>
        <v>0</v>
      </c>
      <c r="U60" s="81" t="str">
        <f>TEXT('MYP Assumptions'!H75,"0.00%")&amp;", CPI"</f>
        <v>2.73%, CPI</v>
      </c>
      <c r="W60" s="83" t="str">
        <f t="shared" si="28"/>
        <v>0.00%</v>
      </c>
      <c r="X60" s="2">
        <f t="shared" ref="X60:X65" si="33">ROUND(T60*(LEFT(Y60,5)+1),0)</f>
        <v>0</v>
      </c>
      <c r="Y60" s="81" t="str">
        <f>TEXT('MYP Assumptions'!I75,"0.00%")&amp;", CPI"</f>
        <v>2.73%, CPI</v>
      </c>
      <c r="AA60" s="83" t="str">
        <f t="shared" si="29"/>
        <v>0.00%</v>
      </c>
      <c r="AB60" s="2">
        <f t="shared" ref="AB60:AB65" si="34">ROUND(X60*(LEFT(AC60,5)+1),0)</f>
        <v>0</v>
      </c>
      <c r="AC60" s="81" t="str">
        <f>TEXT('MYP Assumptions'!J75,"0.00%")&amp;", CPI"</f>
        <v>2.73%, CPI</v>
      </c>
    </row>
    <row r="61" spans="1:29" hidden="1" x14ac:dyDescent="0.25">
      <c r="A61" s="152"/>
      <c r="B61" s="939"/>
      <c r="D61" s="2">
        <v>0</v>
      </c>
      <c r="E61" s="863"/>
      <c r="F61" s="2"/>
      <c r="G61" s="83" t="str">
        <f t="shared" si="23"/>
        <v>0.00%</v>
      </c>
      <c r="H61" s="2">
        <f t="shared" si="24"/>
        <v>0</v>
      </c>
      <c r="I61" s="854" t="str">
        <f>TEXT('MYP Assumptions'!E75,"0.00%")&amp;", CPI"</f>
        <v>3.42%, CPI</v>
      </c>
      <c r="J61" s="66"/>
      <c r="K61" s="83" t="str">
        <f t="shared" si="25"/>
        <v>0.00%</v>
      </c>
      <c r="L61" s="2">
        <f t="shared" si="30"/>
        <v>0</v>
      </c>
      <c r="M61" s="854" t="str">
        <f>TEXT('MYP Assumptions'!F75,"0.00%")&amp;", CPI"</f>
        <v>3.35%, CPI</v>
      </c>
      <c r="O61" s="83" t="str">
        <f t="shared" si="26"/>
        <v>0.00%</v>
      </c>
      <c r="P61" s="2">
        <f t="shared" si="31"/>
        <v>0</v>
      </c>
      <c r="Q61" s="854" t="str">
        <f>TEXT('MYP Assumptions'!G75,"0.00%")&amp;", CPI"</f>
        <v>3.02%, CPI</v>
      </c>
      <c r="S61" s="83" t="str">
        <f t="shared" si="27"/>
        <v>0.00%</v>
      </c>
      <c r="T61" s="2">
        <f t="shared" si="32"/>
        <v>0</v>
      </c>
      <c r="U61" s="81" t="str">
        <f>TEXT('MYP Assumptions'!H75,"0.00%")&amp;", CPI"</f>
        <v>2.73%, CPI</v>
      </c>
      <c r="W61" s="83" t="str">
        <f t="shared" si="28"/>
        <v>0.00%</v>
      </c>
      <c r="X61" s="2">
        <f t="shared" si="33"/>
        <v>0</v>
      </c>
      <c r="Y61" s="81" t="str">
        <f>TEXT('MYP Assumptions'!I75,"0.00%")&amp;", CPI"</f>
        <v>2.73%, CPI</v>
      </c>
      <c r="AA61" s="83" t="str">
        <f t="shared" si="29"/>
        <v>0.00%</v>
      </c>
      <c r="AB61" s="2">
        <f t="shared" si="34"/>
        <v>0</v>
      </c>
      <c r="AC61" s="81" t="str">
        <f>TEXT('MYP Assumptions'!J75,"0.00%")&amp;", CPI"</f>
        <v>2.73%, CPI</v>
      </c>
    </row>
    <row r="62" spans="1:29" hidden="1" x14ac:dyDescent="0.25">
      <c r="A62" s="152"/>
      <c r="B62" s="939"/>
      <c r="D62" s="2">
        <v>0</v>
      </c>
      <c r="E62" s="863"/>
      <c r="F62" s="2"/>
      <c r="G62" s="83" t="str">
        <f t="shared" si="23"/>
        <v>0.00%</v>
      </c>
      <c r="H62" s="2">
        <f t="shared" si="24"/>
        <v>0</v>
      </c>
      <c r="I62" s="854" t="str">
        <f>TEXT('MYP Assumptions'!E75,"0.00%")&amp;", CPI"</f>
        <v>3.42%, CPI</v>
      </c>
      <c r="J62" s="66"/>
      <c r="K62" s="83" t="str">
        <f t="shared" si="25"/>
        <v>0.00%</v>
      </c>
      <c r="L62" s="2">
        <f t="shared" si="30"/>
        <v>0</v>
      </c>
      <c r="M62" s="854" t="str">
        <f>TEXT('MYP Assumptions'!F75,"0.00%")&amp;", CPI"</f>
        <v>3.35%, CPI</v>
      </c>
      <c r="O62" s="83" t="str">
        <f t="shared" si="26"/>
        <v>0.00%</v>
      </c>
      <c r="P62" s="2">
        <f t="shared" si="31"/>
        <v>0</v>
      </c>
      <c r="Q62" s="854" t="str">
        <f>TEXT('MYP Assumptions'!G75,"0.00%")&amp;", CPI"</f>
        <v>3.02%, CPI</v>
      </c>
      <c r="S62" s="83" t="str">
        <f t="shared" si="27"/>
        <v>0.00%</v>
      </c>
      <c r="T62" s="2">
        <f t="shared" si="32"/>
        <v>0</v>
      </c>
      <c r="U62" s="81" t="str">
        <f>TEXT('MYP Assumptions'!H75,"0.00%")&amp;", CPI"</f>
        <v>2.73%, CPI</v>
      </c>
      <c r="W62" s="83" t="str">
        <f t="shared" si="28"/>
        <v>0.00%</v>
      </c>
      <c r="X62" s="2">
        <f t="shared" si="33"/>
        <v>0</v>
      </c>
      <c r="Y62" s="81" t="str">
        <f>TEXT('MYP Assumptions'!I75,"0.00%")&amp;", CPI"</f>
        <v>2.73%, CPI</v>
      </c>
      <c r="AA62" s="83" t="str">
        <f t="shared" si="29"/>
        <v>0.00%</v>
      </c>
      <c r="AB62" s="2">
        <f t="shared" si="34"/>
        <v>0</v>
      </c>
      <c r="AC62" s="81" t="str">
        <f>TEXT('MYP Assumptions'!J75,"0.00%")&amp;", CPI"</f>
        <v>2.73%, CPI</v>
      </c>
    </row>
    <row r="63" spans="1:29" hidden="1" x14ac:dyDescent="0.25">
      <c r="A63" s="152"/>
      <c r="B63" s="939"/>
      <c r="D63" s="2">
        <v>0</v>
      </c>
      <c r="E63" s="863"/>
      <c r="F63" s="2"/>
      <c r="G63" s="83" t="str">
        <f t="shared" si="23"/>
        <v>0.00%</v>
      </c>
      <c r="H63" s="2">
        <f t="shared" si="24"/>
        <v>0</v>
      </c>
      <c r="I63" s="854" t="str">
        <f>TEXT('MYP Assumptions'!E75,"0.00%")&amp;", CPI"</f>
        <v>3.42%, CPI</v>
      </c>
      <c r="J63" s="66"/>
      <c r="K63" s="83" t="str">
        <f t="shared" si="25"/>
        <v>0.00%</v>
      </c>
      <c r="L63" s="2">
        <f t="shared" si="30"/>
        <v>0</v>
      </c>
      <c r="M63" s="854" t="str">
        <f>TEXT('MYP Assumptions'!F75,"0.00%")&amp;", CPI"</f>
        <v>3.35%, CPI</v>
      </c>
      <c r="O63" s="83" t="str">
        <f t="shared" si="26"/>
        <v>0.00%</v>
      </c>
      <c r="P63" s="2">
        <f t="shared" si="31"/>
        <v>0</v>
      </c>
      <c r="Q63" s="854" t="str">
        <f>TEXT('MYP Assumptions'!G75,"0.00%")&amp;", CPI"</f>
        <v>3.02%, CPI</v>
      </c>
      <c r="S63" s="83" t="str">
        <f t="shared" si="27"/>
        <v>0.00%</v>
      </c>
      <c r="T63" s="2">
        <f t="shared" si="32"/>
        <v>0</v>
      </c>
      <c r="U63" s="81" t="str">
        <f>TEXT('MYP Assumptions'!H75,"0.00%")&amp;", CPI"</f>
        <v>2.73%, CPI</v>
      </c>
      <c r="W63" s="83" t="str">
        <f t="shared" si="28"/>
        <v>0.00%</v>
      </c>
      <c r="X63" s="2">
        <f t="shared" si="33"/>
        <v>0</v>
      </c>
      <c r="Y63" s="81" t="str">
        <f>TEXT('MYP Assumptions'!I75,"0.00%")&amp;", CPI"</f>
        <v>2.73%, CPI</v>
      </c>
      <c r="AA63" s="83" t="str">
        <f t="shared" si="29"/>
        <v>0.00%</v>
      </c>
      <c r="AB63" s="2">
        <f t="shared" si="34"/>
        <v>0</v>
      </c>
      <c r="AC63" s="81" t="str">
        <f>TEXT('MYP Assumptions'!J75,"0.00%")&amp;", CPI"</f>
        <v>2.73%, CPI</v>
      </c>
    </row>
    <row r="64" spans="1:29" hidden="1" x14ac:dyDescent="0.25">
      <c r="A64" s="152"/>
      <c r="B64" s="939"/>
      <c r="D64" s="2">
        <v>0</v>
      </c>
      <c r="E64" s="863"/>
      <c r="F64" s="2"/>
      <c r="G64" s="83" t="str">
        <f t="shared" si="23"/>
        <v>0.00%</v>
      </c>
      <c r="H64" s="2">
        <f t="shared" si="24"/>
        <v>0</v>
      </c>
      <c r="I64" s="854" t="str">
        <f>TEXT('MYP Assumptions'!E75,"0.00%")&amp;", CPI"</f>
        <v>3.42%, CPI</v>
      </c>
      <c r="J64" s="66"/>
      <c r="K64" s="83" t="str">
        <f t="shared" si="25"/>
        <v>0.00%</v>
      </c>
      <c r="L64" s="2">
        <f t="shared" si="30"/>
        <v>0</v>
      </c>
      <c r="M64" s="854" t="str">
        <f>TEXT('MYP Assumptions'!F75,"0.00%")&amp;", CPI"</f>
        <v>3.35%, CPI</v>
      </c>
      <c r="O64" s="83" t="str">
        <f t="shared" si="26"/>
        <v>0.00%</v>
      </c>
      <c r="P64" s="2">
        <f t="shared" si="31"/>
        <v>0</v>
      </c>
      <c r="Q64" s="854" t="str">
        <f>TEXT('MYP Assumptions'!G75,"0.00%")&amp;", CPI"</f>
        <v>3.02%, CPI</v>
      </c>
      <c r="S64" s="83" t="str">
        <f t="shared" si="27"/>
        <v>0.00%</v>
      </c>
      <c r="T64" s="2">
        <f t="shared" si="32"/>
        <v>0</v>
      </c>
      <c r="U64" s="81" t="str">
        <f>TEXT('MYP Assumptions'!H75,"0.00%")&amp;", CPI"</f>
        <v>2.73%, CPI</v>
      </c>
      <c r="W64" s="83" t="str">
        <f t="shared" si="28"/>
        <v>0.00%</v>
      </c>
      <c r="X64" s="2">
        <f t="shared" si="33"/>
        <v>0</v>
      </c>
      <c r="Y64" s="81" t="str">
        <f>TEXT('MYP Assumptions'!I75,"0.00%")&amp;", CPI"</f>
        <v>2.73%, CPI</v>
      </c>
      <c r="AA64" s="83" t="str">
        <f t="shared" si="29"/>
        <v>0.00%</v>
      </c>
      <c r="AB64" s="2">
        <f t="shared" si="34"/>
        <v>0</v>
      </c>
      <c r="AC64" s="81" t="str">
        <f>TEXT('MYP Assumptions'!J75,"0.00%")&amp;", CPI"</f>
        <v>2.73%, CPI</v>
      </c>
    </row>
    <row r="65" spans="1:29" hidden="1" x14ac:dyDescent="0.25">
      <c r="A65" s="152"/>
      <c r="B65" s="939"/>
      <c r="C65" s="941"/>
      <c r="D65" s="2">
        <v>0</v>
      </c>
      <c r="E65" s="863"/>
      <c r="F65" s="2"/>
      <c r="G65" s="83" t="str">
        <f t="shared" si="23"/>
        <v>0.00%</v>
      </c>
      <c r="H65" s="2">
        <f t="shared" si="24"/>
        <v>0</v>
      </c>
      <c r="I65" s="854" t="str">
        <f>TEXT('MYP Assumptions'!E75,"0.00%")&amp;", CPI"</f>
        <v>3.42%, CPI</v>
      </c>
      <c r="J65" s="66"/>
      <c r="K65" s="83" t="str">
        <f t="shared" si="25"/>
        <v>0.00%</v>
      </c>
      <c r="L65" s="2">
        <f t="shared" si="30"/>
        <v>0</v>
      </c>
      <c r="M65" s="854" t="str">
        <f>TEXT('MYP Assumptions'!F75,"0.00%")&amp;", CPI"</f>
        <v>3.35%, CPI</v>
      </c>
      <c r="O65" s="83" t="str">
        <f t="shared" si="26"/>
        <v>0.00%</v>
      </c>
      <c r="P65" s="2">
        <f t="shared" si="31"/>
        <v>0</v>
      </c>
      <c r="Q65" s="854" t="str">
        <f>TEXT('MYP Assumptions'!G75,"0.00%")&amp;", CPI"</f>
        <v>3.02%, CPI</v>
      </c>
      <c r="S65" s="83" t="str">
        <f t="shared" si="27"/>
        <v>0.00%</v>
      </c>
      <c r="T65" s="2">
        <f t="shared" si="32"/>
        <v>0</v>
      </c>
      <c r="U65" s="81" t="str">
        <f>TEXT('MYP Assumptions'!H75,"0.00%")&amp;", CPI"</f>
        <v>2.73%, CPI</v>
      </c>
      <c r="W65" s="83" t="str">
        <f t="shared" si="28"/>
        <v>0.00%</v>
      </c>
      <c r="X65" s="2">
        <f t="shared" si="33"/>
        <v>0</v>
      </c>
      <c r="Y65" s="81" t="str">
        <f>TEXT('MYP Assumptions'!I75,"0.00%")&amp;", CPI"</f>
        <v>2.73%, CPI</v>
      </c>
      <c r="AA65" s="83" t="str">
        <f t="shared" si="29"/>
        <v>0.00%</v>
      </c>
      <c r="AB65" s="2">
        <f t="shared" si="34"/>
        <v>0</v>
      </c>
      <c r="AC65" s="81" t="str">
        <f>TEXT('MYP Assumptions'!J75,"0.00%")&amp;", CPI"</f>
        <v>2.73%, CPI</v>
      </c>
    </row>
    <row r="66" spans="1:29" hidden="1" x14ac:dyDescent="0.25">
      <c r="A66" s="153"/>
      <c r="B66" s="857"/>
      <c r="D66" s="8">
        <f>SUM(D59:D65)</f>
        <v>0</v>
      </c>
      <c r="E66" s="863"/>
      <c r="F66" s="2"/>
      <c r="G66" s="83" t="str">
        <f t="shared" si="23"/>
        <v>0.00%</v>
      </c>
      <c r="H66" s="8">
        <f>SUM(H59:H65)</f>
        <v>0</v>
      </c>
      <c r="I66" s="872"/>
      <c r="J66" s="29"/>
      <c r="K66" s="83" t="str">
        <f t="shared" si="25"/>
        <v>0.00%</v>
      </c>
      <c r="L66" s="8">
        <f>SUM(L59:L65)</f>
        <v>0</v>
      </c>
      <c r="M66" s="948"/>
      <c r="O66" s="83" t="str">
        <f t="shared" si="26"/>
        <v>0.00%</v>
      </c>
      <c r="P66" s="8">
        <f>SUM(P59:P65)</f>
        <v>0</v>
      </c>
      <c r="Q66" s="948"/>
      <c r="S66" s="83" t="str">
        <f t="shared" si="27"/>
        <v>0.00%</v>
      </c>
      <c r="T66" s="8">
        <f>SUM(T59:T65)</f>
        <v>0</v>
      </c>
      <c r="U66" s="73"/>
      <c r="W66" s="83" t="str">
        <f t="shared" si="28"/>
        <v>0.00%</v>
      </c>
      <c r="X66" s="8">
        <f>SUM(X59:X65)</f>
        <v>0</v>
      </c>
      <c r="Y66" s="73"/>
      <c r="AA66" s="83" t="str">
        <f t="shared" si="29"/>
        <v>0.00%</v>
      </c>
      <c r="AB66" s="8">
        <f>SUM(AB59:AB65)</f>
        <v>0</v>
      </c>
      <c r="AC66" s="73"/>
    </row>
    <row r="67" spans="1:29" x14ac:dyDescent="0.25">
      <c r="A67" s="152"/>
      <c r="E67" s="863"/>
      <c r="F67" s="2"/>
      <c r="H67" s="2"/>
      <c r="I67" s="871"/>
      <c r="J67" s="66"/>
      <c r="L67" s="2"/>
      <c r="M67" s="948"/>
      <c r="Q67" s="948"/>
      <c r="T67" s="2"/>
      <c r="U67" s="73"/>
      <c r="X67" s="2"/>
      <c r="Y67" s="73"/>
      <c r="AB67" s="2"/>
      <c r="AC67" s="73"/>
    </row>
    <row r="68" spans="1:29" s="4" customFormat="1" x14ac:dyDescent="0.25">
      <c r="A68" s="150"/>
      <c r="B68" s="936" t="s">
        <v>16</v>
      </c>
      <c r="C68" s="873"/>
      <c r="D68" s="6"/>
      <c r="E68" s="864"/>
      <c r="F68" s="6"/>
      <c r="G68" s="373"/>
      <c r="H68" s="6"/>
      <c r="I68" s="873"/>
      <c r="J68" s="58"/>
      <c r="K68" s="380"/>
      <c r="L68" s="6"/>
      <c r="M68" s="950"/>
      <c r="O68" s="380"/>
      <c r="P68" s="6"/>
      <c r="Q68" s="950"/>
      <c r="R68" s="111"/>
      <c r="U68" s="71"/>
      <c r="Y68" s="71"/>
      <c r="AC68" s="71"/>
    </row>
    <row r="69" spans="1:29" x14ac:dyDescent="0.25">
      <c r="A69" s="152"/>
      <c r="B69" s="939">
        <v>5814</v>
      </c>
      <c r="C69" s="857" t="s">
        <v>4</v>
      </c>
      <c r="D69" s="2">
        <v>459915.5</v>
      </c>
      <c r="E69" s="863" t="s">
        <v>276</v>
      </c>
      <c r="F69" s="2"/>
      <c r="G69" s="83">
        <f t="shared" ref="G69:G74" si="35">IF(D69=0,"0.00%",(H69-D69)/D69)</f>
        <v>-0.52114060082776081</v>
      </c>
      <c r="H69" s="2">
        <v>220234.86</v>
      </c>
      <c r="I69" s="854"/>
      <c r="J69" s="66"/>
      <c r="K69" s="83">
        <f t="shared" ref="K69:K82" si="36">IF(H69=0,"0.00%",(L69-H69)/H69)</f>
        <v>-1</v>
      </c>
      <c r="L69" s="2">
        <v>0</v>
      </c>
      <c r="M69" s="854"/>
      <c r="O69" s="83" t="str">
        <f t="shared" ref="O69:O82" si="37">IF(L69=0,"0.00%",(P69-L69)/L69)</f>
        <v>0.00%</v>
      </c>
      <c r="P69" s="2">
        <v>0</v>
      </c>
      <c r="Q69" s="854"/>
      <c r="S69" s="83" t="str">
        <f t="shared" ref="S69:S82" si="38">IF(P69=0,"0.00%",(T69-P69)/P69)</f>
        <v>0.00%</v>
      </c>
      <c r="T69" s="2">
        <f>ROUND(P69*(LEFT(U69,5)+1),0)</f>
        <v>0</v>
      </c>
      <c r="U69" s="81" t="str">
        <f>TEXT('MYP Assumptions'!H75,"0.00%")&amp;", CPI"</f>
        <v>2.73%, CPI</v>
      </c>
      <c r="W69" s="83" t="str">
        <f t="shared" ref="W69:W82" si="39">IF(T69=0,"0.00%",(X69-T69)/T69)</f>
        <v>0.00%</v>
      </c>
      <c r="X69" s="2">
        <f>ROUND(T69*(LEFT(Y69,5)+1),0)</f>
        <v>0</v>
      </c>
      <c r="Y69" s="81" t="str">
        <f>TEXT('MYP Assumptions'!I75,"0.00%")&amp;", CPI"</f>
        <v>2.73%, CPI</v>
      </c>
      <c r="AA69" s="83" t="str">
        <f t="shared" ref="AA69:AA82" si="40">IF(X69=0,"0.00%",(AB69-X69)/X69)</f>
        <v>0.00%</v>
      </c>
      <c r="AB69" s="2">
        <f>ROUND(X69*(LEFT(AC69,5)+1),0)</f>
        <v>0</v>
      </c>
      <c r="AC69" s="81" t="str">
        <f>TEXT('MYP Assumptions'!J75,"0.00%")&amp;", CPI"</f>
        <v>2.73%, CPI</v>
      </c>
    </row>
    <row r="70" spans="1:29" hidden="1" x14ac:dyDescent="0.25">
      <c r="A70" s="152"/>
      <c r="B70" s="939"/>
      <c r="D70" s="2">
        <v>0</v>
      </c>
      <c r="E70" s="863"/>
      <c r="F70" s="2"/>
      <c r="G70" s="83" t="str">
        <f t="shared" si="35"/>
        <v>0.00%</v>
      </c>
      <c r="H70" s="2">
        <f>ROUND(D70*(LEFT(I70,5)+1),0)</f>
        <v>0</v>
      </c>
      <c r="I70" s="854" t="str">
        <f>TEXT('MYP Assumptions'!E75,"0.00%")&amp;", CPI"</f>
        <v>3.42%, CPI</v>
      </c>
      <c r="J70" s="66"/>
      <c r="K70" s="83" t="str">
        <f t="shared" si="36"/>
        <v>0.00%</v>
      </c>
      <c r="L70" s="2">
        <f t="shared" ref="L70:L81" si="41">ROUND(H70*(LEFT(M70,5)+1),0)</f>
        <v>0</v>
      </c>
      <c r="M70" s="854" t="str">
        <f>TEXT('MYP Assumptions'!F75,"0.00%")&amp;", CPI"</f>
        <v>3.35%, CPI</v>
      </c>
      <c r="O70" s="83" t="str">
        <f t="shared" si="37"/>
        <v>0.00%</v>
      </c>
      <c r="P70" s="2">
        <f t="shared" ref="P70:P81" si="42">ROUND(L70*(LEFT(Q70,5)+1),0)</f>
        <v>0</v>
      </c>
      <c r="Q70" s="854" t="str">
        <f>TEXT('MYP Assumptions'!G75,"0.00%")&amp;", CPI"</f>
        <v>3.02%, CPI</v>
      </c>
      <c r="S70" s="83" t="str">
        <f t="shared" si="38"/>
        <v>0.00%</v>
      </c>
      <c r="T70" s="2">
        <f t="shared" ref="T70:T81" si="43">ROUND(P70*(LEFT(U70,5)+1),0)</f>
        <v>0</v>
      </c>
      <c r="U70" s="81" t="str">
        <f>TEXT('MYP Assumptions'!H75,"0.00%")&amp;", CPI"</f>
        <v>2.73%, CPI</v>
      </c>
      <c r="W70" s="83" t="str">
        <f t="shared" si="39"/>
        <v>0.00%</v>
      </c>
      <c r="X70" s="2">
        <f t="shared" ref="X70:X81" si="44">ROUND(T70*(LEFT(Y70,5)+1),0)</f>
        <v>0</v>
      </c>
      <c r="Y70" s="81" t="str">
        <f>TEXT('MYP Assumptions'!I75,"0.00%")&amp;", CPI"</f>
        <v>2.73%, CPI</v>
      </c>
      <c r="AA70" s="83" t="str">
        <f t="shared" si="40"/>
        <v>0.00%</v>
      </c>
      <c r="AB70" s="2">
        <f t="shared" ref="AB70:AB81" si="45">ROUND(X70*(LEFT(AC70,5)+1),0)</f>
        <v>0</v>
      </c>
      <c r="AC70" s="81" t="str">
        <f>TEXT('MYP Assumptions'!J75,"0.00%")&amp;", CPI"</f>
        <v>2.73%, CPI</v>
      </c>
    </row>
    <row r="71" spans="1:29" hidden="1" x14ac:dyDescent="0.25">
      <c r="A71" s="152"/>
      <c r="B71" s="939"/>
      <c r="D71" s="2">
        <v>0</v>
      </c>
      <c r="E71" s="863"/>
      <c r="F71" s="2"/>
      <c r="G71" s="83" t="str">
        <f t="shared" si="35"/>
        <v>0.00%</v>
      </c>
      <c r="H71" s="2">
        <f t="shared" ref="H71:H76" si="46">ROUND(D71*(LEFT(I71,5)+1),0)</f>
        <v>0</v>
      </c>
      <c r="I71" s="854" t="str">
        <f>TEXT('MYP Assumptions'!E75,"0.00%")&amp;", CPI"</f>
        <v>3.42%, CPI</v>
      </c>
      <c r="J71" s="66"/>
      <c r="K71" s="83" t="str">
        <f t="shared" si="36"/>
        <v>0.00%</v>
      </c>
      <c r="L71" s="2">
        <f t="shared" si="41"/>
        <v>0</v>
      </c>
      <c r="M71" s="854" t="str">
        <f>TEXT('MYP Assumptions'!F75,"0.00%")&amp;", CPI"</f>
        <v>3.35%, CPI</v>
      </c>
      <c r="O71" s="83" t="str">
        <f t="shared" si="37"/>
        <v>0.00%</v>
      </c>
      <c r="P71" s="2">
        <f t="shared" si="42"/>
        <v>0</v>
      </c>
      <c r="Q71" s="854" t="str">
        <f>TEXT('MYP Assumptions'!G75,"0.00%")&amp;", CPI"</f>
        <v>3.02%, CPI</v>
      </c>
      <c r="S71" s="83" t="str">
        <f t="shared" si="38"/>
        <v>0.00%</v>
      </c>
      <c r="T71" s="2">
        <f t="shared" si="43"/>
        <v>0</v>
      </c>
      <c r="U71" s="81" t="str">
        <f>TEXT('MYP Assumptions'!H75,"0.00%")&amp;", CPI"</f>
        <v>2.73%, CPI</v>
      </c>
      <c r="W71" s="83" t="str">
        <f t="shared" si="39"/>
        <v>0.00%</v>
      </c>
      <c r="X71" s="2">
        <f t="shared" si="44"/>
        <v>0</v>
      </c>
      <c r="Y71" s="81" t="str">
        <f>TEXT('MYP Assumptions'!I75,"0.00%")&amp;", CPI"</f>
        <v>2.73%, CPI</v>
      </c>
      <c r="AA71" s="83" t="str">
        <f t="shared" si="40"/>
        <v>0.00%</v>
      </c>
      <c r="AB71" s="2">
        <f t="shared" si="45"/>
        <v>0</v>
      </c>
      <c r="AC71" s="81" t="str">
        <f>TEXT('MYP Assumptions'!J75,"0.00%")&amp;", CPI"</f>
        <v>2.73%, CPI</v>
      </c>
    </row>
    <row r="72" spans="1:29" hidden="1" x14ac:dyDescent="0.25">
      <c r="A72" s="152"/>
      <c r="B72" s="939"/>
      <c r="D72" s="2">
        <v>0</v>
      </c>
      <c r="E72" s="863"/>
      <c r="F72" s="2"/>
      <c r="G72" s="83" t="str">
        <f t="shared" si="35"/>
        <v>0.00%</v>
      </c>
      <c r="H72" s="2">
        <f t="shared" si="46"/>
        <v>0</v>
      </c>
      <c r="I72" s="854" t="str">
        <f>TEXT('MYP Assumptions'!E75,"0.00%")&amp;", CPI"</f>
        <v>3.42%, CPI</v>
      </c>
      <c r="J72" s="66"/>
      <c r="K72" s="83" t="str">
        <f t="shared" si="36"/>
        <v>0.00%</v>
      </c>
      <c r="L72" s="2">
        <f t="shared" si="41"/>
        <v>0</v>
      </c>
      <c r="M72" s="854" t="str">
        <f>TEXT('MYP Assumptions'!F75,"0.00%")&amp;", CPI"</f>
        <v>3.35%, CPI</v>
      </c>
      <c r="O72" s="83" t="str">
        <f t="shared" si="37"/>
        <v>0.00%</v>
      </c>
      <c r="P72" s="2">
        <f t="shared" si="42"/>
        <v>0</v>
      </c>
      <c r="Q72" s="854" t="str">
        <f>TEXT('MYP Assumptions'!G75,"0.00%")&amp;", CPI"</f>
        <v>3.02%, CPI</v>
      </c>
      <c r="S72" s="83" t="str">
        <f t="shared" si="38"/>
        <v>0.00%</v>
      </c>
      <c r="T72" s="2">
        <f t="shared" si="43"/>
        <v>0</v>
      </c>
      <c r="U72" s="81" t="str">
        <f>TEXT('MYP Assumptions'!H75,"0.00%")&amp;", CPI"</f>
        <v>2.73%, CPI</v>
      </c>
      <c r="W72" s="83" t="str">
        <f t="shared" si="39"/>
        <v>0.00%</v>
      </c>
      <c r="X72" s="2">
        <f t="shared" si="44"/>
        <v>0</v>
      </c>
      <c r="Y72" s="81" t="str">
        <f>TEXT('MYP Assumptions'!I75,"0.00%")&amp;", CPI"</f>
        <v>2.73%, CPI</v>
      </c>
      <c r="AA72" s="83" t="str">
        <f t="shared" si="40"/>
        <v>0.00%</v>
      </c>
      <c r="AB72" s="2">
        <f t="shared" si="45"/>
        <v>0</v>
      </c>
      <c r="AC72" s="81" t="str">
        <f>TEXT('MYP Assumptions'!J75,"0.00%")&amp;", CPI"</f>
        <v>2.73%, CPI</v>
      </c>
    </row>
    <row r="73" spans="1:29" hidden="1" x14ac:dyDescent="0.25">
      <c r="A73" s="152"/>
      <c r="B73" s="939"/>
      <c r="D73" s="2">
        <v>0</v>
      </c>
      <c r="E73" s="863"/>
      <c r="F73" s="2"/>
      <c r="G73" s="83" t="str">
        <f t="shared" si="35"/>
        <v>0.00%</v>
      </c>
      <c r="H73" s="2">
        <f t="shared" si="46"/>
        <v>0</v>
      </c>
      <c r="I73" s="854" t="str">
        <f>TEXT('MYP Assumptions'!E75,"0.00%")&amp;", CPI"</f>
        <v>3.42%, CPI</v>
      </c>
      <c r="J73" s="66"/>
      <c r="K73" s="83" t="str">
        <f t="shared" si="36"/>
        <v>0.00%</v>
      </c>
      <c r="L73" s="2">
        <f t="shared" si="41"/>
        <v>0</v>
      </c>
      <c r="M73" s="854" t="str">
        <f>TEXT('MYP Assumptions'!F75,"0.00%")&amp;", CPI"</f>
        <v>3.35%, CPI</v>
      </c>
      <c r="O73" s="83" t="str">
        <f t="shared" si="37"/>
        <v>0.00%</v>
      </c>
      <c r="P73" s="2">
        <f t="shared" si="42"/>
        <v>0</v>
      </c>
      <c r="Q73" s="854" t="str">
        <f>TEXT('MYP Assumptions'!G75,"0.00%")&amp;", CPI"</f>
        <v>3.02%, CPI</v>
      </c>
      <c r="S73" s="83" t="str">
        <f t="shared" si="38"/>
        <v>0.00%</v>
      </c>
      <c r="T73" s="2">
        <f t="shared" si="43"/>
        <v>0</v>
      </c>
      <c r="U73" s="81" t="str">
        <f>TEXT('MYP Assumptions'!H75,"0.00%")&amp;", CPI"</f>
        <v>2.73%, CPI</v>
      </c>
      <c r="W73" s="83" t="str">
        <f t="shared" si="39"/>
        <v>0.00%</v>
      </c>
      <c r="X73" s="2">
        <f t="shared" si="44"/>
        <v>0</v>
      </c>
      <c r="Y73" s="81" t="str">
        <f>TEXT('MYP Assumptions'!I75,"0.00%")&amp;", CPI"</f>
        <v>2.73%, CPI</v>
      </c>
      <c r="AA73" s="83" t="str">
        <f t="shared" si="40"/>
        <v>0.00%</v>
      </c>
      <c r="AB73" s="2">
        <f t="shared" si="45"/>
        <v>0</v>
      </c>
      <c r="AC73" s="81" t="str">
        <f>TEXT('MYP Assumptions'!J75,"0.00%")&amp;", CPI"</f>
        <v>2.73%, CPI</v>
      </c>
    </row>
    <row r="74" spans="1:29" hidden="1" x14ac:dyDescent="0.25">
      <c r="A74" s="152"/>
      <c r="B74" s="939"/>
      <c r="D74" s="2">
        <v>0</v>
      </c>
      <c r="E74" s="863"/>
      <c r="F74" s="2"/>
      <c r="G74" s="83" t="str">
        <f t="shared" si="35"/>
        <v>0.00%</v>
      </c>
      <c r="H74" s="2">
        <f t="shared" si="46"/>
        <v>0</v>
      </c>
      <c r="I74" s="854" t="str">
        <f>TEXT('MYP Assumptions'!E75,"0.00%")&amp;", CPI"</f>
        <v>3.42%, CPI</v>
      </c>
      <c r="J74" s="66"/>
      <c r="K74" s="83" t="str">
        <f t="shared" si="36"/>
        <v>0.00%</v>
      </c>
      <c r="L74" s="2">
        <f t="shared" si="41"/>
        <v>0</v>
      </c>
      <c r="M74" s="854" t="str">
        <f>TEXT('MYP Assumptions'!F75,"0.00%")&amp;", CPI"</f>
        <v>3.35%, CPI</v>
      </c>
      <c r="O74" s="83" t="str">
        <f t="shared" si="37"/>
        <v>0.00%</v>
      </c>
      <c r="P74" s="2">
        <f t="shared" si="42"/>
        <v>0</v>
      </c>
      <c r="Q74" s="854" t="str">
        <f>TEXT('MYP Assumptions'!G75,"0.00%")&amp;", CPI"</f>
        <v>3.02%, CPI</v>
      </c>
      <c r="S74" s="83" t="str">
        <f t="shared" si="38"/>
        <v>0.00%</v>
      </c>
      <c r="T74" s="2">
        <f t="shared" si="43"/>
        <v>0</v>
      </c>
      <c r="U74" s="81" t="str">
        <f>TEXT('MYP Assumptions'!H75,"0.00%")&amp;", CPI"</f>
        <v>2.73%, CPI</v>
      </c>
      <c r="W74" s="83" t="str">
        <f t="shared" si="39"/>
        <v>0.00%</v>
      </c>
      <c r="X74" s="2">
        <f t="shared" si="44"/>
        <v>0</v>
      </c>
      <c r="Y74" s="81" t="str">
        <f>TEXT('MYP Assumptions'!I75,"0.00%")&amp;", CPI"</f>
        <v>2.73%, CPI</v>
      </c>
      <c r="AA74" s="83" t="str">
        <f t="shared" si="40"/>
        <v>0.00%</v>
      </c>
      <c r="AB74" s="2">
        <f t="shared" si="45"/>
        <v>0</v>
      </c>
      <c r="AC74" s="81" t="str">
        <f>TEXT('MYP Assumptions'!J75,"0.00%")&amp;", CPI"</f>
        <v>2.73%, CPI</v>
      </c>
    </row>
    <row r="75" spans="1:29" hidden="1" x14ac:dyDescent="0.25">
      <c r="A75" s="152"/>
      <c r="B75" s="939"/>
      <c r="D75" s="2">
        <v>0</v>
      </c>
      <c r="E75" s="863"/>
      <c r="F75" s="2"/>
      <c r="G75" s="83" t="str">
        <f>IF(D75=0,"0.00%",(H75-D75)/D75)</f>
        <v>0.00%</v>
      </c>
      <c r="H75" s="2">
        <f t="shared" si="46"/>
        <v>0</v>
      </c>
      <c r="I75" s="854" t="str">
        <f>TEXT('MYP Assumptions'!E75,"0.00%")&amp;", CPI"</f>
        <v>3.42%, CPI</v>
      </c>
      <c r="J75" s="66"/>
      <c r="K75" s="83" t="str">
        <f t="shared" si="36"/>
        <v>0.00%</v>
      </c>
      <c r="L75" s="2">
        <f t="shared" si="41"/>
        <v>0</v>
      </c>
      <c r="M75" s="854" t="str">
        <f>TEXT('MYP Assumptions'!F75,"0.00%")&amp;", CPI"</f>
        <v>3.35%, CPI</v>
      </c>
      <c r="O75" s="83" t="str">
        <f t="shared" si="37"/>
        <v>0.00%</v>
      </c>
      <c r="P75" s="2">
        <f t="shared" si="42"/>
        <v>0</v>
      </c>
      <c r="Q75" s="854" t="str">
        <f>TEXT('MYP Assumptions'!G75,"0.00%")&amp;", CPI"</f>
        <v>3.02%, CPI</v>
      </c>
      <c r="S75" s="83" t="str">
        <f t="shared" si="38"/>
        <v>0.00%</v>
      </c>
      <c r="T75" s="2">
        <f t="shared" si="43"/>
        <v>0</v>
      </c>
      <c r="U75" s="81" t="str">
        <f>TEXT('MYP Assumptions'!H75,"0.00%")&amp;", CPI"</f>
        <v>2.73%, CPI</v>
      </c>
      <c r="W75" s="83" t="str">
        <f t="shared" si="39"/>
        <v>0.00%</v>
      </c>
      <c r="X75" s="2">
        <f t="shared" si="44"/>
        <v>0</v>
      </c>
      <c r="Y75" s="81" t="str">
        <f>TEXT('MYP Assumptions'!I75,"0.00%")&amp;", CPI"</f>
        <v>2.73%, CPI</v>
      </c>
      <c r="AA75" s="83" t="str">
        <f t="shared" si="40"/>
        <v>0.00%</v>
      </c>
      <c r="AB75" s="2">
        <f t="shared" si="45"/>
        <v>0</v>
      </c>
      <c r="AC75" s="81" t="str">
        <f>TEXT('MYP Assumptions'!J75,"0.00%")&amp;", CPI"</f>
        <v>2.73%, CPI</v>
      </c>
    </row>
    <row r="76" spans="1:29" hidden="1" x14ac:dyDescent="0.25">
      <c r="A76" s="152"/>
      <c r="B76" s="939"/>
      <c r="D76" s="2">
        <v>0</v>
      </c>
      <c r="E76" s="863"/>
      <c r="F76" s="2"/>
      <c r="G76" s="83" t="str">
        <f t="shared" ref="G76:G82" si="47">IF(D76=0,"0.00%",(H76-D76)/D76)</f>
        <v>0.00%</v>
      </c>
      <c r="H76" s="2">
        <f t="shared" si="46"/>
        <v>0</v>
      </c>
      <c r="I76" s="854" t="str">
        <f>TEXT('MYP Assumptions'!E75,"0.00%")&amp;", CPI"</f>
        <v>3.42%, CPI</v>
      </c>
      <c r="J76" s="66"/>
      <c r="K76" s="83" t="str">
        <f t="shared" si="36"/>
        <v>0.00%</v>
      </c>
      <c r="L76" s="2">
        <f t="shared" si="41"/>
        <v>0</v>
      </c>
      <c r="M76" s="854" t="str">
        <f>TEXT('MYP Assumptions'!F75,"0.00%")&amp;", CPI"</f>
        <v>3.35%, CPI</v>
      </c>
      <c r="O76" s="83" t="str">
        <f t="shared" si="37"/>
        <v>0.00%</v>
      </c>
      <c r="P76" s="2">
        <f t="shared" si="42"/>
        <v>0</v>
      </c>
      <c r="Q76" s="854" t="str">
        <f>TEXT('MYP Assumptions'!G75,"0.00%")&amp;", CPI"</f>
        <v>3.02%, CPI</v>
      </c>
      <c r="S76" s="83" t="str">
        <f t="shared" si="38"/>
        <v>0.00%</v>
      </c>
      <c r="T76" s="2">
        <f t="shared" si="43"/>
        <v>0</v>
      </c>
      <c r="U76" s="81" t="str">
        <f>TEXT('MYP Assumptions'!H75,"0.00%")&amp;", CPI"</f>
        <v>2.73%, CPI</v>
      </c>
      <c r="W76" s="83" t="str">
        <f t="shared" si="39"/>
        <v>0.00%</v>
      </c>
      <c r="X76" s="2">
        <f t="shared" si="44"/>
        <v>0</v>
      </c>
      <c r="Y76" s="81" t="str">
        <f>TEXT('MYP Assumptions'!I75,"0.00%")&amp;", CPI"</f>
        <v>2.73%, CPI</v>
      </c>
      <c r="AA76" s="83" t="str">
        <f t="shared" si="40"/>
        <v>0.00%</v>
      </c>
      <c r="AB76" s="2">
        <f t="shared" si="45"/>
        <v>0</v>
      </c>
      <c r="AC76" s="81" t="str">
        <f>TEXT('MYP Assumptions'!J75,"0.00%")&amp;", CPI"</f>
        <v>2.73%, CPI</v>
      </c>
    </row>
    <row r="77" spans="1:29" hidden="1" x14ac:dyDescent="0.25">
      <c r="A77" s="152"/>
      <c r="B77" s="939"/>
      <c r="D77" s="2">
        <v>0</v>
      </c>
      <c r="E77" s="863"/>
      <c r="F77" s="2"/>
      <c r="G77" s="83" t="str">
        <f t="shared" si="47"/>
        <v>0.00%</v>
      </c>
      <c r="H77" s="2">
        <f>ROUND(D77*(LEFT(I77,5)+1),0)</f>
        <v>0</v>
      </c>
      <c r="I77" s="854" t="str">
        <f>TEXT('MYP Assumptions'!E75,"0.00%")&amp;", CPI"</f>
        <v>3.42%, CPI</v>
      </c>
      <c r="J77" s="66"/>
      <c r="K77" s="83" t="str">
        <f t="shared" si="36"/>
        <v>0.00%</v>
      </c>
      <c r="L77" s="2">
        <f t="shared" si="41"/>
        <v>0</v>
      </c>
      <c r="M77" s="854" t="str">
        <f>TEXT('MYP Assumptions'!F75,"0.00%")&amp;", CPI"</f>
        <v>3.35%, CPI</v>
      </c>
      <c r="O77" s="83" t="str">
        <f t="shared" si="37"/>
        <v>0.00%</v>
      </c>
      <c r="P77" s="2">
        <f t="shared" si="42"/>
        <v>0</v>
      </c>
      <c r="Q77" s="854" t="str">
        <f>TEXT('MYP Assumptions'!G75,"0.00%")&amp;", CPI"</f>
        <v>3.02%, CPI</v>
      </c>
      <c r="S77" s="83" t="str">
        <f t="shared" si="38"/>
        <v>0.00%</v>
      </c>
      <c r="T77" s="2">
        <f t="shared" si="43"/>
        <v>0</v>
      </c>
      <c r="U77" s="81" t="str">
        <f>TEXT('MYP Assumptions'!H75,"0.00%")&amp;", CPI"</f>
        <v>2.73%, CPI</v>
      </c>
      <c r="W77" s="83" t="str">
        <f t="shared" si="39"/>
        <v>0.00%</v>
      </c>
      <c r="X77" s="2">
        <f t="shared" si="44"/>
        <v>0</v>
      </c>
      <c r="Y77" s="81" t="str">
        <f>TEXT('MYP Assumptions'!I75,"0.00%")&amp;", CPI"</f>
        <v>2.73%, CPI</v>
      </c>
      <c r="AA77" s="83" t="str">
        <f t="shared" si="40"/>
        <v>0.00%</v>
      </c>
      <c r="AB77" s="2">
        <f t="shared" si="45"/>
        <v>0</v>
      </c>
      <c r="AC77" s="81" t="str">
        <f>TEXT('MYP Assumptions'!J75,"0.00%")&amp;", CPI"</f>
        <v>2.73%, CPI</v>
      </c>
    </row>
    <row r="78" spans="1:29" hidden="1" x14ac:dyDescent="0.25">
      <c r="A78" s="152"/>
      <c r="B78" s="939"/>
      <c r="D78" s="2">
        <v>0</v>
      </c>
      <c r="E78" s="863"/>
      <c r="F78" s="2"/>
      <c r="G78" s="83" t="str">
        <f t="shared" si="47"/>
        <v>0.00%</v>
      </c>
      <c r="H78" s="2">
        <f>ROUND(D78*(LEFT(I78,5)+1),0)</f>
        <v>0</v>
      </c>
      <c r="I78" s="854" t="str">
        <f>TEXT('MYP Assumptions'!E75,"0.00%")&amp;", CPI"</f>
        <v>3.42%, CPI</v>
      </c>
      <c r="J78" s="66"/>
      <c r="K78" s="83" t="str">
        <f t="shared" si="36"/>
        <v>0.00%</v>
      </c>
      <c r="L78" s="2">
        <f t="shared" si="41"/>
        <v>0</v>
      </c>
      <c r="M78" s="854" t="str">
        <f>TEXT('MYP Assumptions'!F75,"0.00%")&amp;", CPI"</f>
        <v>3.35%, CPI</v>
      </c>
      <c r="O78" s="83" t="str">
        <f t="shared" si="37"/>
        <v>0.00%</v>
      </c>
      <c r="P78" s="2">
        <f t="shared" si="42"/>
        <v>0</v>
      </c>
      <c r="Q78" s="854" t="str">
        <f>TEXT('MYP Assumptions'!G75,"0.00%")&amp;", CPI"</f>
        <v>3.02%, CPI</v>
      </c>
      <c r="S78" s="83" t="str">
        <f t="shared" si="38"/>
        <v>0.00%</v>
      </c>
      <c r="T78" s="2">
        <f t="shared" si="43"/>
        <v>0</v>
      </c>
      <c r="U78" s="81" t="str">
        <f>TEXT('MYP Assumptions'!H75,"0.00%")&amp;", CPI"</f>
        <v>2.73%, CPI</v>
      </c>
      <c r="W78" s="83" t="str">
        <f t="shared" si="39"/>
        <v>0.00%</v>
      </c>
      <c r="X78" s="2">
        <f t="shared" si="44"/>
        <v>0</v>
      </c>
      <c r="Y78" s="81" t="str">
        <f>TEXT('MYP Assumptions'!I75,"0.00%")&amp;", CPI"</f>
        <v>2.73%, CPI</v>
      </c>
      <c r="AA78" s="83" t="str">
        <f t="shared" si="40"/>
        <v>0.00%</v>
      </c>
      <c r="AB78" s="2">
        <f t="shared" si="45"/>
        <v>0</v>
      </c>
      <c r="AC78" s="81" t="str">
        <f>TEXT('MYP Assumptions'!J75,"0.00%")&amp;", CPI"</f>
        <v>2.73%, CPI</v>
      </c>
    </row>
    <row r="79" spans="1:29" hidden="1" x14ac:dyDescent="0.25">
      <c r="A79" s="152"/>
      <c r="B79" s="939"/>
      <c r="D79" s="2">
        <v>0</v>
      </c>
      <c r="E79" s="863"/>
      <c r="F79" s="2"/>
      <c r="G79" s="83" t="str">
        <f t="shared" si="47"/>
        <v>0.00%</v>
      </c>
      <c r="H79" s="2">
        <f>ROUND(D79*(LEFT(I79,5)+1),0)</f>
        <v>0</v>
      </c>
      <c r="I79" s="854" t="str">
        <f>TEXT('MYP Assumptions'!E75,"0.00%")&amp;", CPI"</f>
        <v>3.42%, CPI</v>
      </c>
      <c r="J79" s="66"/>
      <c r="K79" s="83" t="str">
        <f t="shared" si="36"/>
        <v>0.00%</v>
      </c>
      <c r="L79" s="2">
        <f t="shared" si="41"/>
        <v>0</v>
      </c>
      <c r="M79" s="854" t="str">
        <f>TEXT('MYP Assumptions'!F75,"0.00%")&amp;", CPI"</f>
        <v>3.35%, CPI</v>
      </c>
      <c r="O79" s="83" t="str">
        <f t="shared" si="37"/>
        <v>0.00%</v>
      </c>
      <c r="P79" s="2">
        <f t="shared" si="42"/>
        <v>0</v>
      </c>
      <c r="Q79" s="854" t="str">
        <f>TEXT('MYP Assumptions'!G75,"0.00%")&amp;", CPI"</f>
        <v>3.02%, CPI</v>
      </c>
      <c r="S79" s="83" t="str">
        <f t="shared" si="38"/>
        <v>0.00%</v>
      </c>
      <c r="T79" s="2">
        <f t="shared" si="43"/>
        <v>0</v>
      </c>
      <c r="U79" s="81" t="str">
        <f>TEXT('MYP Assumptions'!H75,"0.00%")&amp;", CPI"</f>
        <v>2.73%, CPI</v>
      </c>
      <c r="W79" s="83" t="str">
        <f t="shared" si="39"/>
        <v>0.00%</v>
      </c>
      <c r="X79" s="2">
        <f t="shared" si="44"/>
        <v>0</v>
      </c>
      <c r="Y79" s="81" t="str">
        <f>TEXT('MYP Assumptions'!I75,"0.00%")&amp;", CPI"</f>
        <v>2.73%, CPI</v>
      </c>
      <c r="AA79" s="83" t="str">
        <f t="shared" si="40"/>
        <v>0.00%</v>
      </c>
      <c r="AB79" s="2">
        <f t="shared" si="45"/>
        <v>0</v>
      </c>
      <c r="AC79" s="81" t="str">
        <f>TEXT('MYP Assumptions'!J75,"0.00%")&amp;", CPI"</f>
        <v>2.73%, CPI</v>
      </c>
    </row>
    <row r="80" spans="1:29" hidden="1" x14ac:dyDescent="0.25">
      <c r="A80" s="152"/>
      <c r="B80" s="939"/>
      <c r="D80" s="2">
        <v>0</v>
      </c>
      <c r="E80" s="863"/>
      <c r="F80" s="2"/>
      <c r="G80" s="83" t="str">
        <f t="shared" si="47"/>
        <v>0.00%</v>
      </c>
      <c r="H80" s="2">
        <f>ROUND(D80*(LEFT(I80,5)+1),0)</f>
        <v>0</v>
      </c>
      <c r="I80" s="854" t="str">
        <f>TEXT('MYP Assumptions'!E75,"0.00%")&amp;", CPI"</f>
        <v>3.42%, CPI</v>
      </c>
      <c r="J80" s="66"/>
      <c r="K80" s="83" t="str">
        <f t="shared" si="36"/>
        <v>0.00%</v>
      </c>
      <c r="L80" s="2">
        <f t="shared" si="41"/>
        <v>0</v>
      </c>
      <c r="M80" s="854" t="str">
        <f>TEXT('MYP Assumptions'!F75,"0.00%")&amp;", CPI"</f>
        <v>3.35%, CPI</v>
      </c>
      <c r="O80" s="83" t="str">
        <f t="shared" si="37"/>
        <v>0.00%</v>
      </c>
      <c r="P80" s="2">
        <f t="shared" si="42"/>
        <v>0</v>
      </c>
      <c r="Q80" s="854" t="str">
        <f>TEXT('MYP Assumptions'!G75,"0.00%")&amp;", CPI"</f>
        <v>3.02%, CPI</v>
      </c>
      <c r="S80" s="83" t="str">
        <f t="shared" si="38"/>
        <v>0.00%</v>
      </c>
      <c r="T80" s="2">
        <f t="shared" si="43"/>
        <v>0</v>
      </c>
      <c r="U80" s="81" t="str">
        <f>TEXT('MYP Assumptions'!H75,"0.00%")&amp;", CPI"</f>
        <v>2.73%, CPI</v>
      </c>
      <c r="W80" s="83" t="str">
        <f t="shared" si="39"/>
        <v>0.00%</v>
      </c>
      <c r="X80" s="2">
        <f t="shared" si="44"/>
        <v>0</v>
      </c>
      <c r="Y80" s="81" t="str">
        <f>TEXT('MYP Assumptions'!I75,"0.00%")&amp;", CPI"</f>
        <v>2.73%, CPI</v>
      </c>
      <c r="AA80" s="83" t="str">
        <f t="shared" si="40"/>
        <v>0.00%</v>
      </c>
      <c r="AB80" s="2">
        <f t="shared" si="45"/>
        <v>0</v>
      </c>
      <c r="AC80" s="81" t="str">
        <f>TEXT('MYP Assumptions'!J75,"0.00%")&amp;", CPI"</f>
        <v>2.73%, CPI</v>
      </c>
    </row>
    <row r="81" spans="1:29" hidden="1" x14ac:dyDescent="0.25">
      <c r="A81" s="152"/>
      <c r="B81" s="939"/>
      <c r="D81" s="2">
        <f>'RS 3010-ALL'!AF80</f>
        <v>0</v>
      </c>
      <c r="E81" s="863"/>
      <c r="F81" s="2"/>
      <c r="G81" s="83" t="str">
        <f t="shared" si="47"/>
        <v>0.00%</v>
      </c>
      <c r="H81" s="2">
        <f>ROUND(D81*(LEFT(I81,5)+1),0)</f>
        <v>0</v>
      </c>
      <c r="I81" s="854" t="str">
        <f>TEXT('MYP Assumptions'!E75,"0.00%")&amp;", CPI"</f>
        <v>3.42%, CPI</v>
      </c>
      <c r="J81" s="66"/>
      <c r="K81" s="83" t="str">
        <f t="shared" si="36"/>
        <v>0.00%</v>
      </c>
      <c r="L81" s="2">
        <f t="shared" si="41"/>
        <v>0</v>
      </c>
      <c r="M81" s="854" t="str">
        <f>TEXT('MYP Assumptions'!F75,"0.00%")&amp;", CPI"</f>
        <v>3.35%, CPI</v>
      </c>
      <c r="O81" s="83" t="str">
        <f t="shared" si="37"/>
        <v>0.00%</v>
      </c>
      <c r="P81" s="2">
        <f t="shared" si="42"/>
        <v>0</v>
      </c>
      <c r="Q81" s="854" t="str">
        <f>TEXT('MYP Assumptions'!G75,"0.00%")&amp;", CPI"</f>
        <v>3.02%, CPI</v>
      </c>
      <c r="S81" s="83" t="str">
        <f t="shared" si="38"/>
        <v>0.00%</v>
      </c>
      <c r="T81" s="2">
        <f t="shared" si="43"/>
        <v>0</v>
      </c>
      <c r="U81" s="81" t="str">
        <f>TEXT('MYP Assumptions'!H75,"0.00%")&amp;", CPI"</f>
        <v>2.73%, CPI</v>
      </c>
      <c r="W81" s="83" t="str">
        <f t="shared" si="39"/>
        <v>0.00%</v>
      </c>
      <c r="X81" s="2">
        <f t="shared" si="44"/>
        <v>0</v>
      </c>
      <c r="Y81" s="81" t="str">
        <f>TEXT('MYP Assumptions'!I75,"0.00%")&amp;", CPI"</f>
        <v>2.73%, CPI</v>
      </c>
      <c r="AA81" s="83" t="str">
        <f t="shared" si="40"/>
        <v>0.00%</v>
      </c>
      <c r="AB81" s="2">
        <f t="shared" si="45"/>
        <v>0</v>
      </c>
      <c r="AC81" s="81" t="str">
        <f>TEXT('MYP Assumptions'!J75,"0.00%")&amp;", CPI"</f>
        <v>2.73%, CPI</v>
      </c>
    </row>
    <row r="82" spans="1:29" x14ac:dyDescent="0.25">
      <c r="A82" s="153"/>
      <c r="D82" s="8">
        <f>SUM(D69:D81)</f>
        <v>459915.5</v>
      </c>
      <c r="E82" s="863"/>
      <c r="F82" s="2"/>
      <c r="G82" s="83">
        <f t="shared" si="47"/>
        <v>-0.52114060082776081</v>
      </c>
      <c r="H82" s="8">
        <f>SUM(H69:H81)</f>
        <v>220234.86</v>
      </c>
      <c r="I82" s="872"/>
      <c r="J82" s="29"/>
      <c r="K82" s="83">
        <f t="shared" si="36"/>
        <v>-1</v>
      </c>
      <c r="L82" s="8">
        <f>SUM(L69:L81)</f>
        <v>0</v>
      </c>
      <c r="M82" s="948"/>
      <c r="O82" s="83" t="str">
        <f t="shared" si="37"/>
        <v>0.00%</v>
      </c>
      <c r="P82" s="8">
        <f>SUM(P69:P81)</f>
        <v>0</v>
      </c>
      <c r="Q82" s="948"/>
      <c r="S82" s="83" t="str">
        <f t="shared" si="38"/>
        <v>0.00%</v>
      </c>
      <c r="T82" s="8">
        <f>SUM(T69:T81)</f>
        <v>0</v>
      </c>
      <c r="U82" s="73"/>
      <c r="W82" s="83" t="str">
        <f t="shared" si="39"/>
        <v>0.00%</v>
      </c>
      <c r="X82" s="8">
        <f>SUM(X69:X81)</f>
        <v>0</v>
      </c>
      <c r="Y82" s="73"/>
      <c r="AA82" s="83" t="str">
        <f t="shared" si="40"/>
        <v>0.00%</v>
      </c>
      <c r="AB82" s="8">
        <f>SUM(AB69:AB81)</f>
        <v>0</v>
      </c>
      <c r="AC82" s="73"/>
    </row>
    <row r="83" spans="1:29" x14ac:dyDescent="0.25">
      <c r="A83" s="152"/>
      <c r="B83" s="936"/>
      <c r="E83" s="863"/>
      <c r="F83" s="2"/>
      <c r="G83" s="83"/>
      <c r="H83" s="2"/>
      <c r="I83" s="871"/>
      <c r="J83" s="66"/>
      <c r="L83" s="2"/>
      <c r="M83" s="948"/>
      <c r="Q83" s="948"/>
      <c r="T83" s="2"/>
      <c r="U83" s="73"/>
      <c r="X83" s="2"/>
      <c r="Y83" s="73"/>
      <c r="AB83" s="2"/>
      <c r="AC83" s="73"/>
    </row>
    <row r="84" spans="1:29" x14ac:dyDescent="0.25">
      <c r="A84" s="152"/>
      <c r="E84" s="863"/>
      <c r="F84" s="2"/>
      <c r="H84" s="2"/>
      <c r="I84" s="871"/>
      <c r="J84" s="66"/>
      <c r="L84" s="2"/>
      <c r="M84" s="948"/>
      <c r="Q84" s="948"/>
      <c r="T84" s="2"/>
      <c r="U84" s="73"/>
      <c r="X84" s="2"/>
      <c r="Y84" s="73"/>
      <c r="AB84" s="2"/>
      <c r="AC84" s="73"/>
    </row>
    <row r="85" spans="1:29" x14ac:dyDescent="0.25">
      <c r="A85" s="153"/>
      <c r="B85" s="936" t="s">
        <v>0</v>
      </c>
      <c r="D85" s="8">
        <f>SUM(D82,D66,D55,D13)</f>
        <v>459915.5</v>
      </c>
      <c r="E85" s="863"/>
      <c r="F85" s="2"/>
      <c r="G85" s="83">
        <f>IF(D85=0,"0.00%",(H85-D85)/D85)</f>
        <v>-0.52114060082776081</v>
      </c>
      <c r="H85" s="8">
        <f>SUM(H82,H66,H55,H13)</f>
        <v>220234.86</v>
      </c>
      <c r="I85" s="872"/>
      <c r="J85" s="29"/>
      <c r="K85" s="83">
        <f>IF(H85=0,"0.00%",(L85-H85)/H85)</f>
        <v>-1</v>
      </c>
      <c r="L85" s="8">
        <f>SUM(L82,L66,L55,L13)</f>
        <v>0</v>
      </c>
      <c r="M85" s="948"/>
      <c r="O85" s="83" t="str">
        <f>IF(L85=0,"0.00%",(P85-L85)/L85)</f>
        <v>0.00%</v>
      </c>
      <c r="P85" s="8">
        <f>SUM(P82,P66,P55,P13)</f>
        <v>0</v>
      </c>
      <c r="Q85" s="948"/>
      <c r="S85" s="83" t="str">
        <f>IF(P85=0,"0.00%",(T85-P85)/P85)</f>
        <v>0.00%</v>
      </c>
      <c r="T85" s="8">
        <f>SUM(T82,T66,T55,T13)</f>
        <v>0</v>
      </c>
      <c r="U85" s="73"/>
      <c r="W85" s="83" t="str">
        <f>IF(T85=0,"0.00%",(X85-T85)/T85)</f>
        <v>0.00%</v>
      </c>
      <c r="X85" s="8">
        <f>SUM(X82,X66,X55,X13)</f>
        <v>0</v>
      </c>
      <c r="Y85" s="73"/>
      <c r="AA85" s="83" t="str">
        <f>IF(X85=0,"0.00%",(AB85-X85)/X85)</f>
        <v>0.00%</v>
      </c>
      <c r="AB85" s="8">
        <f>SUM(AB82,AB66,AB55,AB13)</f>
        <v>0</v>
      </c>
      <c r="AC85" s="73"/>
    </row>
    <row r="86" spans="1:29" x14ac:dyDescent="0.25">
      <c r="A86" s="152"/>
      <c r="E86" s="863"/>
      <c r="F86" s="2"/>
      <c r="H86" s="2"/>
      <c r="I86" s="871"/>
      <c r="J86" s="66"/>
      <c r="L86" s="2"/>
      <c r="M86" s="948"/>
      <c r="Q86" s="948"/>
      <c r="T86" s="2"/>
      <c r="U86" s="73"/>
      <c r="X86" s="2"/>
      <c r="Y86" s="73"/>
      <c r="AB86" s="2"/>
      <c r="AC86" s="73"/>
    </row>
    <row r="87" spans="1:29" x14ac:dyDescent="0.25">
      <c r="A87" s="152"/>
      <c r="B87" s="936" t="s">
        <v>138</v>
      </c>
      <c r="D87" s="3">
        <f>+D11-D85</f>
        <v>6944.5</v>
      </c>
      <c r="G87" s="83">
        <f>IF(D87=0,"0.00%",(H87-D87)/D87)</f>
        <v>30.845221398228816</v>
      </c>
      <c r="H87" s="3">
        <f>H11-H85</f>
        <v>221149.14</v>
      </c>
      <c r="I87" s="871"/>
      <c r="J87" s="66"/>
      <c r="K87" s="83">
        <f>IF(H87=0,"0.00%",(L87-H87)/H87)</f>
        <v>-1</v>
      </c>
      <c r="L87" s="3">
        <f>L11-L85</f>
        <v>0</v>
      </c>
      <c r="M87" s="948"/>
      <c r="O87" s="83" t="str">
        <f>IF(L87=0,"0.00%",(P87-L87)/L87)</f>
        <v>0.00%</v>
      </c>
      <c r="P87" s="3">
        <f>P11-P85</f>
        <v>0</v>
      </c>
      <c r="Q87" s="948"/>
      <c r="S87" s="83" t="str">
        <f>IF(P87=0,"0.00%",(T87-P87)/P87)</f>
        <v>0.00%</v>
      </c>
      <c r="T87" s="3">
        <f>T11-T85</f>
        <v>0</v>
      </c>
      <c r="U87" s="73"/>
      <c r="W87" s="83" t="str">
        <f>IF(T87=0,"0.00%",(X87-T87)/T87)</f>
        <v>0.00%</v>
      </c>
      <c r="X87" s="3">
        <f>X11-X85</f>
        <v>0</v>
      </c>
      <c r="Y87" s="73"/>
      <c r="AA87" s="83" t="str">
        <f>IF(X87=0,"0.00%",(AB87-X87)/X87)</f>
        <v>0.00%</v>
      </c>
      <c r="AB87" s="3">
        <f>AB11-AB85</f>
        <v>0</v>
      </c>
      <c r="AC87" s="73"/>
    </row>
    <row r="88" spans="1:29" x14ac:dyDescent="0.25">
      <c r="B88" s="936"/>
      <c r="C88" s="930"/>
      <c r="D88" s="3"/>
      <c r="H88" s="3"/>
      <c r="I88" s="871"/>
      <c r="J88" s="66"/>
      <c r="L88" s="3"/>
      <c r="M88" s="948"/>
      <c r="P88" s="3"/>
      <c r="Q88" s="948"/>
      <c r="T88" s="44"/>
      <c r="U88" s="73"/>
      <c r="X88" s="44"/>
      <c r="Y88" s="73"/>
      <c r="AB88" s="44"/>
      <c r="AC88" s="73"/>
    </row>
    <row r="89" spans="1:29" x14ac:dyDescent="0.25">
      <c r="B89" s="936" t="s">
        <v>136</v>
      </c>
      <c r="C89" s="932"/>
      <c r="D89" s="3">
        <f>D7+D87</f>
        <v>-221149.14</v>
      </c>
      <c r="G89" s="83">
        <f>IF(D89=0,"0.00%",(H89-D89)/D89)</f>
        <v>-1</v>
      </c>
      <c r="H89" s="3">
        <f>H7+H87</f>
        <v>0</v>
      </c>
      <c r="I89" s="871"/>
      <c r="J89" s="66"/>
      <c r="K89" s="83" t="str">
        <f>IF(H89=0,"0.00%",(L89-H89)/H89)</f>
        <v>0.00%</v>
      </c>
      <c r="L89" s="3">
        <f>L7+L87</f>
        <v>0</v>
      </c>
      <c r="M89" s="948"/>
      <c r="O89" s="83" t="str">
        <f>IF(L89=0,"0.00%",(P89-L89)/L89)</f>
        <v>0.00%</v>
      </c>
      <c r="P89" s="3">
        <f>P7+P87</f>
        <v>0</v>
      </c>
      <c r="Q89" s="948"/>
      <c r="S89" s="83" t="str">
        <f>IF(P89=0,"0.00%",(T89-P89)/P89)</f>
        <v>0.00%</v>
      </c>
      <c r="T89" s="49">
        <f>T7+T87</f>
        <v>0</v>
      </c>
      <c r="U89" s="73"/>
      <c r="W89" s="83" t="str">
        <f>IF(T89=0,"0.00%",(X89-T89)/T89)</f>
        <v>0.00%</v>
      </c>
      <c r="X89" s="49">
        <f>X7+X87</f>
        <v>0</v>
      </c>
      <c r="Y89" s="73"/>
      <c r="AA89" s="83" t="str">
        <f>IF(X89=0,"0.00%",(AB89-X89)/X89)</f>
        <v>0.00%</v>
      </c>
      <c r="AB89" s="49">
        <f>AB7+AB87</f>
        <v>0</v>
      </c>
      <c r="AC89" s="73"/>
    </row>
    <row r="90" spans="1:29" x14ac:dyDescent="0.25">
      <c r="C90" s="873"/>
      <c r="G90" s="374"/>
      <c r="H90" s="5"/>
      <c r="I90" s="872"/>
      <c r="J90" s="29"/>
      <c r="L90" s="5"/>
      <c r="M90" s="948"/>
      <c r="P90" s="5"/>
      <c r="Q90" s="948"/>
      <c r="T90" s="5"/>
      <c r="U90" s="73"/>
      <c r="X90" s="5"/>
      <c r="Y90" s="73"/>
      <c r="AB90" s="5"/>
      <c r="AC90" s="73"/>
    </row>
    <row r="91" spans="1:29" x14ac:dyDescent="0.25">
      <c r="C91" s="868"/>
      <c r="G91" s="374"/>
      <c r="H91" s="36"/>
      <c r="I91" s="871"/>
      <c r="J91" s="66"/>
      <c r="L91" s="2"/>
      <c r="M91" s="948"/>
      <c r="Q91" s="948"/>
      <c r="T91" s="2"/>
      <c r="U91" s="73"/>
      <c r="X91" s="2"/>
      <c r="Y91" s="73"/>
      <c r="AB91" s="2"/>
      <c r="AC91" s="73"/>
    </row>
    <row r="92" spans="1:29" x14ac:dyDescent="0.25">
      <c r="C92" s="868"/>
      <c r="G92" s="374"/>
      <c r="H92" s="36"/>
      <c r="I92" s="871"/>
      <c r="J92" s="66"/>
      <c r="L92" s="2"/>
      <c r="M92" s="948"/>
      <c r="Q92" s="948"/>
      <c r="T92" s="2"/>
      <c r="U92" s="73"/>
      <c r="X92" s="2"/>
      <c r="Y92" s="73"/>
      <c r="AB92" s="2"/>
      <c r="AC92" s="73"/>
    </row>
    <row r="93" spans="1:29" x14ac:dyDescent="0.25">
      <c r="C93" s="868"/>
      <c r="G93" s="374"/>
      <c r="H93" s="36"/>
      <c r="I93" s="871"/>
      <c r="J93" s="66"/>
      <c r="L93" s="2"/>
      <c r="M93" s="948"/>
      <c r="Q93" s="948"/>
      <c r="T93" s="2"/>
      <c r="U93" s="73"/>
      <c r="X93" s="2"/>
      <c r="Y93" s="73"/>
      <c r="AB93" s="2"/>
      <c r="AC93" s="73"/>
    </row>
    <row r="94" spans="1:29" x14ac:dyDescent="0.25">
      <c r="C94" s="868"/>
      <c r="G94" s="374"/>
      <c r="H94" s="36"/>
      <c r="I94" s="871"/>
      <c r="J94" s="66"/>
      <c r="L94" s="2"/>
      <c r="M94" s="948"/>
      <c r="Q94" s="948"/>
      <c r="T94" s="2"/>
      <c r="U94" s="73"/>
      <c r="X94" s="2"/>
      <c r="Y94" s="73"/>
      <c r="AB94" s="2"/>
      <c r="AC94" s="73"/>
    </row>
    <row r="95" spans="1:29" s="137" customFormat="1" ht="11.25" x14ac:dyDescent="0.2">
      <c r="A95" s="156"/>
      <c r="B95" s="942"/>
      <c r="C95" s="943" t="s">
        <v>223</v>
      </c>
      <c r="D95" s="134">
        <f>+D82+D66+D53+D41+D30</f>
        <v>459915.5</v>
      </c>
      <c r="E95" s="865"/>
      <c r="G95" s="133" t="s">
        <v>223</v>
      </c>
      <c r="H95" s="134">
        <f>+H82+H66+H53+H41+H30</f>
        <v>220234.86</v>
      </c>
      <c r="I95" s="874"/>
      <c r="J95" s="135"/>
      <c r="K95" s="133" t="s">
        <v>223</v>
      </c>
      <c r="L95" s="134">
        <f>+L82+L66+L53+L41+L30</f>
        <v>0</v>
      </c>
      <c r="M95" s="951"/>
      <c r="O95" s="133" t="s">
        <v>223</v>
      </c>
      <c r="P95" s="134">
        <f>+P82+P66+P53+P41+P30</f>
        <v>0</v>
      </c>
      <c r="Q95" s="951"/>
      <c r="R95" s="139"/>
      <c r="S95" s="133" t="s">
        <v>223</v>
      </c>
      <c r="T95" s="134">
        <f>+T82+T66+T53+T41+T30</f>
        <v>0</v>
      </c>
      <c r="U95" s="138"/>
      <c r="W95" s="133" t="s">
        <v>223</v>
      </c>
      <c r="X95" s="134">
        <f>+X82+X66+X53+X41+X30</f>
        <v>0</v>
      </c>
      <c r="Y95" s="138"/>
      <c r="AA95" s="133" t="s">
        <v>223</v>
      </c>
      <c r="AB95" s="134">
        <f>+AB82+AB66+AB53+AB41+AB30</f>
        <v>0</v>
      </c>
      <c r="AC95" s="138"/>
    </row>
    <row r="96" spans="1:29" s="137" customFormat="1" ht="11.25" x14ac:dyDescent="0.2">
      <c r="A96" s="158"/>
      <c r="B96" s="942"/>
      <c r="C96" s="944" t="s">
        <v>224</v>
      </c>
      <c r="D96" s="142">
        <f>+D13</f>
        <v>0</v>
      </c>
      <c r="E96" s="866"/>
      <c r="F96" s="144"/>
      <c r="G96" s="375" t="s">
        <v>224</v>
      </c>
      <c r="H96" s="142">
        <f>+H13</f>
        <v>0</v>
      </c>
      <c r="I96" s="875"/>
      <c r="J96" s="143"/>
      <c r="K96" s="375" t="s">
        <v>224</v>
      </c>
      <c r="L96" s="142">
        <f>+L13</f>
        <v>0</v>
      </c>
      <c r="M96" s="951"/>
      <c r="O96" s="375" t="s">
        <v>224</v>
      </c>
      <c r="P96" s="142">
        <f>+P13</f>
        <v>0</v>
      </c>
      <c r="Q96" s="865"/>
      <c r="R96" s="139"/>
      <c r="S96" s="141" t="s">
        <v>224</v>
      </c>
      <c r="T96" s="142">
        <f>+T13</f>
        <v>0</v>
      </c>
      <c r="W96" s="141" t="s">
        <v>224</v>
      </c>
      <c r="X96" s="142">
        <f>+X13</f>
        <v>0</v>
      </c>
      <c r="AA96" s="141" t="s">
        <v>224</v>
      </c>
      <c r="AB96" s="142">
        <f>+AB13</f>
        <v>0</v>
      </c>
    </row>
    <row r="97" spans="1:28" s="137" customFormat="1" ht="11.25" x14ac:dyDescent="0.2">
      <c r="A97" s="158"/>
      <c r="B97" s="942"/>
      <c r="C97" s="944"/>
      <c r="D97" s="145">
        <f>+D95+D96</f>
        <v>459915.5</v>
      </c>
      <c r="E97" s="866"/>
      <c r="F97" s="144"/>
      <c r="G97" s="375"/>
      <c r="H97" s="145">
        <f>+H95+H96</f>
        <v>220234.86</v>
      </c>
      <c r="I97" s="875"/>
      <c r="J97" s="143"/>
      <c r="K97" s="375"/>
      <c r="L97" s="145">
        <f>+L95+L96</f>
        <v>0</v>
      </c>
      <c r="M97" s="865"/>
      <c r="O97" s="375"/>
      <c r="P97" s="145">
        <f>+P95+P96</f>
        <v>0</v>
      </c>
      <c r="Q97" s="865"/>
      <c r="R97" s="139"/>
      <c r="S97" s="141"/>
      <c r="T97" s="145">
        <f>+T95+T96</f>
        <v>0</v>
      </c>
      <c r="W97" s="141"/>
      <c r="X97" s="145">
        <f>+X95+X96</f>
        <v>0</v>
      </c>
      <c r="AA97" s="141"/>
      <c r="AB97" s="145">
        <f>+AB95+AB96</f>
        <v>0</v>
      </c>
    </row>
    <row r="98" spans="1:28" ht="15" customHeight="1" x14ac:dyDescent="0.25">
      <c r="A98" s="152"/>
      <c r="B98" s="945"/>
      <c r="C98" s="945"/>
      <c r="D98" s="5">
        <f>+D85-D97</f>
        <v>0</v>
      </c>
      <c r="E98" s="863"/>
      <c r="F98" s="2"/>
      <c r="G98" s="376"/>
      <c r="H98" s="5">
        <f>+H85-H97</f>
        <v>0</v>
      </c>
      <c r="K98" s="376"/>
      <c r="L98" s="5">
        <f>+L85-L97</f>
        <v>0</v>
      </c>
      <c r="O98" s="376"/>
      <c r="P98" s="5">
        <f>+P85-P97</f>
        <v>0</v>
      </c>
      <c r="S98" s="103"/>
      <c r="T98" s="5">
        <f>+T85-T97</f>
        <v>0</v>
      </c>
      <c r="W98" s="103"/>
      <c r="X98" s="5">
        <f>+X85-X97</f>
        <v>0</v>
      </c>
      <c r="AA98" s="103"/>
      <c r="AB98" s="5">
        <f>+AB85-AB97</f>
        <v>0</v>
      </c>
    </row>
    <row r="99" spans="1:28" x14ac:dyDescent="0.25">
      <c r="A99" s="152"/>
      <c r="B99" s="945"/>
      <c r="C99" s="945"/>
      <c r="D99" s="36"/>
      <c r="E99" s="863"/>
      <c r="F99" s="2"/>
    </row>
    <row r="100" spans="1:28" x14ac:dyDescent="0.25">
      <c r="A100" s="152"/>
      <c r="B100" s="932"/>
      <c r="C100" s="868"/>
      <c r="D100" s="25"/>
      <c r="E100" s="863"/>
      <c r="F100" s="2"/>
    </row>
    <row r="101" spans="1:28" x14ac:dyDescent="0.25">
      <c r="B101" s="932"/>
      <c r="C101" s="868"/>
      <c r="D101" s="36"/>
    </row>
    <row r="102" spans="1:28" x14ac:dyDescent="0.25">
      <c r="B102" s="932"/>
      <c r="C102" s="868"/>
      <c r="D102" s="36"/>
    </row>
    <row r="103" spans="1:28" ht="15" customHeight="1" x14ac:dyDescent="0.25">
      <c r="B103" s="932"/>
      <c r="C103" s="868"/>
      <c r="D103" s="36"/>
    </row>
    <row r="104" spans="1:28" x14ac:dyDescent="0.25">
      <c r="B104" s="932"/>
      <c r="C104" s="868"/>
      <c r="D104" s="36"/>
    </row>
    <row r="105" spans="1:28" x14ac:dyDescent="0.25">
      <c r="B105" s="932"/>
      <c r="C105" s="868"/>
      <c r="D105" s="36"/>
    </row>
    <row r="106" spans="1:28" ht="15" customHeight="1" x14ac:dyDescent="0.25">
      <c r="B106" s="2209"/>
      <c r="C106" s="2209"/>
      <c r="D106" s="36"/>
    </row>
    <row r="107" spans="1:28" x14ac:dyDescent="0.25">
      <c r="B107" s="2209"/>
      <c r="C107" s="2209"/>
      <c r="D107" s="36"/>
    </row>
    <row r="108" spans="1:28" x14ac:dyDescent="0.25">
      <c r="B108" s="932"/>
      <c r="C108" s="868"/>
      <c r="D108" s="6"/>
    </row>
    <row r="109" spans="1:28" x14ac:dyDescent="0.25">
      <c r="B109" s="932"/>
      <c r="C109" s="868"/>
      <c r="D109" s="36"/>
    </row>
    <row r="110" spans="1:28" x14ac:dyDescent="0.25">
      <c r="B110" s="932"/>
      <c r="C110" s="868"/>
      <c r="D110" s="36"/>
    </row>
    <row r="111" spans="1:28" ht="28.5" customHeight="1" x14ac:dyDescent="0.25">
      <c r="B111" s="932"/>
      <c r="C111" s="868"/>
      <c r="D111" s="25"/>
    </row>
    <row r="112" spans="1:28" x14ac:dyDescent="0.25">
      <c r="B112" s="932"/>
      <c r="C112" s="868"/>
      <c r="D112" s="36"/>
    </row>
    <row r="113" spans="2:4" x14ac:dyDescent="0.25">
      <c r="B113" s="932"/>
      <c r="C113" s="868"/>
      <c r="D113" s="36"/>
    </row>
    <row r="114" spans="2:4" x14ac:dyDescent="0.25">
      <c r="B114" s="932"/>
      <c r="C114" s="868"/>
      <c r="D114" s="36"/>
    </row>
    <row r="115" spans="2:4" x14ac:dyDescent="0.25">
      <c r="B115" s="932"/>
      <c r="C115" s="868"/>
      <c r="D115" s="36"/>
    </row>
    <row r="116" spans="2:4" x14ac:dyDescent="0.25">
      <c r="B116" s="932"/>
      <c r="C116" s="868"/>
      <c r="D116" s="36"/>
    </row>
    <row r="117" spans="2:4" x14ac:dyDescent="0.25">
      <c r="B117" s="932"/>
      <c r="C117" s="868"/>
      <c r="D117" s="36"/>
    </row>
    <row r="118" spans="2:4" x14ac:dyDescent="0.25">
      <c r="B118" s="932"/>
      <c r="C118" s="868"/>
      <c r="D118" s="36"/>
    </row>
    <row r="119" spans="2:4" x14ac:dyDescent="0.25">
      <c r="B119" s="932"/>
      <c r="C119" s="868"/>
      <c r="D119" s="36"/>
    </row>
    <row r="120" spans="2:4" x14ac:dyDescent="0.25">
      <c r="B120" s="932"/>
      <c r="C120" s="868"/>
      <c r="D120" s="36"/>
    </row>
    <row r="121" spans="2:4" x14ac:dyDescent="0.25">
      <c r="B121" s="932"/>
      <c r="C121" s="868"/>
      <c r="D121" s="36"/>
    </row>
    <row r="122" spans="2:4" x14ac:dyDescent="0.25">
      <c r="B122" s="932"/>
      <c r="C122" s="868"/>
      <c r="D122" s="36"/>
    </row>
    <row r="123" spans="2:4" x14ac:dyDescent="0.25">
      <c r="B123" s="932"/>
      <c r="C123" s="868"/>
      <c r="D123" s="36"/>
    </row>
    <row r="124" spans="2:4" x14ac:dyDescent="0.25">
      <c r="B124" s="932"/>
      <c r="C124" s="868"/>
      <c r="D124" s="36"/>
    </row>
    <row r="125" spans="2:4" x14ac:dyDescent="0.25">
      <c r="B125" s="932"/>
      <c r="C125" s="868"/>
      <c r="D125" s="36"/>
    </row>
    <row r="126" spans="2:4" x14ac:dyDescent="0.25">
      <c r="B126" s="932"/>
      <c r="C126" s="868"/>
      <c r="D126" s="36"/>
    </row>
  </sheetData>
  <sheetProtection password="B79F" sheet="1" objects="1" scenarios="1"/>
  <mergeCells count="1">
    <mergeCell ref="B106:C107"/>
  </mergeCells>
  <pageMargins left="0.25" right="0.25" top="0.5" bottom="0.5" header="0.25" footer="0.25"/>
  <pageSetup paperSize="5" scale="73" orientation="portrait" r:id="rId1"/>
  <headerFooter>
    <oddHeader>&amp;L&amp;F</oddHeader>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R107"/>
  <sheetViews>
    <sheetView showGridLines="0" zoomScale="80" zoomScaleNormal="80" workbookViewId="0">
      <pane ySplit="2" topLeftCell="A21" activePane="bottomLeft" state="frozen"/>
      <selection activeCell="M53" sqref="M53"/>
      <selection pane="bottomLeft" activeCell="H32" sqref="H32"/>
    </sheetView>
  </sheetViews>
  <sheetFormatPr defaultRowHeight="15.75" x14ac:dyDescent="0.25"/>
  <cols>
    <col min="1" max="1" width="1.28515625" style="1371" customWidth="1"/>
    <col min="2" max="2" width="1.85546875" style="1371" customWidth="1"/>
    <col min="3" max="3" width="1.85546875" style="1370" customWidth="1"/>
    <col min="4" max="4" width="69" style="1370" customWidth="1"/>
    <col min="5" max="5" width="3.5703125" style="228" hidden="1" customWidth="1"/>
    <col min="6" max="9" width="21.7109375" style="228" customWidth="1"/>
    <col min="10" max="12" width="21.7109375" style="228" hidden="1" customWidth="1"/>
    <col min="13" max="13" width="18.7109375" style="1974" customWidth="1"/>
    <col min="14" max="14" width="18.7109375" style="1944" customWidth="1"/>
    <col min="15" max="15" width="18.7109375" style="1976" customWidth="1"/>
    <col min="16" max="16" width="13" style="1939" bestFit="1" customWidth="1"/>
    <col min="17" max="17" width="18.7109375" style="1976" customWidth="1"/>
    <col min="18" max="18" width="11.42578125" style="1798" bestFit="1" customWidth="1"/>
    <col min="19" max="20" width="11.42578125" style="1798" customWidth="1"/>
    <col min="21" max="22" width="23.28515625" style="1826" customWidth="1"/>
    <col min="23" max="23" width="23.28515625" style="1572" customWidth="1"/>
    <col min="24" max="24" width="23.28515625" style="802" customWidth="1"/>
    <col min="25" max="25" width="17.28515625" style="1296" customWidth="1"/>
    <col min="26" max="26" width="26.140625" style="1296" customWidth="1"/>
    <col min="27" max="27" width="19.5703125" style="1296" bestFit="1" customWidth="1"/>
    <col min="28" max="28" width="13.140625" style="1296" bestFit="1" customWidth="1"/>
    <col min="29" max="31" width="13.5703125" style="1296" customWidth="1"/>
    <col min="32" max="32" width="4" style="1296" customWidth="1"/>
    <col min="33" max="33" width="7.85546875" style="1296" customWidth="1"/>
    <col min="34" max="37" width="11" style="1296" customWidth="1"/>
    <col min="38" max="38" width="9.140625" style="1296" customWidth="1"/>
    <col min="39" max="39" width="9.140625" style="1296"/>
    <col min="40" max="40" width="18.28515625" style="1296" customWidth="1"/>
    <col min="41" max="16384" width="9.140625" style="1296"/>
  </cols>
  <sheetData>
    <row r="1" spans="1:44" s="1295" customFormat="1" ht="18" customHeight="1" thickTop="1" x14ac:dyDescent="0.3">
      <c r="A1" s="2189" t="s">
        <v>353</v>
      </c>
      <c r="B1" s="2190"/>
      <c r="C1" s="2190"/>
      <c r="D1" s="2190"/>
      <c r="E1" s="1527" t="str">
        <f>+COMBINED!E1</f>
        <v>2015-2016</v>
      </c>
      <c r="F1" s="1544" t="str">
        <f>+COMBINED!F1</f>
        <v>2016-2017</v>
      </c>
      <c r="G1" s="1545" t="str">
        <f>+COMBINED!G1</f>
        <v>2017-2018</v>
      </c>
      <c r="H1" s="1546" t="str">
        <f>+COMBINED!H1</f>
        <v>2018-2019</v>
      </c>
      <c r="I1" s="1547" t="str">
        <f>+COMBINED!I1</f>
        <v>2019-2020</v>
      </c>
      <c r="J1" s="1547" t="str">
        <f>+COMBINED!J1</f>
        <v>2020-2021</v>
      </c>
      <c r="K1" s="1547" t="str">
        <f>+COMBINED!K1</f>
        <v>2021-2022</v>
      </c>
      <c r="L1" s="1547" t="str">
        <f>+COMBINED!L1</f>
        <v>2022-2023</v>
      </c>
      <c r="M1" s="1960"/>
      <c r="N1" s="1945"/>
      <c r="O1" s="1975"/>
      <c r="P1" s="1947"/>
      <c r="Q1" s="1975"/>
      <c r="R1" s="1946"/>
      <c r="S1" s="1946"/>
      <c r="T1" s="1946"/>
      <c r="U1" s="1825"/>
      <c r="V1" s="1809"/>
      <c r="W1" s="1809"/>
      <c r="X1" s="1810"/>
      <c r="Y1" s="1772"/>
    </row>
    <row r="2" spans="1:44" s="1295" customFormat="1" ht="36" x14ac:dyDescent="0.3">
      <c r="A2" s="2191"/>
      <c r="B2" s="2192"/>
      <c r="C2" s="2192"/>
      <c r="D2" s="2192"/>
      <c r="E2" s="1541"/>
      <c r="F2" s="1582" t="s">
        <v>902</v>
      </c>
      <c r="G2" s="1907" t="s">
        <v>1006</v>
      </c>
      <c r="H2" s="1760" t="s">
        <v>903</v>
      </c>
      <c r="I2" s="1761" t="s">
        <v>903</v>
      </c>
      <c r="J2" s="1542" t="s">
        <v>903</v>
      </c>
      <c r="K2" s="1542" t="s">
        <v>903</v>
      </c>
      <c r="L2" s="1542" t="s">
        <v>903</v>
      </c>
      <c r="M2" s="1960"/>
      <c r="N2" s="1945"/>
      <c r="O2" s="1975"/>
      <c r="P2" s="1947"/>
      <c r="Q2" s="1975"/>
      <c r="R2" s="1946"/>
      <c r="S2" s="1946"/>
      <c r="T2" s="1946"/>
      <c r="U2" s="1825"/>
      <c r="V2" s="1809"/>
      <c r="W2" s="1809"/>
      <c r="X2" s="1810"/>
      <c r="Y2" s="1772"/>
    </row>
    <row r="3" spans="1:44" x14ac:dyDescent="0.25">
      <c r="A3" s="1533"/>
      <c r="B3" s="1534"/>
      <c r="C3" s="1535"/>
      <c r="D3" s="1535"/>
      <c r="E3" s="219"/>
      <c r="F3" s="1536"/>
      <c r="G3" s="1537"/>
      <c r="H3" s="1538"/>
      <c r="I3" s="1539"/>
      <c r="J3" s="1539"/>
      <c r="K3" s="1539"/>
      <c r="L3" s="1539"/>
      <c r="M3" s="1961"/>
      <c r="V3" s="1572"/>
      <c r="X3" s="456"/>
      <c r="Y3" s="1773"/>
      <c r="AA3" s="1774" t="s">
        <v>725</v>
      </c>
    </row>
    <row r="4" spans="1:44" ht="18" x14ac:dyDescent="0.25">
      <c r="A4" s="1372"/>
      <c r="B4" s="1329" t="s">
        <v>354</v>
      </c>
      <c r="C4" s="1330"/>
      <c r="D4" s="1330"/>
      <c r="E4" s="673"/>
      <c r="F4" s="1092"/>
      <c r="G4" s="1160"/>
      <c r="H4" s="1129"/>
      <c r="I4" s="674"/>
      <c r="J4" s="674"/>
      <c r="K4" s="674"/>
      <c r="L4" s="674"/>
      <c r="M4" s="1962"/>
      <c r="N4" s="1948"/>
      <c r="O4" s="1977"/>
      <c r="P4" s="1950"/>
      <c r="Q4" s="1977"/>
      <c r="R4" s="1949"/>
      <c r="S4" s="1949"/>
      <c r="T4" s="1949"/>
      <c r="V4" s="1572"/>
      <c r="X4" s="456"/>
      <c r="Y4" s="1773"/>
      <c r="AA4" s="1775">
        <f>+G5-F5</f>
        <v>851719.93999999762</v>
      </c>
      <c r="AB4" s="1775">
        <f>+H5-G5</f>
        <v>1790746</v>
      </c>
      <c r="AC4" s="1775">
        <f>+I5-H5</f>
        <v>1737438</v>
      </c>
    </row>
    <row r="5" spans="1:44" ht="18" x14ac:dyDescent="0.25">
      <c r="A5" s="1373"/>
      <c r="B5" s="1332"/>
      <c r="C5" s="745" t="s">
        <v>706</v>
      </c>
      <c r="D5" s="745"/>
      <c r="E5" s="623"/>
      <c r="F5" s="1093">
        <f>+'RS 00XX &amp; 1400'!D10+'RS 0653'!D9+'RS 0654'!D9+'RS 0655'!D9+'RS 0617'!D9</f>
        <v>64149318.060000002</v>
      </c>
      <c r="G5" s="1161">
        <f>+'RS 00XX &amp; 1400'!H10+'RS 0653'!H9+'RS 0654'!H9+'RS 0655'!H9+'RS 0617'!H11</f>
        <v>65001038</v>
      </c>
      <c r="H5" s="1901">
        <f>+'RS 00XX &amp; 1400'!L10+'RS 0653'!L9+'RS 0654'!L9+'RS 0655'!L9+'RS 0617'!L11</f>
        <v>66791784</v>
      </c>
      <c r="I5" s="669">
        <f>+'RS 00XX &amp; 1400'!P10+'RS 0653'!P9+'RS 0654'!P9+'RS 0655'!P9+'RS 0617'!P11</f>
        <v>68529222</v>
      </c>
      <c r="J5" s="669">
        <v>71555411</v>
      </c>
      <c r="K5" s="669">
        <f>+J5*1.0266</f>
        <v>73458784.932599992</v>
      </c>
      <c r="L5" s="669">
        <f>+K5*1.0266</f>
        <v>75412788.611807153</v>
      </c>
      <c r="M5" s="1963">
        <f>+G5-F5</f>
        <v>851719.93999999762</v>
      </c>
      <c r="N5" s="1940">
        <f>IFERROR(M5/F5,0)</f>
        <v>1.3277147220853833E-2</v>
      </c>
      <c r="O5" s="1963">
        <f>+H5-G5</f>
        <v>1790746</v>
      </c>
      <c r="P5" s="1940">
        <f>IFERROR(O5/G5,0)</f>
        <v>2.7549498517239063E-2</v>
      </c>
      <c r="Q5" s="1963">
        <f>+I5-H5</f>
        <v>1737438</v>
      </c>
      <c r="R5" s="1940">
        <f>IFERROR(Q5/H5,0)</f>
        <v>2.6012750310726841E-2</v>
      </c>
      <c r="S5" s="1953"/>
      <c r="T5" s="1953"/>
      <c r="V5" s="1572"/>
      <c r="X5" s="456"/>
      <c r="Y5" s="1773"/>
      <c r="AA5" s="1776">
        <f>+AA4/F5</f>
        <v>1.3277147220853833E-2</v>
      </c>
      <c r="AB5" s="1776">
        <f>+AB4/G5</f>
        <v>2.7549498517239063E-2</v>
      </c>
      <c r="AC5" s="1776">
        <f>+AC4/H5</f>
        <v>2.6012750310726841E-2</v>
      </c>
    </row>
    <row r="6" spans="1:44" ht="18" x14ac:dyDescent="0.25">
      <c r="A6" s="1373"/>
      <c r="B6" s="1332"/>
      <c r="C6" s="745"/>
      <c r="D6" s="1374" t="s">
        <v>879</v>
      </c>
      <c r="E6" s="1091"/>
      <c r="F6" s="1094">
        <v>0</v>
      </c>
      <c r="G6" s="1162">
        <v>0</v>
      </c>
      <c r="H6" s="1902">
        <v>0</v>
      </c>
      <c r="I6" s="654">
        <v>0</v>
      </c>
      <c r="J6" s="654"/>
      <c r="K6" s="654"/>
      <c r="L6" s="654"/>
      <c r="M6" s="1963">
        <f>+G6-F6</f>
        <v>0</v>
      </c>
      <c r="N6" s="1940">
        <f t="shared" ref="N6:N13" si="0">IFERROR(M6/F6,0)</f>
        <v>0</v>
      </c>
      <c r="O6" s="1963">
        <f>+H6-G6</f>
        <v>0</v>
      </c>
      <c r="P6" s="1940">
        <f t="shared" ref="P6:P13" si="1">IFERROR(O6/G6,0)</f>
        <v>0</v>
      </c>
      <c r="Q6" s="1963">
        <f t="shared" ref="Q6:Q13" si="2">+I6-H6</f>
        <v>0</v>
      </c>
      <c r="R6" s="1940">
        <f t="shared" ref="R6:R13" si="3">IFERROR(Q6/H6,0)</f>
        <v>0</v>
      </c>
      <c r="S6" s="1953"/>
      <c r="T6" s="1953"/>
      <c r="V6" s="1807"/>
      <c r="W6" s="1807"/>
      <c r="X6" s="457"/>
      <c r="Y6" s="1306"/>
      <c r="Z6" s="1297"/>
      <c r="AA6" s="1776"/>
      <c r="AB6" s="1776"/>
      <c r="AC6" s="1776"/>
    </row>
    <row r="7" spans="1:44" ht="18" x14ac:dyDescent="0.25">
      <c r="A7" s="1375"/>
      <c r="B7" s="1334"/>
      <c r="C7" s="737" t="s">
        <v>531</v>
      </c>
      <c r="D7" s="737"/>
      <c r="E7" s="625"/>
      <c r="F7" s="1095">
        <f>+'RS 00XX &amp; 1400'!D11</f>
        <v>100830.73</v>
      </c>
      <c r="G7" s="1163">
        <f>+'RS 00XX &amp; 1400'!H11</f>
        <v>51751</v>
      </c>
      <c r="H7" s="1903">
        <f>+'RS 00XX &amp; 1400'!L11</f>
        <v>0</v>
      </c>
      <c r="I7" s="653">
        <f>+'RS 00XX &amp; 1400'!P11</f>
        <v>0</v>
      </c>
      <c r="J7" s="653"/>
      <c r="K7" s="653"/>
      <c r="L7" s="653"/>
      <c r="M7" s="1963">
        <f t="shared" ref="M7:M13" si="4">+G7-F7</f>
        <v>-49079.729999999996</v>
      </c>
      <c r="N7" s="1940">
        <f t="shared" si="0"/>
        <v>-0.48675369106223865</v>
      </c>
      <c r="O7" s="1963">
        <f>+H7-G7</f>
        <v>-51751</v>
      </c>
      <c r="P7" s="1940">
        <f t="shared" si="1"/>
        <v>-1</v>
      </c>
      <c r="Q7" s="1963">
        <f t="shared" si="2"/>
        <v>0</v>
      </c>
      <c r="R7" s="1940">
        <f t="shared" si="3"/>
        <v>0</v>
      </c>
      <c r="S7" s="1953"/>
      <c r="T7" s="1953"/>
      <c r="U7" s="1827"/>
      <c r="V7" s="1807"/>
      <c r="W7" s="1807"/>
      <c r="X7" s="457"/>
      <c r="Y7" s="1306"/>
      <c r="Z7" s="1297"/>
    </row>
    <row r="8" spans="1:44" ht="18" hidden="1" x14ac:dyDescent="0.25">
      <c r="A8" s="1489"/>
      <c r="B8" s="1490"/>
      <c r="C8" s="1491"/>
      <c r="D8" s="1491"/>
      <c r="E8" s="1492"/>
      <c r="F8" s="1095"/>
      <c r="G8" s="1163"/>
      <c r="H8" s="1903"/>
      <c r="I8" s="653"/>
      <c r="J8" s="653"/>
      <c r="K8" s="653"/>
      <c r="L8" s="653"/>
      <c r="M8" s="1963">
        <f t="shared" si="4"/>
        <v>0</v>
      </c>
      <c r="N8" s="1940">
        <f t="shared" si="0"/>
        <v>0</v>
      </c>
      <c r="O8" s="1963">
        <f t="shared" ref="O8:O13" si="5">+H8-G8</f>
        <v>0</v>
      </c>
      <c r="P8" s="1940">
        <f t="shared" si="1"/>
        <v>0</v>
      </c>
      <c r="Q8" s="1963">
        <f t="shared" si="2"/>
        <v>0</v>
      </c>
      <c r="R8" s="1940">
        <f t="shared" si="3"/>
        <v>0</v>
      </c>
      <c r="S8" s="1953"/>
      <c r="T8" s="1953"/>
      <c r="U8" s="1827"/>
      <c r="V8" s="1807"/>
      <c r="W8" s="1807"/>
      <c r="X8" s="457"/>
      <c r="Y8" s="1306"/>
      <c r="Z8" s="1297"/>
    </row>
    <row r="9" spans="1:44" ht="18" x14ac:dyDescent="0.25">
      <c r="A9" s="1375"/>
      <c r="B9" s="1334"/>
      <c r="C9" s="737" t="s">
        <v>357</v>
      </c>
      <c r="D9" s="737"/>
      <c r="E9" s="625"/>
      <c r="F9" s="1095">
        <f>+'RS 00XX &amp; 1400'!D12+'RS 00XX &amp; 1400'!D14+'RS 1100'!D9</f>
        <v>1417478.97</v>
      </c>
      <c r="G9" s="1163">
        <f>+'RS 00XX &amp; 1400'!H12+'RS 00XX &amp; 1400'!H14+'RS 1100'!H11</f>
        <v>1435696</v>
      </c>
      <c r="H9" s="1903">
        <f>+'RS 00XX &amp; 1400'!L12+'RS 00XX &amp; 1400'!L14+'RS 1100'!L9</f>
        <v>1432542.2515</v>
      </c>
      <c r="I9" s="653">
        <f>+'RS 00XX &amp; 1400'!P12+'RS 00XX &amp; 1400'!P14+'RS 1100'!P9</f>
        <v>1460316.8244102499</v>
      </c>
      <c r="J9" s="653" t="e">
        <f>(I9)*(1+#REF!)</f>
        <v>#REF!</v>
      </c>
      <c r="K9" s="653" t="e">
        <f>(J9)*(1+#REF!)</f>
        <v>#REF!</v>
      </c>
      <c r="L9" s="653" t="e">
        <f>(K9)*(1+#REF!)</f>
        <v>#REF!</v>
      </c>
      <c r="M9" s="1963">
        <f t="shared" si="4"/>
        <v>18217.030000000028</v>
      </c>
      <c r="N9" s="1940">
        <f t="shared" si="0"/>
        <v>1.2851710949898627E-2</v>
      </c>
      <c r="O9" s="1963">
        <f t="shared" si="5"/>
        <v>-3153.748499999987</v>
      </c>
      <c r="P9" s="1940">
        <f t="shared" si="1"/>
        <v>-2.1966687237409501E-3</v>
      </c>
      <c r="Q9" s="1963">
        <f t="shared" si="2"/>
        <v>27774.572910249932</v>
      </c>
      <c r="R9" s="1940">
        <f t="shared" si="3"/>
        <v>1.9388309755727948E-2</v>
      </c>
      <c r="S9" s="1953"/>
      <c r="T9" s="1953"/>
      <c r="U9" s="1827"/>
      <c r="V9" s="1807"/>
      <c r="W9" s="1807"/>
      <c r="X9" s="457"/>
      <c r="Y9" s="1306"/>
      <c r="Z9" s="1297"/>
    </row>
    <row r="10" spans="1:44" ht="18" x14ac:dyDescent="0.25">
      <c r="A10" s="1376"/>
      <c r="B10" s="1377"/>
      <c r="C10" s="1378"/>
      <c r="D10" s="1335" t="s">
        <v>358</v>
      </c>
      <c r="E10" s="626"/>
      <c r="F10" s="1094">
        <f>+'RS 00XX &amp; 1400'!D13</f>
        <v>1687542</v>
      </c>
      <c r="G10" s="1162">
        <f>+'RS 00XX &amp; 1400'!H13</f>
        <v>1143299</v>
      </c>
      <c r="H10" s="1902">
        <f>+'RS 00XX &amp; 1400'!L13</f>
        <v>0</v>
      </c>
      <c r="I10" s="654">
        <f>+'RS 00XX &amp; 1400'!P13</f>
        <v>0</v>
      </c>
      <c r="J10" s="654">
        <v>0</v>
      </c>
      <c r="K10" s="654">
        <v>0</v>
      </c>
      <c r="L10" s="654">
        <v>0</v>
      </c>
      <c r="M10" s="1963">
        <f>+G10-F10</f>
        <v>-544243</v>
      </c>
      <c r="N10" s="1940">
        <f t="shared" si="0"/>
        <v>-0.32250634354581992</v>
      </c>
      <c r="O10" s="1963">
        <f t="shared" si="5"/>
        <v>-1143299</v>
      </c>
      <c r="P10" s="1940">
        <f t="shared" si="1"/>
        <v>-1</v>
      </c>
      <c r="Q10" s="1963">
        <f t="shared" si="2"/>
        <v>0</v>
      </c>
      <c r="R10" s="1940">
        <f t="shared" si="3"/>
        <v>0</v>
      </c>
      <c r="S10" s="1953"/>
      <c r="T10" s="1953"/>
      <c r="U10" s="1827"/>
      <c r="V10" s="1807"/>
      <c r="W10" s="1807"/>
      <c r="X10" s="457"/>
      <c r="Y10" s="1306"/>
      <c r="Z10" s="1297"/>
    </row>
    <row r="11" spans="1:44" ht="18.75" x14ac:dyDescent="0.3">
      <c r="A11" s="1375"/>
      <c r="B11" s="1334"/>
      <c r="C11" s="737" t="s">
        <v>359</v>
      </c>
      <c r="D11" s="737"/>
      <c r="E11" s="625"/>
      <c r="F11" s="1095">
        <f>+SUM('RS 00XX &amp; 1400'!D17:D23)+'RS 0655'!D10</f>
        <v>629241.15000000014</v>
      </c>
      <c r="G11" s="1163">
        <f>+SUM('RS 00XX &amp; 1400'!H15:H23)+'RS 0655'!H10</f>
        <v>490368</v>
      </c>
      <c r="H11" s="1903">
        <f>+SUM('RS 00XX &amp; 1400'!L17:L23)+'RS 0655'!L10</f>
        <v>500760.41200000001</v>
      </c>
      <c r="I11" s="653">
        <f>+SUM('RS 00XX &amp; 1400'!P17:P23)+'RS 0655'!P10</f>
        <v>512363.78168200003</v>
      </c>
      <c r="J11" s="653">
        <f t="shared" ref="J11:L11" si="6">+I11</f>
        <v>512363.78168200003</v>
      </c>
      <c r="K11" s="653">
        <f t="shared" si="6"/>
        <v>512363.78168200003</v>
      </c>
      <c r="L11" s="653">
        <f t="shared" si="6"/>
        <v>512363.78168200003</v>
      </c>
      <c r="M11" s="1963">
        <f t="shared" si="4"/>
        <v>-138873.15000000014</v>
      </c>
      <c r="N11" s="1940">
        <f t="shared" si="0"/>
        <v>-0.2206994091216064</v>
      </c>
      <c r="O11" s="1963">
        <f t="shared" si="5"/>
        <v>10392.412000000011</v>
      </c>
      <c r="P11" s="1940">
        <f t="shared" si="1"/>
        <v>2.1193087640302817E-2</v>
      </c>
      <c r="Q11" s="1963">
        <f t="shared" si="2"/>
        <v>11603.369682000019</v>
      </c>
      <c r="R11" s="1940">
        <f t="shared" si="3"/>
        <v>2.3171499591305589E-2</v>
      </c>
      <c r="S11" s="1953"/>
      <c r="T11" s="1953"/>
      <c r="U11" s="1803"/>
      <c r="V11" s="1807"/>
      <c r="W11" s="1807"/>
      <c r="X11" s="457"/>
      <c r="Y11" s="1306"/>
      <c r="Z11" s="1297"/>
    </row>
    <row r="12" spans="1:44" ht="20.25" x14ac:dyDescent="0.4">
      <c r="A12" s="1379"/>
      <c r="B12" s="1380"/>
      <c r="C12" s="1381"/>
      <c r="D12" s="1382" t="s">
        <v>667</v>
      </c>
      <c r="E12" s="240"/>
      <c r="F12" s="1096">
        <f>+'RS 00XX &amp; 1400'!D15+'RS 00XX &amp; 1400'!D16</f>
        <v>807000</v>
      </c>
      <c r="G12" s="1164">
        <f>+'RS 00XX &amp; 1400'!H15+'RS 00XX &amp; 1400'!H16</f>
        <v>0</v>
      </c>
      <c r="H12" s="1904">
        <f>+'RS 00XX &amp; 1400'!L15+'RS 00XX &amp; 1400'!L16</f>
        <v>0</v>
      </c>
      <c r="I12" s="675">
        <f>+'RS 00XX &amp; 1400'!P15+'RS 00XX &amp; 1400'!P16</f>
        <v>0</v>
      </c>
      <c r="J12" s="675">
        <v>0</v>
      </c>
      <c r="K12" s="675">
        <v>0</v>
      </c>
      <c r="L12" s="675">
        <v>0</v>
      </c>
      <c r="M12" s="1963">
        <f t="shared" si="4"/>
        <v>-807000</v>
      </c>
      <c r="N12" s="1940">
        <f t="shared" si="0"/>
        <v>-1</v>
      </c>
      <c r="O12" s="1963">
        <f t="shared" si="5"/>
        <v>0</v>
      </c>
      <c r="P12" s="1940">
        <f t="shared" si="1"/>
        <v>0</v>
      </c>
      <c r="Q12" s="1963">
        <f t="shared" si="2"/>
        <v>0</v>
      </c>
      <c r="R12" s="1940">
        <f t="shared" si="3"/>
        <v>0</v>
      </c>
      <c r="S12" s="1953"/>
      <c r="T12" s="1953"/>
      <c r="U12" s="1828"/>
      <c r="V12" s="1807"/>
      <c r="W12" s="1807"/>
      <c r="X12" s="457"/>
      <c r="Y12" s="1306"/>
      <c r="Z12" s="1297"/>
    </row>
    <row r="13" spans="1:44" ht="18" customHeight="1" thickBot="1" x14ac:dyDescent="0.3">
      <c r="A13" s="1339"/>
      <c r="B13" s="1340" t="s">
        <v>360</v>
      </c>
      <c r="C13" s="1348"/>
      <c r="D13" s="1348"/>
      <c r="E13" s="630"/>
      <c r="F13" s="1097">
        <f>SUM(F5:F12)</f>
        <v>68791410.909999996</v>
      </c>
      <c r="G13" s="1165">
        <f>SUM(G5:G12)</f>
        <v>68122152</v>
      </c>
      <c r="H13" s="1133">
        <f>SUM(H5:H12)</f>
        <v>68725086.663499996</v>
      </c>
      <c r="I13" s="660">
        <f>SUM(I5:I12)</f>
        <v>70501902.606092244</v>
      </c>
      <c r="J13" s="660" t="e">
        <f t="shared" ref="J13:L13" si="7">SUM(J5:J12)</f>
        <v>#REF!</v>
      </c>
      <c r="K13" s="660" t="e">
        <f t="shared" si="7"/>
        <v>#REF!</v>
      </c>
      <c r="L13" s="660" t="e">
        <f t="shared" si="7"/>
        <v>#REF!</v>
      </c>
      <c r="M13" s="1963">
        <f t="shared" si="4"/>
        <v>-669258.90999999642</v>
      </c>
      <c r="N13" s="1940">
        <f t="shared" si="0"/>
        <v>-9.7288149951683615E-3</v>
      </c>
      <c r="O13" s="1963">
        <f t="shared" si="5"/>
        <v>602934.66349999607</v>
      </c>
      <c r="P13" s="1940">
        <f t="shared" si="1"/>
        <v>8.8507870905193374E-3</v>
      </c>
      <c r="Q13" s="1963">
        <f t="shared" si="2"/>
        <v>1776815.9425922483</v>
      </c>
      <c r="R13" s="1940">
        <f t="shared" si="3"/>
        <v>2.5853964379733814E-2</v>
      </c>
      <c r="S13" s="1953"/>
      <c r="T13" s="1953"/>
      <c r="U13" s="1829"/>
      <c r="V13" s="1830"/>
      <c r="W13" s="1830"/>
      <c r="X13" s="637"/>
      <c r="Y13" s="1777"/>
      <c r="Z13" s="1297"/>
    </row>
    <row r="14" spans="1:44" ht="18" customHeight="1" thickTop="1" x14ac:dyDescent="0.25">
      <c r="A14" s="1383"/>
      <c r="B14" s="1384"/>
      <c r="C14" s="1385"/>
      <c r="D14" s="1385"/>
      <c r="E14" s="689"/>
      <c r="F14" s="1098"/>
      <c r="G14" s="1166"/>
      <c r="H14" s="1134"/>
      <c r="I14" s="657"/>
      <c r="J14" s="657"/>
      <c r="K14" s="657"/>
      <c r="L14" s="657"/>
      <c r="M14" s="1963"/>
      <c r="N14" s="1940"/>
      <c r="O14" s="1963"/>
      <c r="P14" s="1940"/>
      <c r="Q14" s="1963"/>
      <c r="R14" s="1940"/>
      <c r="S14" s="1953"/>
      <c r="T14" s="1953"/>
      <c r="U14" s="1827"/>
      <c r="V14" s="1830"/>
      <c r="W14" s="1830"/>
      <c r="X14" s="637"/>
      <c r="Y14" s="1777"/>
      <c r="Z14" s="1297"/>
    </row>
    <row r="15" spans="1:44" ht="18" customHeight="1" x14ac:dyDescent="0.25">
      <c r="A15" s="1372"/>
      <c r="B15" s="1329" t="s">
        <v>707</v>
      </c>
      <c r="C15" s="1330"/>
      <c r="D15" s="1330"/>
      <c r="E15" s="667"/>
      <c r="F15" s="1099"/>
      <c r="G15" s="1167"/>
      <c r="H15" s="1135"/>
      <c r="I15" s="668"/>
      <c r="J15" s="668"/>
      <c r="K15" s="668"/>
      <c r="L15" s="668"/>
      <c r="M15" s="1963"/>
      <c r="N15" s="1940"/>
      <c r="O15" s="1963"/>
      <c r="P15" s="1940"/>
      <c r="Q15" s="1963"/>
      <c r="R15" s="1940"/>
      <c r="S15" s="1953"/>
      <c r="T15" s="1953"/>
      <c r="U15" s="1827"/>
      <c r="V15" s="1830"/>
      <c r="W15" s="1830"/>
      <c r="X15" s="637"/>
      <c r="Y15" s="1777"/>
      <c r="Z15" s="1297"/>
    </row>
    <row r="16" spans="1:44" ht="18" x14ac:dyDescent="0.25">
      <c r="A16" s="1373"/>
      <c r="B16" s="1332"/>
      <c r="C16" s="745" t="s">
        <v>371</v>
      </c>
      <c r="D16" s="745"/>
      <c r="E16" s="624"/>
      <c r="F16" s="1093">
        <v>0</v>
      </c>
      <c r="G16" s="1161">
        <v>0</v>
      </c>
      <c r="H16" s="1130">
        <v>0</v>
      </c>
      <c r="I16" s="669">
        <v>0</v>
      </c>
      <c r="J16" s="669">
        <v>0</v>
      </c>
      <c r="K16" s="669">
        <v>0</v>
      </c>
      <c r="L16" s="669">
        <v>0</v>
      </c>
      <c r="M16" s="1963">
        <f t="shared" ref="M16:M61" si="8">+G16-F16</f>
        <v>0</v>
      </c>
      <c r="N16" s="1940">
        <f t="shared" ref="N16:N61" si="9">IFERROR(M16/F16,0)</f>
        <v>0</v>
      </c>
      <c r="O16" s="1963">
        <f t="shared" ref="O16:O61" si="10">+H16-G16</f>
        <v>0</v>
      </c>
      <c r="P16" s="1940">
        <f t="shared" ref="P16:P61" si="11">IFERROR(O16/G16,0)</f>
        <v>0</v>
      </c>
      <c r="Q16" s="1963">
        <f t="shared" ref="Q16:Q61" si="12">+I16-H16</f>
        <v>0</v>
      </c>
      <c r="R16" s="1940">
        <f t="shared" ref="R16:R61" si="13">IFERROR(Q16/H16,0)</f>
        <v>0</v>
      </c>
      <c r="S16" s="1953"/>
      <c r="T16" s="1953"/>
      <c r="U16" s="1831"/>
      <c r="V16" s="1832"/>
      <c r="W16" s="1832"/>
      <c r="X16" s="1811"/>
      <c r="Y16" s="1304"/>
      <c r="Z16" s="1304"/>
      <c r="AA16" s="1304"/>
      <c r="AB16" s="1297"/>
      <c r="AC16" s="1297"/>
      <c r="AD16" s="1297"/>
      <c r="AE16" s="1297"/>
      <c r="AF16" s="1297"/>
      <c r="AG16" s="1297"/>
      <c r="AH16" s="1297"/>
      <c r="AI16" s="1297"/>
      <c r="AJ16" s="1297"/>
      <c r="AK16" s="1297"/>
      <c r="AL16" s="1297"/>
      <c r="AM16" s="1297"/>
      <c r="AN16" s="1297"/>
      <c r="AO16" s="1297"/>
      <c r="AP16" s="1297"/>
      <c r="AQ16" s="1297"/>
      <c r="AR16" s="1297"/>
    </row>
    <row r="17" spans="1:44" s="1299" customFormat="1" ht="18" x14ac:dyDescent="0.25">
      <c r="A17" s="1375"/>
      <c r="B17" s="1334"/>
      <c r="C17" s="737" t="s">
        <v>278</v>
      </c>
      <c r="D17" s="737"/>
      <c r="E17" s="625"/>
      <c r="F17" s="1100">
        <v>0</v>
      </c>
      <c r="G17" s="1163">
        <v>0</v>
      </c>
      <c r="H17" s="1132">
        <v>0</v>
      </c>
      <c r="I17" s="653">
        <v>0</v>
      </c>
      <c r="J17" s="653">
        <v>0</v>
      </c>
      <c r="K17" s="653">
        <v>0</v>
      </c>
      <c r="L17" s="653">
        <v>0</v>
      </c>
      <c r="M17" s="1963">
        <f t="shared" si="8"/>
        <v>0</v>
      </c>
      <c r="N17" s="1940">
        <f t="shared" si="9"/>
        <v>0</v>
      </c>
      <c r="O17" s="1963">
        <f t="shared" si="10"/>
        <v>0</v>
      </c>
      <c r="P17" s="1940">
        <f t="shared" si="11"/>
        <v>0</v>
      </c>
      <c r="Q17" s="1963">
        <f t="shared" si="12"/>
        <v>0</v>
      </c>
      <c r="R17" s="1940">
        <f t="shared" si="13"/>
        <v>0</v>
      </c>
      <c r="S17" s="1953"/>
      <c r="T17" s="1953"/>
      <c r="U17" s="1831"/>
      <c r="V17" s="1832"/>
      <c r="W17" s="1832"/>
      <c r="X17" s="1811"/>
      <c r="Y17" s="1304"/>
      <c r="Z17" s="1304"/>
      <c r="AA17" s="1304"/>
      <c r="AB17" s="1298"/>
      <c r="AC17" s="1298"/>
      <c r="AD17" s="1298"/>
      <c r="AE17" s="1298"/>
      <c r="AF17" s="1298"/>
      <c r="AG17" s="1298"/>
      <c r="AH17" s="1298"/>
      <c r="AI17" s="1298"/>
      <c r="AJ17" s="1298"/>
      <c r="AK17" s="1298"/>
      <c r="AL17" s="1298"/>
      <c r="AM17" s="1298"/>
      <c r="AN17" s="1298"/>
      <c r="AO17" s="1298"/>
      <c r="AP17" s="1298"/>
      <c r="AQ17" s="1298"/>
      <c r="AR17" s="1298"/>
    </row>
    <row r="18" spans="1:44" ht="24.75" customHeight="1" x14ac:dyDescent="0.25">
      <c r="A18" s="1375"/>
      <c r="B18" s="1334"/>
      <c r="C18" s="737" t="s">
        <v>406</v>
      </c>
      <c r="D18" s="737"/>
      <c r="E18" s="625"/>
      <c r="F18" s="1100"/>
      <c r="G18" s="1163"/>
      <c r="H18" s="1132"/>
      <c r="I18" s="653"/>
      <c r="J18" s="653" t="e">
        <f>-#REF!</f>
        <v>#REF!</v>
      </c>
      <c r="K18" s="653" t="e">
        <f>-#REF!</f>
        <v>#REF!</v>
      </c>
      <c r="L18" s="653" t="e">
        <f>-#REF!</f>
        <v>#REF!</v>
      </c>
      <c r="M18" s="1963"/>
      <c r="N18" s="1940"/>
      <c r="O18" s="1963"/>
      <c r="P18" s="1940"/>
      <c r="Q18" s="1963"/>
      <c r="R18" s="1940"/>
      <c r="S18" s="1953"/>
      <c r="T18" s="1953"/>
      <c r="U18" s="1832"/>
      <c r="V18" s="1831"/>
      <c r="W18" s="1831"/>
      <c r="X18" s="1812"/>
      <c r="Y18" s="1305"/>
      <c r="Z18" s="1297"/>
      <c r="AA18" s="1297"/>
      <c r="AB18" s="1297"/>
      <c r="AC18" s="1297"/>
      <c r="AD18" s="1297"/>
      <c r="AE18" s="1297"/>
      <c r="AF18" s="1297"/>
      <c r="AG18" s="1297"/>
      <c r="AH18" s="1297"/>
      <c r="AI18" s="1297"/>
      <c r="AJ18" s="1297"/>
      <c r="AK18" s="1297"/>
      <c r="AL18" s="1297"/>
      <c r="AM18" s="1297"/>
      <c r="AN18" s="1297"/>
      <c r="AO18" s="1297"/>
      <c r="AP18" s="1297"/>
      <c r="AQ18" s="1297"/>
      <c r="AR18" s="1297"/>
    </row>
    <row r="19" spans="1:44" ht="18" x14ac:dyDescent="0.25">
      <c r="A19" s="1375"/>
      <c r="B19" s="1334"/>
      <c r="C19" s="737"/>
      <c r="D19" s="737" t="str">
        <f>+RESTRICTED!D19</f>
        <v>Special Education (RS 6500)</v>
      </c>
      <c r="E19" s="625">
        <f>-RESTRICTED!E19</f>
        <v>0</v>
      </c>
      <c r="F19" s="1100">
        <f>-RESTRICTED!F19</f>
        <v>-11011522.92</v>
      </c>
      <c r="G19" s="1163">
        <f>-RESTRICTED!G19</f>
        <v>-12523071</v>
      </c>
      <c r="H19" s="1132">
        <f>-RESTRICTED!H19</f>
        <v>-12774650</v>
      </c>
      <c r="I19" s="653">
        <f>-RESTRICTED!I19</f>
        <v>-13188038</v>
      </c>
      <c r="J19" s="653"/>
      <c r="K19" s="653"/>
      <c r="L19" s="653"/>
      <c r="M19" s="1963">
        <f t="shared" si="8"/>
        <v>-1511548.08</v>
      </c>
      <c r="N19" s="1940">
        <f t="shared" si="9"/>
        <v>0.13726966660121159</v>
      </c>
      <c r="O19" s="1963">
        <f>+H19-G19</f>
        <v>-251579</v>
      </c>
      <c r="P19" s="1940">
        <f>IFERROR(O19/G19,0)</f>
        <v>2.0089241688400553E-2</v>
      </c>
      <c r="Q19" s="1963">
        <f t="shared" si="12"/>
        <v>-413388</v>
      </c>
      <c r="R19" s="1940">
        <f t="shared" si="13"/>
        <v>3.236002551929016E-2</v>
      </c>
      <c r="S19" s="1953"/>
      <c r="T19" s="1953"/>
      <c r="U19" s="1832"/>
      <c r="V19" s="1831"/>
      <c r="W19" s="1831"/>
      <c r="X19" s="1812"/>
      <c r="Y19" s="1305"/>
      <c r="Z19" s="1297"/>
      <c r="AA19" s="1297"/>
      <c r="AB19" s="1297"/>
      <c r="AC19" s="1297"/>
      <c r="AD19" s="1297"/>
      <c r="AE19" s="1297"/>
      <c r="AF19" s="1297"/>
      <c r="AG19" s="1297"/>
      <c r="AH19" s="1297"/>
      <c r="AI19" s="1297"/>
      <c r="AJ19" s="1297"/>
      <c r="AK19" s="1297"/>
      <c r="AL19" s="1297"/>
      <c r="AM19" s="1297"/>
      <c r="AN19" s="1297"/>
      <c r="AO19" s="1297"/>
      <c r="AP19" s="1297"/>
      <c r="AQ19" s="1297"/>
      <c r="AR19" s="1297"/>
    </row>
    <row r="20" spans="1:44" ht="18" x14ac:dyDescent="0.25">
      <c r="A20" s="1375"/>
      <c r="B20" s="1334"/>
      <c r="C20" s="737"/>
      <c r="D20" s="737" t="str">
        <f>+RESTRICTED!D20</f>
        <v>Ongoing &amp; Major Maintenance (RS 8150)</v>
      </c>
      <c r="E20" s="625">
        <f>-RESTRICTED!E20</f>
        <v>0</v>
      </c>
      <c r="F20" s="1100">
        <f>-RESTRICTED!F20</f>
        <v>-2400861</v>
      </c>
      <c r="G20" s="1163">
        <f>-RESTRICTED!G20</f>
        <v>-2608798</v>
      </c>
      <c r="H20" s="1132">
        <f>-RESTRICTED!H20</f>
        <v>-2468427</v>
      </c>
      <c r="I20" s="653">
        <f>-RESTRICTED!I20</f>
        <v>-2468674</v>
      </c>
      <c r="J20" s="653"/>
      <c r="K20" s="653"/>
      <c r="L20" s="653"/>
      <c r="M20" s="1963">
        <f t="shared" si="8"/>
        <v>-207937</v>
      </c>
      <c r="N20" s="1940">
        <f t="shared" si="9"/>
        <v>8.6609345563945603E-2</v>
      </c>
      <c r="O20" s="1963">
        <f t="shared" si="10"/>
        <v>140371</v>
      </c>
      <c r="P20" s="1940">
        <f t="shared" si="11"/>
        <v>-5.3806772314299534E-2</v>
      </c>
      <c r="Q20" s="1963">
        <f t="shared" si="12"/>
        <v>-247</v>
      </c>
      <c r="R20" s="1940">
        <f t="shared" si="13"/>
        <v>1.0006372479315775E-4</v>
      </c>
      <c r="S20" s="1953"/>
      <c r="T20" s="1953"/>
      <c r="U20" s="1831"/>
      <c r="V20" s="1831"/>
      <c r="W20" s="1831"/>
      <c r="X20" s="1812"/>
      <c r="Y20" s="1305"/>
      <c r="Z20" s="1297"/>
      <c r="AA20" s="1297"/>
      <c r="AB20" s="1297"/>
      <c r="AC20" s="1297"/>
      <c r="AD20" s="1297"/>
      <c r="AE20" s="1297"/>
      <c r="AF20" s="1297"/>
      <c r="AG20" s="1297"/>
      <c r="AH20" s="1297"/>
      <c r="AI20" s="1297"/>
      <c r="AJ20" s="1297"/>
      <c r="AK20" s="1297"/>
      <c r="AL20" s="1297"/>
      <c r="AM20" s="1297"/>
      <c r="AN20" s="1297"/>
      <c r="AO20" s="1297"/>
      <c r="AP20" s="1297"/>
      <c r="AQ20" s="1297"/>
      <c r="AR20" s="1297"/>
    </row>
    <row r="21" spans="1:44" ht="18" x14ac:dyDescent="0.25">
      <c r="A21" s="1386"/>
      <c r="B21" s="1337"/>
      <c r="C21" s="1338"/>
      <c r="D21" s="1338" t="str">
        <f>+RESTRICTED!D21</f>
        <v>Facilities Improvement (RS 9225)</v>
      </c>
      <c r="E21" s="631">
        <f>-RESTRICTED!E21</f>
        <v>0</v>
      </c>
      <c r="F21" s="1101">
        <f>-RESTRICTED!F21</f>
        <v>-1961318</v>
      </c>
      <c r="G21" s="1168">
        <f>-RESTRICTED!G21</f>
        <v>-300000</v>
      </c>
      <c r="H21" s="1136">
        <f>-RESTRICTED!H21</f>
        <v>-300000</v>
      </c>
      <c r="I21" s="655">
        <f>-RESTRICTED!I21</f>
        <v>-300000</v>
      </c>
      <c r="J21" s="655"/>
      <c r="K21" s="655"/>
      <c r="L21" s="655"/>
      <c r="M21" s="1963">
        <f t="shared" si="8"/>
        <v>1661318</v>
      </c>
      <c r="N21" s="1940">
        <f t="shared" si="9"/>
        <v>-0.84704163220854545</v>
      </c>
      <c r="O21" s="1963">
        <f t="shared" si="10"/>
        <v>0</v>
      </c>
      <c r="P21" s="1940">
        <f t="shared" si="11"/>
        <v>0</v>
      </c>
      <c r="Q21" s="1963">
        <f t="shared" si="12"/>
        <v>0</v>
      </c>
      <c r="R21" s="1940">
        <f t="shared" si="13"/>
        <v>0</v>
      </c>
      <c r="S21" s="1953"/>
      <c r="T21" s="1953"/>
      <c r="U21" s="1831"/>
      <c r="V21" s="1832"/>
      <c r="W21" s="1832"/>
      <c r="X21" s="1811"/>
      <c r="Y21" s="1304"/>
      <c r="Z21" s="1297"/>
      <c r="AA21" s="1297"/>
      <c r="AB21" s="1297"/>
      <c r="AC21" s="1297"/>
      <c r="AD21" s="1297"/>
      <c r="AE21" s="1297"/>
      <c r="AF21" s="1297"/>
      <c r="AG21" s="1297"/>
      <c r="AH21" s="1297"/>
      <c r="AI21" s="1297"/>
      <c r="AJ21" s="1297"/>
      <c r="AK21" s="1297"/>
      <c r="AL21" s="1297"/>
      <c r="AM21" s="1297"/>
      <c r="AN21" s="1297"/>
      <c r="AO21" s="1297"/>
      <c r="AP21" s="1297"/>
      <c r="AQ21" s="1297"/>
      <c r="AR21" s="1297"/>
    </row>
    <row r="22" spans="1:44" ht="18" customHeight="1" thickBot="1" x14ac:dyDescent="0.3">
      <c r="A22" s="1339"/>
      <c r="B22" s="1340" t="s">
        <v>708</v>
      </c>
      <c r="C22" s="1348"/>
      <c r="D22" s="1348"/>
      <c r="E22" s="641"/>
      <c r="F22" s="1102">
        <f>SUM(F16:F21)</f>
        <v>-15373701.92</v>
      </c>
      <c r="G22" s="1169">
        <f t="shared" ref="G22:I22" si="14">SUM(G16:G21)</f>
        <v>-15431869</v>
      </c>
      <c r="H22" s="1137">
        <f t="shared" si="14"/>
        <v>-15543077</v>
      </c>
      <c r="I22" s="676">
        <f t="shared" si="14"/>
        <v>-15956712</v>
      </c>
      <c r="J22" s="676"/>
      <c r="K22" s="676"/>
      <c r="L22" s="676"/>
      <c r="M22" s="1963">
        <f t="shared" si="8"/>
        <v>-58167.080000000075</v>
      </c>
      <c r="N22" s="1940">
        <f t="shared" si="9"/>
        <v>3.7835441523898154E-3</v>
      </c>
      <c r="O22" s="1963">
        <f t="shared" si="10"/>
        <v>-111208</v>
      </c>
      <c r="P22" s="1940">
        <f t="shared" si="11"/>
        <v>7.206385694435327E-3</v>
      </c>
      <c r="Q22" s="1963">
        <f t="shared" si="12"/>
        <v>-413635</v>
      </c>
      <c r="R22" s="1940">
        <f t="shared" si="13"/>
        <v>2.6612169520874147E-2</v>
      </c>
      <c r="S22" s="1953"/>
      <c r="T22" s="1953"/>
      <c r="U22" s="1827"/>
      <c r="V22" s="1830"/>
      <c r="W22" s="1830"/>
      <c r="X22" s="637"/>
      <c r="Y22" s="1777"/>
    </row>
    <row r="23" spans="1:44" ht="18" customHeight="1" thickTop="1" x14ac:dyDescent="0.25">
      <c r="A23" s="1387"/>
      <c r="B23" s="1349"/>
      <c r="C23" s="1343"/>
      <c r="D23" s="1343"/>
      <c r="E23" s="224"/>
      <c r="F23" s="1103"/>
      <c r="G23" s="1170"/>
      <c r="H23" s="1138"/>
      <c r="I23" s="658"/>
      <c r="J23" s="658"/>
      <c r="K23" s="658"/>
      <c r="L23" s="658"/>
      <c r="M23" s="1963"/>
      <c r="N23" s="1940"/>
      <c r="O23" s="1963"/>
      <c r="P23" s="1940"/>
      <c r="Q23" s="1963"/>
      <c r="R23" s="1940"/>
      <c r="S23" s="1953"/>
      <c r="T23" s="1953"/>
      <c r="U23" s="1827"/>
      <c r="V23" s="1830"/>
      <c r="W23" s="1830"/>
      <c r="X23" s="637"/>
      <c r="Y23" s="1777"/>
    </row>
    <row r="24" spans="1:44" s="1295" customFormat="1" ht="25.5" customHeight="1" x14ac:dyDescent="0.25">
      <c r="A24" s="1388"/>
      <c r="B24" s="1389" t="s">
        <v>709</v>
      </c>
      <c r="C24" s="1389"/>
      <c r="D24" s="1389"/>
      <c r="E24" s="690"/>
      <c r="F24" s="1104">
        <f>SUM(F13,F22)</f>
        <v>53417708.989999995</v>
      </c>
      <c r="G24" s="1171">
        <f t="shared" ref="G24:I24" si="15">SUM(G13,G22)</f>
        <v>52690283</v>
      </c>
      <c r="H24" s="1139">
        <f t="shared" si="15"/>
        <v>53182009.663499996</v>
      </c>
      <c r="I24" s="691">
        <f t="shared" si="15"/>
        <v>54545190.606092244</v>
      </c>
      <c r="J24" s="691"/>
      <c r="K24" s="691"/>
      <c r="L24" s="691"/>
      <c r="M24" s="1963">
        <f t="shared" si="8"/>
        <v>-727425.98999999464</v>
      </c>
      <c r="N24" s="1940">
        <f t="shared" si="9"/>
        <v>-1.3617693528117644E-2</v>
      </c>
      <c r="O24" s="1963">
        <f t="shared" si="10"/>
        <v>491726.66349999607</v>
      </c>
      <c r="P24" s="1940">
        <f t="shared" si="11"/>
        <v>9.3323974650125919E-3</v>
      </c>
      <c r="Q24" s="1963">
        <f t="shared" si="12"/>
        <v>1363180.9425922483</v>
      </c>
      <c r="R24" s="1940">
        <f t="shared" si="13"/>
        <v>2.5632369878790608E-2</v>
      </c>
      <c r="S24" s="1953"/>
      <c r="T24" s="1953"/>
      <c r="U24" s="1833"/>
      <c r="V24" s="1834"/>
      <c r="W24" s="1834"/>
      <c r="X24" s="642"/>
      <c r="Y24" s="1322"/>
    </row>
    <row r="25" spans="1:44" ht="18" customHeight="1" x14ac:dyDescent="0.25">
      <c r="A25" s="1390"/>
      <c r="B25" s="1352"/>
      <c r="C25" s="1353"/>
      <c r="D25" s="1353"/>
      <c r="E25" s="692"/>
      <c r="F25" s="1105"/>
      <c r="G25" s="1172"/>
      <c r="H25" s="1140"/>
      <c r="I25" s="693"/>
      <c r="J25" s="693"/>
      <c r="K25" s="693"/>
      <c r="L25" s="693"/>
      <c r="M25" s="1963"/>
      <c r="N25" s="1940"/>
      <c r="O25" s="1963"/>
      <c r="P25" s="1940"/>
      <c r="Q25" s="1963"/>
      <c r="R25" s="1940"/>
      <c r="S25" s="1953"/>
      <c r="T25" s="1953"/>
      <c r="U25" s="1835"/>
      <c r="V25" s="1831"/>
      <c r="W25" s="1830"/>
      <c r="X25" s="637"/>
      <c r="Y25" s="1777"/>
    </row>
    <row r="26" spans="1:44" ht="20.25" x14ac:dyDescent="0.25">
      <c r="A26" s="1372"/>
      <c r="B26" s="1329" t="s">
        <v>361</v>
      </c>
      <c r="C26" s="1330"/>
      <c r="D26" s="1330"/>
      <c r="E26" s="667"/>
      <c r="F26" s="1099"/>
      <c r="G26" s="1167"/>
      <c r="H26" s="1135"/>
      <c r="I26" s="668"/>
      <c r="J26" s="668"/>
      <c r="K26" s="668"/>
      <c r="L26" s="668"/>
      <c r="M26" s="1963"/>
      <c r="N26" s="1940"/>
      <c r="O26" s="1963"/>
      <c r="P26" s="1940"/>
      <c r="Q26" s="1963"/>
      <c r="R26" s="1940"/>
      <c r="S26" s="1953"/>
      <c r="T26" s="1953"/>
      <c r="U26" s="1836"/>
      <c r="V26" s="1835"/>
    </row>
    <row r="27" spans="1:44" ht="18" x14ac:dyDescent="0.25">
      <c r="A27" s="1373"/>
      <c r="B27" s="1332"/>
      <c r="C27" s="745" t="s">
        <v>362</v>
      </c>
      <c r="D27" s="745"/>
      <c r="E27" s="624"/>
      <c r="F27" s="1106">
        <f>+'RS 00XX &amp; 1400'!D65+'RS 0653'!D32+'RS 0654'!D33+'RS 0655'!D32+'RS 1100'!D24</f>
        <v>31226621.970000003</v>
      </c>
      <c r="G27" s="1161">
        <f>+'RS 00XX &amp; 1400'!H65+'RS 0653'!H32+'RS 0654'!H33+'RS 0655'!H32+'RS 1100'!H24</f>
        <v>31612940.079999998</v>
      </c>
      <c r="H27" s="1130">
        <f>+'RS 00XX &amp; 1400'!L65+'RS 0653'!L32+'RS 0654'!L33+'RS 0655'!L32+'RS 1100'!L24</f>
        <v>31609301.626025468</v>
      </c>
      <c r="I27" s="669">
        <f>+'RS 00XX &amp; 1400'!P65+'RS 0653'!P32+'RS 0654'!P33+'RS 0655'!P32+'RS 1100'!P24</f>
        <v>31642808.269451134</v>
      </c>
      <c r="J27" s="669" t="e">
        <f>(+I27*(1+#REF!))</f>
        <v>#REF!</v>
      </c>
      <c r="K27" s="669" t="e">
        <f>(+J27*(1+#REF!))</f>
        <v>#REF!</v>
      </c>
      <c r="L27" s="669" t="e">
        <f>(+K27*(1+#REF!))</f>
        <v>#REF!</v>
      </c>
      <c r="M27" s="1997">
        <f t="shared" si="8"/>
        <v>386318.10999999568</v>
      </c>
      <c r="N27" s="1998">
        <f t="shared" si="9"/>
        <v>1.2371434552579485E-2</v>
      </c>
      <c r="O27" s="1997">
        <f t="shared" si="10"/>
        <v>-3638.4539745301008</v>
      </c>
      <c r="P27" s="1998">
        <f t="shared" si="11"/>
        <v>-1.1509381807964067E-4</v>
      </c>
      <c r="Q27" s="1997">
        <f t="shared" si="12"/>
        <v>33506.643425665796</v>
      </c>
      <c r="R27" s="1998">
        <f t="shared" si="13"/>
        <v>1.0600247934006285E-3</v>
      </c>
      <c r="S27" s="1953"/>
      <c r="T27" s="1953"/>
      <c r="U27" s="1932">
        <v>584764</v>
      </c>
      <c r="V27" s="1576" t="s">
        <v>888</v>
      </c>
      <c r="W27" s="1837"/>
      <c r="X27" s="1813"/>
      <c r="Y27" s="1778"/>
      <c r="Z27" s="1778"/>
      <c r="AN27" s="1300"/>
    </row>
    <row r="28" spans="1:44" ht="18" x14ac:dyDescent="0.25">
      <c r="A28" s="1375"/>
      <c r="B28" s="1334"/>
      <c r="C28" s="737" t="s">
        <v>363</v>
      </c>
      <c r="D28" s="737"/>
      <c r="E28" s="625"/>
      <c r="F28" s="1107">
        <f>+'RS 00XX &amp; 1400'!D80+'RS 0653'!D43+'RS 0654'!D51+'RS 0655'!D45+'RS 1100'!D31</f>
        <v>6576599.799999998</v>
      </c>
      <c r="G28" s="1163">
        <f>+'RS 00XX &amp; 1400'!H80+'RS 0653'!H43+'RS 0654'!H51+'RS 0655'!H45+'RS 1100'!H31</f>
        <v>7113392</v>
      </c>
      <c r="H28" s="1132">
        <f>+'RS 00XX &amp; 1400'!L80+'RS 0653'!L43+'RS 0654'!L51+'RS 0655'!L45+'RS 1100'!L31</f>
        <v>7218021</v>
      </c>
      <c r="I28" s="653">
        <f>+'RS 00XX &amp; 1400'!P80+'RS 0653'!P43+'RS 0654'!P51+'RS 0655'!P45+'RS 1100'!P31</f>
        <v>7324219</v>
      </c>
      <c r="J28" s="653" t="e">
        <f>+I28*(1+#REF!)</f>
        <v>#REF!</v>
      </c>
      <c r="K28" s="653" t="e">
        <f>+J28*(1+#REF!)</f>
        <v>#REF!</v>
      </c>
      <c r="L28" s="653" t="e">
        <f>+K28*(1+#REF!)</f>
        <v>#REF!</v>
      </c>
      <c r="M28" s="1963">
        <f t="shared" si="8"/>
        <v>536792.20000000205</v>
      </c>
      <c r="N28" s="1940">
        <f t="shared" si="9"/>
        <v>8.1621539446569677E-2</v>
      </c>
      <c r="O28" s="1963">
        <f t="shared" si="10"/>
        <v>104629</v>
      </c>
      <c r="P28" s="1940">
        <f t="shared" si="11"/>
        <v>1.4708735298153117E-2</v>
      </c>
      <c r="Q28" s="1963">
        <f t="shared" si="12"/>
        <v>106198</v>
      </c>
      <c r="R28" s="1940">
        <f t="shared" si="13"/>
        <v>1.4712897066938431E-2</v>
      </c>
      <c r="S28" s="1953"/>
      <c r="T28" s="1953"/>
      <c r="U28" s="1838">
        <v>0</v>
      </c>
      <c r="V28" s="1577" t="s">
        <v>1016</v>
      </c>
      <c r="W28" s="1837"/>
      <c r="X28" s="1813"/>
      <c r="Y28" s="1778"/>
      <c r="Z28" s="1778"/>
      <c r="AA28" s="1297"/>
      <c r="AB28" s="1297"/>
      <c r="AC28" s="1297"/>
      <c r="AD28" s="1297"/>
      <c r="AE28" s="1297"/>
      <c r="AF28" s="1297"/>
      <c r="AG28" s="1297"/>
      <c r="AH28" s="1297"/>
      <c r="AI28" s="1297"/>
      <c r="AJ28" s="1297"/>
      <c r="AK28" s="1297"/>
      <c r="AL28" s="1297"/>
      <c r="AM28" s="1297"/>
      <c r="AN28" s="1301"/>
      <c r="AO28" s="1297"/>
      <c r="AP28" s="1297"/>
      <c r="AQ28" s="1297"/>
      <c r="AR28" s="1297"/>
    </row>
    <row r="29" spans="1:44" ht="20.25" x14ac:dyDescent="0.3">
      <c r="A29" s="1391"/>
      <c r="B29" s="738"/>
      <c r="C29" s="738"/>
      <c r="D29" s="1508" t="str">
        <f>"Cost of "&amp;U28&amp;"% salary increase, incl. statutory benefits"</f>
        <v>Cost of 0% salary increase, incl. statutory benefits</v>
      </c>
      <c r="E29" s="1509"/>
      <c r="F29" s="1983"/>
      <c r="G29" s="1173">
        <f>+U29</f>
        <v>0</v>
      </c>
      <c r="H29" s="1141">
        <f>+G29</f>
        <v>0</v>
      </c>
      <c r="I29" s="677">
        <f>+H29</f>
        <v>0</v>
      </c>
      <c r="J29" s="677"/>
      <c r="K29" s="677"/>
      <c r="L29" s="677"/>
      <c r="M29" s="1963">
        <f t="shared" si="8"/>
        <v>0</v>
      </c>
      <c r="N29" s="1940">
        <f t="shared" si="9"/>
        <v>0</v>
      </c>
      <c r="O29" s="1963">
        <f t="shared" si="10"/>
        <v>0</v>
      </c>
      <c r="P29" s="1940">
        <f t="shared" si="11"/>
        <v>0</v>
      </c>
      <c r="Q29" s="1963">
        <f t="shared" si="12"/>
        <v>0</v>
      </c>
      <c r="R29" s="1940">
        <f t="shared" si="13"/>
        <v>0</v>
      </c>
      <c r="S29" s="1953"/>
      <c r="T29" s="1953"/>
      <c r="U29" s="1807">
        <f>+U27*U28</f>
        <v>0</v>
      </c>
      <c r="V29" s="1577">
        <f>D28</f>
        <v>0</v>
      </c>
      <c r="W29" s="1837"/>
      <c r="X29" s="1813"/>
      <c r="Y29" s="1778"/>
      <c r="Z29" s="1778"/>
      <c r="AA29" s="1297"/>
      <c r="AB29" s="1297"/>
      <c r="AC29" s="1297"/>
      <c r="AD29" s="1297"/>
      <c r="AE29" s="1297"/>
      <c r="AF29" s="1297"/>
      <c r="AG29" s="1297"/>
      <c r="AH29" s="1297"/>
      <c r="AI29" s="1297"/>
      <c r="AJ29" s="1297"/>
      <c r="AK29" s="1297"/>
      <c r="AL29" s="1297"/>
      <c r="AM29" s="1297"/>
      <c r="AN29" s="1297"/>
      <c r="AO29" s="1297"/>
      <c r="AP29" s="1297"/>
      <c r="AQ29" s="1297"/>
      <c r="AR29" s="1297"/>
    </row>
    <row r="30" spans="1:44" ht="18" x14ac:dyDescent="0.25">
      <c r="A30" s="1988"/>
      <c r="B30" s="1984"/>
      <c r="C30" s="1984"/>
      <c r="D30" s="1989" t="s">
        <v>1017</v>
      </c>
      <c r="E30" s="1985"/>
      <c r="F30" s="1990">
        <f>F27*0.1258</f>
        <v>3928309.0438260003</v>
      </c>
      <c r="G30" s="1991">
        <f>G27*0.1258</f>
        <v>3976907.8620639998</v>
      </c>
      <c r="H30" s="1992">
        <f>H27*0.1258</f>
        <v>3976450.1445540036</v>
      </c>
      <c r="I30" s="1993">
        <f>I27*0.1258</f>
        <v>3980665.2802969525</v>
      </c>
      <c r="J30" s="1510"/>
      <c r="K30" s="1510"/>
      <c r="L30" s="1510"/>
      <c r="M30" s="1997">
        <f t="shared" si="8"/>
        <v>48598.818237999454</v>
      </c>
      <c r="N30" s="1998">
        <f t="shared" si="9"/>
        <v>1.2371434552579485E-2</v>
      </c>
      <c r="O30" s="1997">
        <f t="shared" si="10"/>
        <v>-457.71750999614596</v>
      </c>
      <c r="P30" s="1998">
        <f t="shared" si="11"/>
        <v>-1.1509381807970586E-4</v>
      </c>
      <c r="Q30" s="1997">
        <f t="shared" si="12"/>
        <v>4215.1357429488562</v>
      </c>
      <c r="R30" s="1998">
        <f t="shared" si="13"/>
        <v>1.0600247934006535E-3</v>
      </c>
      <c r="S30" s="1953"/>
      <c r="T30" s="1953"/>
      <c r="U30" s="1837"/>
      <c r="V30" s="1837"/>
      <c r="W30" s="1837"/>
      <c r="X30" s="1813"/>
      <c r="Y30" s="1778"/>
      <c r="Z30" s="1778"/>
      <c r="AA30" s="1297"/>
      <c r="AB30" s="1297"/>
      <c r="AC30" s="1297"/>
      <c r="AD30" s="1297"/>
      <c r="AE30" s="1297"/>
      <c r="AF30" s="1297"/>
      <c r="AG30" s="1297"/>
      <c r="AH30" s="1297"/>
      <c r="AI30" s="1297"/>
      <c r="AJ30" s="1297"/>
      <c r="AK30" s="1297"/>
      <c r="AL30" s="1297"/>
      <c r="AM30" s="1297"/>
      <c r="AN30" s="1297"/>
      <c r="AO30" s="1297"/>
      <c r="AP30" s="1297"/>
      <c r="AQ30" s="1297"/>
      <c r="AR30" s="1297"/>
    </row>
    <row r="31" spans="1:44" ht="18" x14ac:dyDescent="0.25">
      <c r="A31" s="1988"/>
      <c r="B31" s="1984"/>
      <c r="C31" s="1984"/>
      <c r="D31" s="1994" t="s">
        <v>1018</v>
      </c>
      <c r="E31" s="1985"/>
      <c r="F31" s="1990">
        <f>F27*0.1258</f>
        <v>3928309.0438260003</v>
      </c>
      <c r="G31" s="1991">
        <f>G27*0.1443</f>
        <v>4561747.253544</v>
      </c>
      <c r="H31" s="1992">
        <f>H27*0.1628</f>
        <v>5145994.3047169466</v>
      </c>
      <c r="I31" s="1993">
        <f>'UNRESTRICTED STRS Incrs Calc'!I27*0.1813</f>
        <v>5736841.1392514901</v>
      </c>
      <c r="J31" s="1510"/>
      <c r="K31" s="1510"/>
      <c r="L31" s="1510"/>
      <c r="M31" s="1999">
        <f t="shared" si="8"/>
        <v>633438.20971799968</v>
      </c>
      <c r="N31" s="2000">
        <f t="shared" si="9"/>
        <v>0.16124958669266476</v>
      </c>
      <c r="O31" s="1999">
        <f t="shared" si="10"/>
        <v>584247.05117294658</v>
      </c>
      <c r="P31" s="2000">
        <f t="shared" si="11"/>
        <v>0.12807527876934607</v>
      </c>
      <c r="Q31" s="1999">
        <f t="shared" si="12"/>
        <v>590846.83453454357</v>
      </c>
      <c r="R31" s="2000">
        <f t="shared" si="13"/>
        <v>0.11481684579265053</v>
      </c>
      <c r="S31" s="1953"/>
      <c r="T31" s="1953"/>
      <c r="U31" s="1837"/>
      <c r="V31" s="1837"/>
      <c r="W31" s="1837"/>
      <c r="X31" s="1813"/>
      <c r="Y31" s="1778"/>
      <c r="Z31" s="1778"/>
      <c r="AA31" s="1297"/>
      <c r="AB31" s="1297"/>
      <c r="AC31" s="1297"/>
      <c r="AD31" s="1297"/>
      <c r="AE31" s="1297"/>
      <c r="AF31" s="1297"/>
      <c r="AG31" s="1297"/>
      <c r="AH31" s="1297"/>
      <c r="AI31" s="1297"/>
      <c r="AJ31" s="1297"/>
      <c r="AK31" s="1297"/>
      <c r="AL31" s="1297"/>
      <c r="AM31" s="1297"/>
      <c r="AN31" s="1297"/>
      <c r="AO31" s="1297"/>
      <c r="AP31" s="1297"/>
      <c r="AQ31" s="1297"/>
      <c r="AR31" s="1297"/>
    </row>
    <row r="32" spans="1:44" ht="20.25" x14ac:dyDescent="0.3">
      <c r="A32" s="1995"/>
      <c r="B32" s="1986"/>
      <c r="C32" s="1986"/>
      <c r="D32" s="1996"/>
      <c r="E32" s="1987"/>
      <c r="F32" s="1990">
        <f>F31-F30</f>
        <v>0</v>
      </c>
      <c r="G32" s="1991">
        <f t="shared" ref="G32:I32" si="16">G31-G30</f>
        <v>584839.39148000022</v>
      </c>
      <c r="H32" s="1992">
        <f t="shared" si="16"/>
        <v>1169544.1601629429</v>
      </c>
      <c r="I32" s="1993">
        <f t="shared" si="16"/>
        <v>1756175.8589545377</v>
      </c>
      <c r="J32" s="1510"/>
      <c r="K32" s="1510"/>
      <c r="L32" s="1510"/>
      <c r="M32" s="1963">
        <f t="shared" si="8"/>
        <v>584839.39148000022</v>
      </c>
      <c r="N32" s="1940">
        <f t="shared" si="9"/>
        <v>0</v>
      </c>
      <c r="O32" s="1963">
        <f t="shared" si="10"/>
        <v>584704.76868294273</v>
      </c>
      <c r="P32" s="1940">
        <f t="shared" si="11"/>
        <v>0.99976981236384088</v>
      </c>
      <c r="Q32" s="1963">
        <f t="shared" si="12"/>
        <v>586631.69879159471</v>
      </c>
      <c r="R32" s="1940">
        <f t="shared" si="13"/>
        <v>0.50159003719009987</v>
      </c>
      <c r="S32" s="1953"/>
      <c r="T32" s="1953"/>
      <c r="U32" s="1837"/>
      <c r="V32" s="1579"/>
      <c r="W32" s="1837"/>
      <c r="X32" s="1813"/>
      <c r="Y32" s="1778"/>
      <c r="Z32" s="1778"/>
      <c r="AA32" s="1297"/>
      <c r="AB32" s="1297"/>
      <c r="AC32" s="1297"/>
      <c r="AD32" s="1297"/>
      <c r="AE32" s="1297"/>
      <c r="AF32" s="1297"/>
      <c r="AG32" s="1297"/>
      <c r="AH32" s="1297"/>
      <c r="AI32" s="1297"/>
      <c r="AJ32" s="1297"/>
      <c r="AK32" s="1297"/>
      <c r="AL32" s="1297"/>
      <c r="AM32" s="1297"/>
      <c r="AN32" s="1297"/>
      <c r="AO32" s="1297"/>
      <c r="AP32" s="1297"/>
      <c r="AQ32" s="1297"/>
      <c r="AR32" s="1297"/>
    </row>
    <row r="33" spans="1:44" s="1303" customFormat="1" ht="18" x14ac:dyDescent="0.25">
      <c r="A33" s="1375"/>
      <c r="B33" s="1334"/>
      <c r="C33" s="737" t="s">
        <v>364</v>
      </c>
      <c r="D33" s="737"/>
      <c r="E33" s="625"/>
      <c r="F33" s="1107"/>
      <c r="G33" s="1163"/>
      <c r="H33" s="1132"/>
      <c r="I33" s="653"/>
      <c r="J33" s="653"/>
      <c r="K33" s="653"/>
      <c r="L33" s="653"/>
      <c r="M33" s="1963">
        <f t="shared" si="8"/>
        <v>0</v>
      </c>
      <c r="N33" s="1940">
        <f t="shared" si="9"/>
        <v>0</v>
      </c>
      <c r="O33" s="1963">
        <f t="shared" si="10"/>
        <v>0</v>
      </c>
      <c r="P33" s="1940">
        <f t="shared" si="11"/>
        <v>0</v>
      </c>
      <c r="Q33" s="1963">
        <f t="shared" si="12"/>
        <v>0</v>
      </c>
      <c r="R33" s="1940">
        <f t="shared" si="13"/>
        <v>0</v>
      </c>
      <c r="S33" s="1953"/>
      <c r="T33" s="1953"/>
      <c r="U33" s="1837"/>
      <c r="V33" s="1837"/>
      <c r="W33" s="1837"/>
      <c r="X33" s="1813"/>
      <c r="Y33" s="1778"/>
      <c r="Z33" s="1778"/>
      <c r="AA33" s="1304"/>
      <c r="AB33" s="1304"/>
      <c r="AC33" s="1304"/>
      <c r="AD33" s="1304"/>
      <c r="AE33" s="1304"/>
      <c r="AF33" s="1304"/>
      <c r="AG33" s="1304"/>
      <c r="AH33" s="1304"/>
      <c r="AI33" s="1304"/>
      <c r="AJ33" s="1304"/>
      <c r="AK33" s="1304"/>
      <c r="AL33" s="1302"/>
      <c r="AM33" s="1302"/>
      <c r="AN33" s="1302"/>
      <c r="AO33" s="1302"/>
      <c r="AP33" s="1302"/>
      <c r="AQ33" s="1302"/>
      <c r="AR33" s="1302"/>
    </row>
    <row r="34" spans="1:44" ht="18" x14ac:dyDescent="0.25">
      <c r="A34" s="1375"/>
      <c r="B34" s="1334"/>
      <c r="C34" s="737"/>
      <c r="D34" s="1335" t="s">
        <v>76</v>
      </c>
      <c r="E34" s="626"/>
      <c r="F34" s="1109">
        <f>+'RS 00XX &amp; 1400'!D83+'RS 0653'!D46+'RS 0654'!D54+'RS 0655'!D48</f>
        <v>3943449.73</v>
      </c>
      <c r="G34" s="1162">
        <f>+'RS 00XX &amp; 1400'!H83+'RS 0653'!H46+'RS 0654'!H54+'RS 0655'!H48+'RS 1100'!H34</f>
        <v>4636096</v>
      </c>
      <c r="H34" s="1131">
        <f>+'RS 00XX &amp; 1400'!L83+'RS 0653'!L46+'RS 0654'!L54+'RS 0655'!L48+'RS 1100'!L34</f>
        <v>5145994</v>
      </c>
      <c r="I34" s="654">
        <f>+'RS 00XX &amp; 1400'!P83+'RS 0653'!P46+'RS 0654'!P54+'RS 0655'!P48+'RS 1100'!P34</f>
        <v>5736841</v>
      </c>
      <c r="J34" s="654">
        <v>6164433.5664931554</v>
      </c>
      <c r="K34" s="654">
        <v>6862934.8935236689</v>
      </c>
      <c r="L34" s="654">
        <v>7581004.2628126368</v>
      </c>
      <c r="M34" s="1963">
        <f t="shared" si="8"/>
        <v>692646.27</v>
      </c>
      <c r="N34" s="1940">
        <f t="shared" si="9"/>
        <v>0.17564475710965891</v>
      </c>
      <c r="O34" s="1963">
        <f t="shared" si="10"/>
        <v>509898</v>
      </c>
      <c r="P34" s="1940">
        <f t="shared" si="11"/>
        <v>0.10998434890045418</v>
      </c>
      <c r="Q34" s="1963">
        <f t="shared" si="12"/>
        <v>590847</v>
      </c>
      <c r="R34" s="1940">
        <f t="shared" si="13"/>
        <v>0.11481688474568762</v>
      </c>
      <c r="S34" s="1953"/>
      <c r="T34" s="1953"/>
      <c r="U34" s="1837"/>
      <c r="V34" s="1837"/>
      <c r="W34" s="1837"/>
      <c r="X34" s="1813"/>
      <c r="Y34" s="1778"/>
      <c r="Z34" s="1778"/>
      <c r="AA34" s="1780"/>
      <c r="AB34" s="1305"/>
      <c r="AC34" s="1304"/>
      <c r="AD34" s="1304"/>
      <c r="AE34" s="1304"/>
      <c r="AF34" s="1304"/>
      <c r="AG34" s="1304"/>
      <c r="AH34" s="1305"/>
      <c r="AI34" s="1304"/>
      <c r="AJ34" s="1304"/>
      <c r="AK34" s="1304"/>
      <c r="AL34" s="1304"/>
      <c r="AM34" s="1297"/>
      <c r="AN34" s="1304"/>
      <c r="AO34" s="1305"/>
      <c r="AP34" s="1305"/>
      <c r="AQ34" s="1305"/>
      <c r="AR34" s="1305"/>
    </row>
    <row r="35" spans="1:44" ht="19.5" x14ac:dyDescent="0.35">
      <c r="A35" s="1375"/>
      <c r="B35" s="1334"/>
      <c r="C35" s="737"/>
      <c r="D35" s="1335" t="s">
        <v>77</v>
      </c>
      <c r="E35" s="626"/>
      <c r="F35" s="1109">
        <f>+'RS 00XX &amp; 1400'!D84+'RS 0653'!D47+'RS 0654'!D55+'RS 0655'!D49</f>
        <v>791905.79999999993</v>
      </c>
      <c r="G35" s="1162">
        <f>+'RS 00XX &amp; 1400'!H84+'RS 0653'!H47+'RS 0654'!H55+'RS 0655'!H49+'RS 1100'!H35</f>
        <v>1029244</v>
      </c>
      <c r="H35" s="1131">
        <f>+'RS 00XX &amp; 1400'!L84+'RS 0653'!L47+'RS 0654'!L55+'RS 0655'!L49+'RS 1100'!L35</f>
        <v>1306461</v>
      </c>
      <c r="I35" s="654">
        <f>+'RS 00XX &amp; 1400'!P84+'RS 0653'!P47+'RS 0654'!P55+'RS 0655'!P49+'RS 1100'!P35</f>
        <v>1523439</v>
      </c>
      <c r="J35" s="654">
        <v>1773281.2504106092</v>
      </c>
      <c r="K35" s="654">
        <v>1908307.0034539229</v>
      </c>
      <c r="L35" s="654">
        <v>2010300.2300400396</v>
      </c>
      <c r="M35" s="1963">
        <f t="shared" si="8"/>
        <v>237338.20000000007</v>
      </c>
      <c r="N35" s="1940">
        <f t="shared" si="9"/>
        <v>0.2997050911863508</v>
      </c>
      <c r="O35" s="1963">
        <f t="shared" si="10"/>
        <v>277217</v>
      </c>
      <c r="P35" s="1940">
        <f t="shared" si="11"/>
        <v>0.26934040907695356</v>
      </c>
      <c r="Q35" s="1963">
        <f t="shared" si="12"/>
        <v>216978</v>
      </c>
      <c r="R35" s="1940">
        <f t="shared" si="13"/>
        <v>0.16608073260510647</v>
      </c>
      <c r="S35" s="1953"/>
      <c r="T35" s="1953"/>
      <c r="U35" s="1837"/>
      <c r="V35" s="1837"/>
      <c r="W35" s="1837"/>
      <c r="X35" s="1813"/>
      <c r="Y35" s="1778"/>
      <c r="Z35" s="1778"/>
      <c r="AA35" s="1780"/>
      <c r="AB35" s="1305"/>
      <c r="AC35" s="1304"/>
      <c r="AD35" s="1304"/>
      <c r="AE35" s="1304"/>
      <c r="AF35" s="1304"/>
      <c r="AG35" s="1781"/>
      <c r="AH35" s="1781"/>
      <c r="AI35" s="1304"/>
      <c r="AJ35" s="1304"/>
      <c r="AK35" s="1304"/>
      <c r="AL35" s="1304"/>
      <c r="AM35" s="1297"/>
      <c r="AN35" s="1304"/>
      <c r="AO35" s="1305"/>
      <c r="AP35" s="1305"/>
      <c r="AQ35" s="1305"/>
      <c r="AR35" s="1305"/>
    </row>
    <row r="36" spans="1:44" ht="18" x14ac:dyDescent="0.25">
      <c r="A36" s="1375"/>
      <c r="B36" s="1334"/>
      <c r="C36" s="737"/>
      <c r="D36" s="737" t="s">
        <v>404</v>
      </c>
      <c r="E36" s="625"/>
      <c r="F36" s="1110">
        <f>+'RS 00XX &amp; 1400'!D85+'RS 0653'!D48+'RS 0654'!D56+'RS 0655'!D50</f>
        <v>364474.9</v>
      </c>
      <c r="G36" s="1163">
        <f>+'RS 00XX &amp; 1400'!H85+'RS 0653'!H48+'RS 0654'!H56+'RS 0655'!H50+'RS 1100'!H36</f>
        <v>409742</v>
      </c>
      <c r="H36" s="1132">
        <f>+'RS 00XX &amp; 1400'!L85+'RS 0653'!L48+'RS 0654'!L56+'RS 0655'!L50+'RS 1100'!L36</f>
        <v>447517</v>
      </c>
      <c r="I36" s="653">
        <f>+'RS 00XX &amp; 1400'!P85+'RS 0653'!P48+'RS 0654'!P56+'RS 0655'!P50+'RS 1100'!P36</f>
        <v>454102</v>
      </c>
      <c r="J36" s="653">
        <v>441539.90974079422</v>
      </c>
      <c r="K36" s="653">
        <v>448163.00838690612</v>
      </c>
      <c r="L36" s="653">
        <v>454885.45351270965</v>
      </c>
      <c r="M36" s="1963">
        <f t="shared" si="8"/>
        <v>45267.099999999977</v>
      </c>
      <c r="N36" s="1940">
        <f t="shared" si="9"/>
        <v>0.12419812722357554</v>
      </c>
      <c r="O36" s="1963">
        <f t="shared" si="10"/>
        <v>37775</v>
      </c>
      <c r="P36" s="1940">
        <f t="shared" si="11"/>
        <v>9.2192159944550475E-2</v>
      </c>
      <c r="Q36" s="1963">
        <f t="shared" si="12"/>
        <v>6585</v>
      </c>
      <c r="R36" s="1940">
        <f t="shared" si="13"/>
        <v>1.4714524811347949E-2</v>
      </c>
      <c r="S36" s="1953"/>
      <c r="T36" s="1953"/>
      <c r="U36" s="1837"/>
      <c r="V36" s="1837"/>
      <c r="W36" s="1837"/>
      <c r="X36" s="1813"/>
      <c r="Y36" s="1778"/>
      <c r="Z36" s="1778"/>
      <c r="AA36" s="1780"/>
      <c r="AB36" s="1305"/>
      <c r="AC36" s="1304"/>
      <c r="AD36" s="1304"/>
      <c r="AE36" s="1304"/>
      <c r="AF36" s="1304"/>
      <c r="AG36" s="1304"/>
      <c r="AH36" s="1304"/>
      <c r="AI36" s="1304"/>
      <c r="AJ36" s="1304"/>
      <c r="AK36" s="1304"/>
      <c r="AL36" s="1304"/>
      <c r="AM36" s="1297"/>
      <c r="AN36" s="1304"/>
      <c r="AO36" s="1305"/>
      <c r="AP36" s="1305"/>
      <c r="AQ36" s="1305"/>
      <c r="AR36" s="1305"/>
    </row>
    <row r="37" spans="1:44" ht="19.5" x14ac:dyDescent="0.35">
      <c r="A37" s="1375"/>
      <c r="B37" s="1334"/>
      <c r="C37" s="737"/>
      <c r="D37" s="737" t="s">
        <v>79</v>
      </c>
      <c r="E37" s="625"/>
      <c r="F37" s="1110">
        <f>+'RS 00XX &amp; 1400'!D86+'RS 0653'!D49+'RS 0654'!D57+'RS 0655'!D51</f>
        <v>514906.07000000007</v>
      </c>
      <c r="G37" s="1163">
        <f>+'RS 00XX &amp; 1400'!H86+'RS 0653'!H49+'RS 0654'!H57+'RS 0655'!H51+'RS 1100'!H37</f>
        <v>548867</v>
      </c>
      <c r="H37" s="1132">
        <f>+'RS 00XX &amp; 1400'!L86+'RS 0653'!L49+'RS 0654'!L57+'RS 0655'!L51+'RS 1100'!L37</f>
        <v>562997</v>
      </c>
      <c r="I37" s="653">
        <f>+'RS 00XX &amp; 1400'!P86+'RS 0653'!P49+'RS 0654'!P57+'RS 0655'!P51+'RS 1100'!P37</f>
        <v>565021</v>
      </c>
      <c r="J37" s="653">
        <v>571243.92470059753</v>
      </c>
      <c r="K37" s="653">
        <v>579812.58357110654</v>
      </c>
      <c r="L37" s="653">
        <v>588509.77232467302</v>
      </c>
      <c r="M37" s="1963">
        <f t="shared" si="8"/>
        <v>33960.929999999935</v>
      </c>
      <c r="N37" s="1940">
        <f t="shared" si="9"/>
        <v>6.5955582927969617E-2</v>
      </c>
      <c r="O37" s="1963">
        <f t="shared" si="10"/>
        <v>14130</v>
      </c>
      <c r="P37" s="1940">
        <f t="shared" si="11"/>
        <v>2.5743941610626982E-2</v>
      </c>
      <c r="Q37" s="1963">
        <f t="shared" si="12"/>
        <v>2024</v>
      </c>
      <c r="R37" s="1940">
        <f t="shared" si="13"/>
        <v>3.5950457995335677E-3</v>
      </c>
      <c r="S37" s="1953"/>
      <c r="T37" s="1953"/>
      <c r="U37" s="1837"/>
      <c r="V37" s="1837"/>
      <c r="W37" s="1837"/>
      <c r="X37" s="1813"/>
      <c r="Y37" s="1778"/>
      <c r="Z37" s="1778"/>
      <c r="AA37" s="1782"/>
      <c r="AB37" s="1305"/>
      <c r="AC37" s="1304"/>
      <c r="AD37" s="1304"/>
      <c r="AE37" s="1304"/>
      <c r="AF37" s="1304"/>
      <c r="AG37" s="1305"/>
      <c r="AH37" s="1305"/>
      <c r="AI37" s="1304"/>
      <c r="AJ37" s="1304"/>
      <c r="AK37" s="1304"/>
      <c r="AL37" s="1304"/>
      <c r="AM37" s="1297"/>
      <c r="AN37" s="1304"/>
      <c r="AO37" s="1305"/>
      <c r="AP37" s="1305"/>
      <c r="AQ37" s="1305"/>
      <c r="AR37" s="1305"/>
    </row>
    <row r="38" spans="1:44" ht="18" x14ac:dyDescent="0.25">
      <c r="A38" s="1375"/>
      <c r="B38" s="1334"/>
      <c r="C38" s="737"/>
      <c r="D38" s="1356" t="s">
        <v>80</v>
      </c>
      <c r="E38" s="625"/>
      <c r="F38" s="1110">
        <f>+'RS 00XX &amp; 1400'!D87+'RS 0653'!D50+'RS 0654'!D58+'RS 0655'!D52</f>
        <v>3787299.2800000003</v>
      </c>
      <c r="G38" s="1163">
        <f>+'RS 00XX &amp; 1400'!H87+'RS 0653'!H50+'RS 0654'!H58+'RS 0655'!H52+'RS 1100'!H38</f>
        <v>3888620.63</v>
      </c>
      <c r="H38" s="1132">
        <f>+'RS 00XX &amp; 1400'!L87+'RS 0653'!L50+'RS 0654'!L58+'RS 0655'!L52+'RS 1100'!L38</f>
        <v>4160824</v>
      </c>
      <c r="I38" s="653">
        <f>+'RS 00XX &amp; 1400'!P87+'RS 0653'!P50+'RS 0654'!P58+'RS 0655'!P52+'RS 1100'!P38</f>
        <v>4452082</v>
      </c>
      <c r="J38" s="653">
        <v>19698.066368986121</v>
      </c>
      <c r="K38" s="653">
        <v>19993.537364520915</v>
      </c>
      <c r="L38" s="653">
        <v>20293.440424988727</v>
      </c>
      <c r="M38" s="1963">
        <f t="shared" si="8"/>
        <v>101321.34999999963</v>
      </c>
      <c r="N38" s="1940">
        <f t="shared" si="9"/>
        <v>2.6752929332798759E-2</v>
      </c>
      <c r="O38" s="1963">
        <f t="shared" si="10"/>
        <v>272203.37000000011</v>
      </c>
      <c r="P38" s="1940">
        <f t="shared" si="11"/>
        <v>6.9999980944399839E-2</v>
      </c>
      <c r="Q38" s="1963">
        <f t="shared" si="12"/>
        <v>291258</v>
      </c>
      <c r="R38" s="1940">
        <f t="shared" si="13"/>
        <v>7.0000076907843253E-2</v>
      </c>
      <c r="S38" s="1953"/>
      <c r="T38" s="1953"/>
      <c r="U38" s="1837"/>
      <c r="V38" s="1837"/>
      <c r="W38" s="1837"/>
      <c r="X38" s="1813"/>
      <c r="Y38" s="1778"/>
      <c r="Z38" s="1778"/>
      <c r="AA38" s="1780"/>
      <c r="AB38" s="1305"/>
      <c r="AC38" s="1304"/>
      <c r="AD38" s="1304"/>
      <c r="AE38" s="1304"/>
      <c r="AF38" s="1304"/>
      <c r="AG38" s="1305"/>
      <c r="AH38" s="1305"/>
      <c r="AI38" s="1304"/>
      <c r="AJ38" s="1304"/>
      <c r="AK38" s="1304"/>
      <c r="AL38" s="1304"/>
      <c r="AM38" s="1297"/>
      <c r="AN38" s="1304"/>
      <c r="AO38" s="1305"/>
      <c r="AP38" s="1305"/>
      <c r="AQ38" s="1305"/>
      <c r="AR38" s="1305"/>
    </row>
    <row r="39" spans="1:44" ht="18" x14ac:dyDescent="0.25">
      <c r="A39" s="1375"/>
      <c r="B39" s="1334"/>
      <c r="C39" s="737"/>
      <c r="D39" s="737" t="s">
        <v>81</v>
      </c>
      <c r="E39" s="625"/>
      <c r="F39" s="1110">
        <f>+'RS 00XX &amp; 1400'!D88+'RS 0653'!D51+'RS 0654'!D59+'RS 0655'!D53</f>
        <v>17794.439999999999</v>
      </c>
      <c r="G39" s="1163">
        <f>+'RS 00XX &amp; 1400'!H88+'RS 0653'!H51+'RS 0654'!H59+'RS 0655'!H53+'RS 1100'!H39</f>
        <v>19658</v>
      </c>
      <c r="H39" s="1132">
        <f>+'RS 00XX &amp; 1400'!L88+'RS 0653'!L51+'RS 0654'!L59+'RS 0655'!L53+'RS 1100'!L39</f>
        <v>19413</v>
      </c>
      <c r="I39" s="653">
        <f>+'RS 00XX &amp; 1400'!P88+'RS 0653'!P51+'RS 0654'!P59+'RS 0655'!P53+'RS 1100'!P39</f>
        <v>19485</v>
      </c>
      <c r="J39" s="653">
        <v>393961.3273797225</v>
      </c>
      <c r="K39" s="653">
        <v>399870.74729041825</v>
      </c>
      <c r="L39" s="653">
        <v>405868.80849977449</v>
      </c>
      <c r="M39" s="1963">
        <f t="shared" si="8"/>
        <v>1863.5600000000013</v>
      </c>
      <c r="N39" s="1940">
        <f t="shared" si="9"/>
        <v>0.10472709453065122</v>
      </c>
      <c r="O39" s="1963">
        <f t="shared" si="10"/>
        <v>-245</v>
      </c>
      <c r="P39" s="1940">
        <f t="shared" si="11"/>
        <v>-1.2463119340726421E-2</v>
      </c>
      <c r="Q39" s="1963">
        <f t="shared" si="12"/>
        <v>72</v>
      </c>
      <c r="R39" s="1940">
        <f t="shared" si="13"/>
        <v>3.7088548910523874E-3</v>
      </c>
      <c r="S39" s="1953"/>
      <c r="T39" s="1953"/>
      <c r="U39" s="1837"/>
      <c r="V39" s="1837"/>
      <c r="W39" s="1837"/>
      <c r="X39" s="1813"/>
      <c r="Y39" s="1778"/>
      <c r="Z39" s="1778"/>
      <c r="AA39" s="1297"/>
      <c r="AB39" s="1305"/>
      <c r="AC39" s="1304"/>
      <c r="AD39" s="1304"/>
      <c r="AE39" s="1304"/>
      <c r="AF39" s="1304"/>
      <c r="AG39" s="1305"/>
      <c r="AH39" s="1305"/>
      <c r="AI39" s="1304"/>
      <c r="AJ39" s="1304"/>
      <c r="AK39" s="1304"/>
      <c r="AL39" s="1304"/>
      <c r="AM39" s="1297"/>
      <c r="AN39" s="1304"/>
      <c r="AO39" s="1305"/>
      <c r="AP39" s="1305"/>
      <c r="AQ39" s="1305"/>
      <c r="AR39" s="1305"/>
    </row>
    <row r="40" spans="1:44" ht="20.25" x14ac:dyDescent="0.25">
      <c r="A40" s="1392"/>
      <c r="B40" s="1355"/>
      <c r="C40" s="1356"/>
      <c r="D40" s="737" t="s">
        <v>82</v>
      </c>
      <c r="E40" s="627"/>
      <c r="F40" s="1110">
        <f>+'RS 00XX &amp; 1400'!D89+'RS 0653'!D52+'RS 0654'!D60+'RS 0655'!D54</f>
        <v>391198.78</v>
      </c>
      <c r="G40" s="1174">
        <f>+'RS 00XX &amp; 1400'!H89+'RS 0653'!H52+'RS 0654'!H60+'RS 0655'!H54+'RS 1100'!H40</f>
        <v>430634</v>
      </c>
      <c r="H40" s="1142">
        <f>+'RS 00XX &amp; 1400'!L89+'RS 0653'!L52+'RS 0654'!L60+'RS 0655'!L54+'RS 1100'!L40</f>
        <v>310620</v>
      </c>
      <c r="I40" s="662">
        <f>+'RS 00XX &amp; 1400'!P89+'RS 0653'!P52+'RS 0654'!P60+'RS 0655'!P54+'RS 1100'!P40</f>
        <v>311737</v>
      </c>
      <c r="J40" s="662">
        <v>5578501.4882336259</v>
      </c>
      <c r="K40" s="662">
        <v>5857426.5626453077</v>
      </c>
      <c r="L40" s="662">
        <v>6150297.890777573</v>
      </c>
      <c r="M40" s="1963">
        <f t="shared" si="8"/>
        <v>39435.219999999972</v>
      </c>
      <c r="N40" s="1940">
        <f t="shared" si="9"/>
        <v>0.10080609147093958</v>
      </c>
      <c r="O40" s="1963">
        <f t="shared" si="10"/>
        <v>-120014</v>
      </c>
      <c r="P40" s="1940">
        <f t="shared" si="11"/>
        <v>-0.27869141777007855</v>
      </c>
      <c r="Q40" s="1963">
        <f t="shared" si="12"/>
        <v>1117</v>
      </c>
      <c r="R40" s="1940">
        <f t="shared" si="13"/>
        <v>3.5960337389736655E-3</v>
      </c>
      <c r="S40" s="1953"/>
      <c r="T40" s="1953"/>
      <c r="U40" s="1836" t="s">
        <v>965</v>
      </c>
      <c r="V40" s="1837"/>
      <c r="W40" s="1837"/>
      <c r="X40" s="1813"/>
      <c r="Y40" s="1778"/>
      <c r="Z40" s="1778"/>
      <c r="AA40" s="1297"/>
      <c r="AB40" s="1305"/>
      <c r="AC40" s="1304"/>
      <c r="AD40" s="1304"/>
      <c r="AE40" s="1304"/>
      <c r="AF40" s="1304"/>
      <c r="AG40" s="1297"/>
      <c r="AH40" s="1297"/>
      <c r="AI40" s="1304"/>
      <c r="AJ40" s="1304"/>
      <c r="AK40" s="1304"/>
      <c r="AL40" s="1304"/>
      <c r="AM40" s="1297"/>
      <c r="AN40" s="1304"/>
      <c r="AO40" s="1305"/>
      <c r="AP40" s="1305"/>
      <c r="AQ40" s="1305"/>
      <c r="AR40" s="1305"/>
    </row>
    <row r="41" spans="1:44" ht="18" x14ac:dyDescent="0.25">
      <c r="A41" s="1392"/>
      <c r="B41" s="1355"/>
      <c r="C41" s="1356"/>
      <c r="D41" s="737" t="s">
        <v>93</v>
      </c>
      <c r="E41" s="627"/>
      <c r="F41" s="1110">
        <f>+'RS 00XX &amp; 1400'!D90+'RS 0653'!D53+'RS 0654'!D61+'RS 0655'!D55</f>
        <v>357161.19</v>
      </c>
      <c r="G41" s="1174">
        <f>+'RS 00XX &amp; 1400'!H90+'RS 0653'!H53+'RS 0654'!H61+'RS 0655'!H55+'RS 1100'!L41</f>
        <v>405678</v>
      </c>
      <c r="H41" s="1142">
        <f>+'RS 00XX &amp; 1400'!L90+'RS 0653'!L53+'RS 0654'!L61+'RS 0655'!L55+'RS 1100'!L41</f>
        <v>405678</v>
      </c>
      <c r="I41" s="662">
        <f>+'RS 00XX &amp; 1400'!P90+'RS 0653'!P53+'RS 0654'!P61+'RS 0655'!P55+'RS 1100'!P41</f>
        <v>405678</v>
      </c>
      <c r="J41" s="662"/>
      <c r="K41" s="662"/>
      <c r="L41" s="662"/>
      <c r="M41" s="1963">
        <f t="shared" si="8"/>
        <v>48516.81</v>
      </c>
      <c r="N41" s="1940">
        <f t="shared" si="9"/>
        <v>0.13584009505624056</v>
      </c>
      <c r="O41" s="1963">
        <f t="shared" si="10"/>
        <v>0</v>
      </c>
      <c r="P41" s="1940">
        <f t="shared" si="11"/>
        <v>0</v>
      </c>
      <c r="Q41" s="1963">
        <f t="shared" si="12"/>
        <v>0</v>
      </c>
      <c r="R41" s="1940">
        <f t="shared" si="13"/>
        <v>0</v>
      </c>
      <c r="S41" s="1953"/>
      <c r="T41" s="1953"/>
      <c r="U41" s="1849" t="str">
        <f>+F1</f>
        <v>2016-2017</v>
      </c>
      <c r="V41" s="1849" t="str">
        <f t="shared" ref="V41:X41" si="17">+G1</f>
        <v>2017-2018</v>
      </c>
      <c r="W41" s="1849" t="str">
        <f t="shared" si="17"/>
        <v>2018-2019</v>
      </c>
      <c r="X41" s="1821" t="str">
        <f t="shared" si="17"/>
        <v>2019-2020</v>
      </c>
      <c r="Y41" s="1778"/>
      <c r="Z41" s="1778"/>
      <c r="AA41" s="1297"/>
      <c r="AB41" s="1305"/>
      <c r="AC41" s="1304"/>
      <c r="AD41" s="1304"/>
      <c r="AE41" s="1304"/>
      <c r="AF41" s="1304"/>
      <c r="AG41" s="1297"/>
      <c r="AH41" s="1297"/>
      <c r="AI41" s="1304"/>
      <c r="AJ41" s="1304"/>
      <c r="AK41" s="1304"/>
      <c r="AL41" s="1304"/>
      <c r="AM41" s="1297"/>
      <c r="AN41" s="1304"/>
      <c r="AO41" s="1305"/>
      <c r="AP41" s="1305"/>
      <c r="AQ41" s="1305"/>
      <c r="AR41" s="1305"/>
    </row>
    <row r="42" spans="1:44" ht="18" x14ac:dyDescent="0.25">
      <c r="A42" s="1392"/>
      <c r="B42" s="1355"/>
      <c r="C42" s="1356"/>
      <c r="D42" s="737" t="s">
        <v>92</v>
      </c>
      <c r="E42" s="627"/>
      <c r="F42" s="1110">
        <f>+'RS 00XX &amp; 1400'!D91+'RS 0653'!D54+'RS 0654'!D62+'RS 0655'!D56</f>
        <v>304242.17000000004</v>
      </c>
      <c r="G42" s="1174">
        <f>+'RS 00XX &amp; 1400'!H91+'RS 0653'!H54+'RS 0654'!H62+'RS 0655'!H56</f>
        <v>330586</v>
      </c>
      <c r="H42" s="1142">
        <f>+'RS 00XX &amp; 1400'!L91+'RS 0653'!L54+'RS 0654'!L62+'RS 0655'!L56</f>
        <v>330586</v>
      </c>
      <c r="I42" s="662">
        <f>+'RS 00XX &amp; 1400'!P91+'RS 0653'!P54+'RS 0654'!P62+'RS 0655'!P56</f>
        <v>330586</v>
      </c>
      <c r="J42" s="662"/>
      <c r="K42" s="662"/>
      <c r="L42" s="662"/>
      <c r="M42" s="1963">
        <f t="shared" si="8"/>
        <v>26343.829999999958</v>
      </c>
      <c r="N42" s="1940">
        <f t="shared" si="9"/>
        <v>8.6588358214773301E-2</v>
      </c>
      <c r="O42" s="1963">
        <f t="shared" si="10"/>
        <v>0</v>
      </c>
      <c r="P42" s="1940">
        <f t="shared" si="11"/>
        <v>0</v>
      </c>
      <c r="Q42" s="1963">
        <f t="shared" si="12"/>
        <v>0</v>
      </c>
      <c r="R42" s="1940">
        <f t="shared" si="13"/>
        <v>0</v>
      </c>
      <c r="S42" s="1953"/>
      <c r="T42" s="1953"/>
      <c r="U42" s="1837">
        <f>+SUM(F34:F42)</f>
        <v>10472432.359999999</v>
      </c>
      <c r="V42" s="1837">
        <f>+SUM(G34:G42)</f>
        <v>11699125.629999999</v>
      </c>
      <c r="W42" s="1837">
        <f>+SUM(H34:H42)</f>
        <v>12690090</v>
      </c>
      <c r="X42" s="1578">
        <f>+SUM(I34:I42)</f>
        <v>13798971</v>
      </c>
      <c r="Y42" s="1778"/>
      <c r="Z42" s="1778"/>
      <c r="AA42" s="1297"/>
      <c r="AB42" s="1305"/>
      <c r="AC42" s="1304"/>
      <c r="AD42" s="1304"/>
      <c r="AE42" s="1304"/>
      <c r="AF42" s="1304"/>
      <c r="AG42" s="1297"/>
      <c r="AH42" s="1297"/>
      <c r="AI42" s="1304"/>
      <c r="AJ42" s="1304"/>
      <c r="AK42" s="1304"/>
      <c r="AL42" s="1304"/>
      <c r="AM42" s="1297"/>
      <c r="AN42" s="1304"/>
      <c r="AO42" s="1305"/>
      <c r="AP42" s="1305"/>
      <c r="AQ42" s="1305"/>
      <c r="AR42" s="1305"/>
    </row>
    <row r="43" spans="1:44" ht="27" customHeight="1" x14ac:dyDescent="0.25">
      <c r="A43" s="1375"/>
      <c r="B43" s="1334"/>
      <c r="C43" s="737" t="s">
        <v>365</v>
      </c>
      <c r="D43" s="737"/>
      <c r="E43" s="625"/>
      <c r="F43" s="1100">
        <f>+'RS 00XX &amp; 1400'!D108+'RS 0653'!D71+'RS 0654'!D79+'RS 0655'!D73+'RS 1100'!D59</f>
        <v>843522.15000000014</v>
      </c>
      <c r="G43" s="1163">
        <f>+'RS 00XX &amp; 1400'!H108+'RS 0653'!H71+'RS 0654'!H79+'RS 0655'!H73+'RS 1100'!H59</f>
        <v>1020239.15</v>
      </c>
      <c r="H43" s="1132">
        <f>+'RS 00XX &amp; 1400'!L108+'RS 0653'!L71+'RS 0654'!L79+'RS 0655'!L73+'RS 1100'!L59</f>
        <v>861350</v>
      </c>
      <c r="I43" s="653">
        <f>+'RS 00XX &amp; 1400'!P108+'RS 0653'!P71+'RS 0654'!P79+'RS 0655'!P73+'RS 1100'!P59</f>
        <v>916350</v>
      </c>
      <c r="J43" s="653" t="e">
        <f>(+I43)*(1+#REF!)</f>
        <v>#REF!</v>
      </c>
      <c r="K43" s="653" t="e">
        <f>(+J43)*(1+#REF!)</f>
        <v>#REF!</v>
      </c>
      <c r="L43" s="653" t="e">
        <f>(+K43)*(1+#REF!)</f>
        <v>#REF!</v>
      </c>
      <c r="M43" s="1963">
        <f t="shared" si="8"/>
        <v>176716.99999999988</v>
      </c>
      <c r="N43" s="1940">
        <f t="shared" si="9"/>
        <v>0.20949894439642142</v>
      </c>
      <c r="O43" s="1963">
        <f t="shared" si="10"/>
        <v>-158889.15000000002</v>
      </c>
      <c r="P43" s="1940">
        <f t="shared" si="11"/>
        <v>-0.1557371622133889</v>
      </c>
      <c r="Q43" s="1963">
        <f t="shared" si="12"/>
        <v>55000</v>
      </c>
      <c r="R43" s="1940">
        <f t="shared" si="13"/>
        <v>6.3853253613513669E-2</v>
      </c>
      <c r="S43" s="1953"/>
      <c r="T43" s="1953"/>
      <c r="U43" s="1837"/>
      <c r="V43" s="1837"/>
      <c r="W43" s="1837"/>
      <c r="X43" s="1813"/>
      <c r="Y43" s="1778"/>
      <c r="Z43" s="1778"/>
      <c r="AA43" s="1297"/>
      <c r="AB43" s="1305"/>
      <c r="AC43" s="1305"/>
      <c r="AD43" s="1305"/>
      <c r="AE43" s="1305"/>
      <c r="AF43" s="1305"/>
      <c r="AG43" s="1297"/>
      <c r="AH43" s="1297"/>
      <c r="AI43" s="1305"/>
      <c r="AJ43" s="1305"/>
      <c r="AK43" s="1305"/>
      <c r="AL43" s="1305"/>
      <c r="AM43" s="1305"/>
      <c r="AN43" s="1305"/>
      <c r="AO43" s="1305"/>
      <c r="AP43" s="1305"/>
      <c r="AQ43" s="1305"/>
      <c r="AR43" s="1305"/>
    </row>
    <row r="44" spans="1:44" s="1303" customFormat="1" ht="36" customHeight="1" x14ac:dyDescent="0.35">
      <c r="A44" s="1392"/>
      <c r="B44" s="1355"/>
      <c r="C44" s="1356"/>
      <c r="D44" s="1360" t="s">
        <v>668</v>
      </c>
      <c r="E44" s="628"/>
      <c r="F44" s="1111">
        <f>+'RS 0617'!D66</f>
        <v>1933812.68</v>
      </c>
      <c r="G44" s="1175">
        <f>+'RS 0617'!H66</f>
        <v>0</v>
      </c>
      <c r="H44" s="1143">
        <f>+'RS 0617'!L66</f>
        <v>1772880</v>
      </c>
      <c r="I44" s="663">
        <f>+'RS 0617'!P66</f>
        <v>0</v>
      </c>
      <c r="J44" s="663">
        <v>550000</v>
      </c>
      <c r="K44" s="663">
        <v>350000</v>
      </c>
      <c r="L44" s="663">
        <v>1369212</v>
      </c>
      <c r="M44" s="1963">
        <f t="shared" si="8"/>
        <v>-1933812.68</v>
      </c>
      <c r="N44" s="1940">
        <f t="shared" si="9"/>
        <v>-1</v>
      </c>
      <c r="O44" s="1963">
        <f t="shared" si="10"/>
        <v>1772880</v>
      </c>
      <c r="P44" s="1940">
        <f t="shared" si="11"/>
        <v>0</v>
      </c>
      <c r="Q44" s="1963">
        <f t="shared" si="12"/>
        <v>-1772880</v>
      </c>
      <c r="R44" s="1940">
        <f t="shared" si="13"/>
        <v>-1</v>
      </c>
      <c r="S44" s="1953"/>
      <c r="T44" s="1953"/>
      <c r="U44" s="1839"/>
      <c r="V44" s="1839"/>
      <c r="W44" s="1839"/>
      <c r="X44" s="1813"/>
      <c r="Y44" s="1778"/>
      <c r="Z44" s="1778"/>
      <c r="AA44" s="1302"/>
      <c r="AB44" s="1305"/>
      <c r="AC44" s="1781"/>
      <c r="AD44" s="1781"/>
      <c r="AE44" s="1781"/>
      <c r="AF44" s="1781"/>
      <c r="AG44" s="1302"/>
      <c r="AH44" s="1302"/>
      <c r="AI44" s="1305"/>
      <c r="AJ44" s="1306"/>
      <c r="AK44" s="1306"/>
      <c r="AL44" s="1306"/>
      <c r="AM44" s="1306"/>
      <c r="AN44" s="1302"/>
      <c r="AO44" s="1302"/>
      <c r="AP44" s="1302"/>
      <c r="AQ44" s="1302"/>
      <c r="AR44" s="1302"/>
    </row>
    <row r="45" spans="1:44" ht="25.5" customHeight="1" x14ac:dyDescent="0.25">
      <c r="A45" s="1375"/>
      <c r="B45" s="1334"/>
      <c r="C45" s="737" t="s">
        <v>366</v>
      </c>
      <c r="D45" s="737"/>
      <c r="E45" s="625"/>
      <c r="F45" s="1100">
        <f>+'RS 00XX &amp; 1400'!D148+'RS 0653'!D87+'RS 0654'!D95+'RS 0655'!D95+'RS 1100'!D76+'RS 0617'!D82-F46</f>
        <v>2773265.02</v>
      </c>
      <c r="G45" s="1163">
        <f>+'RS 00XX &amp; 1400'!H148+'RS 0653'!H87+'RS 0654'!H95+'RS 0655'!H95+'RS 1100'!H76+'RS 0617'!H82-G46</f>
        <v>3102497</v>
      </c>
      <c r="H45" s="1132">
        <f>+'RS 00XX &amp; 1400'!L148+'RS 0653'!L87+'RS 0654'!L95+'RS 0655'!L95+'RS 1100'!L76+'RS 0617'!L82-H46</f>
        <v>3130830</v>
      </c>
      <c r="I45" s="653">
        <f>+'RS 00XX &amp; 1400'!P148+'RS 0653'!P87+'RS 0654'!P95+'RS 0655'!P95+'RS 1100'!P76+'RS 0617'!P82-I46</f>
        <v>3162522</v>
      </c>
      <c r="J45" s="653" t="e">
        <f>(+I45)*(1+#REF!)</f>
        <v>#REF!</v>
      </c>
      <c r="K45" s="653" t="e">
        <f>(+J45)*(1+#REF!)</f>
        <v>#REF!</v>
      </c>
      <c r="L45" s="653" t="e">
        <f>(+K45)*(1+#REF!)</f>
        <v>#REF!</v>
      </c>
      <c r="M45" s="1963">
        <f t="shared" si="8"/>
        <v>329231.98</v>
      </c>
      <c r="N45" s="1940">
        <f t="shared" si="9"/>
        <v>0.11871637857387318</v>
      </c>
      <c r="O45" s="1963">
        <f t="shared" si="10"/>
        <v>28333</v>
      </c>
      <c r="P45" s="1940">
        <f t="shared" si="11"/>
        <v>9.1323214816968392E-3</v>
      </c>
      <c r="Q45" s="1963">
        <f t="shared" si="12"/>
        <v>31692</v>
      </c>
      <c r="R45" s="1940">
        <f t="shared" si="13"/>
        <v>1.0122555360719043E-2</v>
      </c>
      <c r="S45" s="1953"/>
      <c r="T45" s="1953"/>
      <c r="U45" s="1837"/>
      <c r="V45" s="1837"/>
      <c r="W45" s="1837"/>
      <c r="X45" s="1813"/>
      <c r="Y45" s="1778"/>
      <c r="Z45" s="1778"/>
      <c r="AA45" s="1297"/>
      <c r="AB45" s="1305"/>
      <c r="AC45" s="1305"/>
      <c r="AD45" s="1305"/>
      <c r="AE45" s="1305"/>
      <c r="AF45" s="1305"/>
      <c r="AG45" s="1297"/>
      <c r="AH45" s="1297"/>
      <c r="AI45" s="1305"/>
      <c r="AJ45" s="1306"/>
      <c r="AK45" s="1306"/>
      <c r="AL45" s="1306"/>
      <c r="AM45" s="1306"/>
      <c r="AN45" s="1297"/>
      <c r="AO45" s="1297"/>
      <c r="AP45" s="1297"/>
      <c r="AQ45" s="1297"/>
      <c r="AR45" s="1297"/>
    </row>
    <row r="46" spans="1:44" ht="18" x14ac:dyDescent="0.25">
      <c r="A46" s="1375"/>
      <c r="B46" s="1334"/>
      <c r="C46" s="737"/>
      <c r="D46" s="1360" t="s">
        <v>664</v>
      </c>
      <c r="E46" s="625"/>
      <c r="F46" s="1111">
        <f>+'RS 0617'!D82</f>
        <v>33700.58</v>
      </c>
      <c r="G46" s="1175">
        <f>+'RS 0617'!H82</f>
        <v>48500</v>
      </c>
      <c r="H46" s="1143">
        <f>+'RS 0617'!L82</f>
        <v>48500</v>
      </c>
      <c r="I46" s="663">
        <f>+'RS 0617'!P82</f>
        <v>48500</v>
      </c>
      <c r="J46" s="663"/>
      <c r="K46" s="663"/>
      <c r="L46" s="663"/>
      <c r="M46" s="1963">
        <f t="shared" si="8"/>
        <v>14799.419999999998</v>
      </c>
      <c r="N46" s="1940">
        <f t="shared" si="9"/>
        <v>0.43914437080904833</v>
      </c>
      <c r="O46" s="1963">
        <f t="shared" si="10"/>
        <v>0</v>
      </c>
      <c r="P46" s="1940">
        <f t="shared" si="11"/>
        <v>0</v>
      </c>
      <c r="Q46" s="1963">
        <f t="shared" si="12"/>
        <v>0</v>
      </c>
      <c r="R46" s="1940">
        <f t="shared" si="13"/>
        <v>0</v>
      </c>
      <c r="S46" s="1953"/>
      <c r="T46" s="1953"/>
      <c r="U46" s="1837"/>
      <c r="V46" s="1837"/>
      <c r="W46" s="1837"/>
      <c r="X46" s="1813"/>
      <c r="Y46" s="1778"/>
      <c r="Z46" s="1778"/>
      <c r="AA46" s="1297"/>
      <c r="AB46" s="1305"/>
      <c r="AC46" s="1305"/>
      <c r="AD46" s="1305"/>
      <c r="AE46" s="1305"/>
      <c r="AF46" s="1305"/>
      <c r="AG46" s="1297"/>
      <c r="AH46" s="1297"/>
      <c r="AI46" s="1305"/>
      <c r="AJ46" s="1306"/>
      <c r="AK46" s="1306"/>
      <c r="AL46" s="1306"/>
      <c r="AM46" s="1306"/>
      <c r="AN46" s="1297"/>
      <c r="AO46" s="1297"/>
      <c r="AP46" s="1297"/>
      <c r="AQ46" s="1297"/>
      <c r="AR46" s="1297"/>
    </row>
    <row r="47" spans="1:44" s="1303" customFormat="1" ht="25.5" customHeight="1" x14ac:dyDescent="0.25">
      <c r="A47" s="1375"/>
      <c r="B47" s="1334"/>
      <c r="C47" s="737" t="s">
        <v>338</v>
      </c>
      <c r="D47" s="737"/>
      <c r="E47" s="625"/>
      <c r="F47" s="1100">
        <f>+'RS 00XX &amp; 1400'!D154+'RS 1100'!D82</f>
        <v>25000</v>
      </c>
      <c r="G47" s="1163">
        <f>+'RS 00XX &amp; 1400'!H154+'RS 1100'!H82</f>
        <v>9000</v>
      </c>
      <c r="H47" s="1132">
        <f>+'RS 00XX &amp; 1400'!L154+'RS 1100'!L82</f>
        <v>0</v>
      </c>
      <c r="I47" s="653">
        <f>+'RS 00XX &amp; 1400'!P154+'RS 1100'!P82</f>
        <v>0</v>
      </c>
      <c r="J47" s="653" t="e">
        <f>(+I47)*(1+#REF!)</f>
        <v>#REF!</v>
      </c>
      <c r="K47" s="653" t="e">
        <f>(+J47)*(1+#REF!)</f>
        <v>#REF!</v>
      </c>
      <c r="L47" s="653" t="e">
        <f>(+K47)*(1+#REF!)</f>
        <v>#REF!</v>
      </c>
      <c r="M47" s="1963">
        <f t="shared" si="8"/>
        <v>-16000</v>
      </c>
      <c r="N47" s="1940">
        <f t="shared" si="9"/>
        <v>-0.64</v>
      </c>
      <c r="O47" s="1963">
        <f t="shared" si="10"/>
        <v>-9000</v>
      </c>
      <c r="P47" s="1940">
        <f t="shared" si="11"/>
        <v>-1</v>
      </c>
      <c r="Q47" s="1963">
        <f t="shared" si="12"/>
        <v>0</v>
      </c>
      <c r="R47" s="1940">
        <f t="shared" si="13"/>
        <v>0</v>
      </c>
      <c r="S47" s="1953"/>
      <c r="T47" s="1953"/>
      <c r="U47" s="1837"/>
      <c r="V47" s="1837"/>
      <c r="W47" s="1837"/>
      <c r="X47" s="1813"/>
      <c r="Y47" s="1778"/>
      <c r="Z47" s="1778"/>
      <c r="AA47" s="1302"/>
      <c r="AB47" s="1783"/>
      <c r="AC47" s="1305"/>
      <c r="AD47" s="1305"/>
      <c r="AE47" s="1305"/>
      <c r="AF47" s="1305"/>
      <c r="AG47" s="1302"/>
      <c r="AH47" s="1302"/>
      <c r="AI47" s="1304"/>
      <c r="AJ47" s="1306"/>
      <c r="AK47" s="1306"/>
      <c r="AL47" s="1306"/>
      <c r="AM47" s="1306"/>
      <c r="AN47" s="1302"/>
      <c r="AO47" s="1302"/>
      <c r="AP47" s="1302"/>
      <c r="AQ47" s="1302"/>
      <c r="AR47" s="1302"/>
    </row>
    <row r="48" spans="1:44" ht="18" x14ac:dyDescent="0.25">
      <c r="A48" s="1375"/>
      <c r="B48" s="1334"/>
      <c r="C48" s="737" t="s">
        <v>367</v>
      </c>
      <c r="D48" s="737"/>
      <c r="E48" s="625"/>
      <c r="F48" s="1100">
        <f>+'RS 00XX &amp; 1400'!D157+'RS 00XX &amp; 1400'!D158</f>
        <v>121634.83</v>
      </c>
      <c r="G48" s="1163">
        <f>+'RS 00XX &amp; 1400'!H157+'RS 00XX &amp; 1400'!H158+'RS 00XX &amp; 1400'!H161</f>
        <v>212874</v>
      </c>
      <c r="H48" s="1132">
        <f>+'RS 00XX &amp; 1400'!L157+'RS 00XX &amp; 1400'!L158+'RS 00XX &amp; 1400'!L161</f>
        <v>212874</v>
      </c>
      <c r="I48" s="653">
        <f>+'RS 00XX &amp; 1400'!P157+'RS 00XX &amp; 1400'!P158+'RS 00XX &amp; 1400'!P161</f>
        <v>212874</v>
      </c>
      <c r="J48" s="653" t="e">
        <f>(+I48)*(1+#REF!)</f>
        <v>#REF!</v>
      </c>
      <c r="K48" s="653" t="e">
        <f>(+J48)*(1+#REF!)</f>
        <v>#REF!</v>
      </c>
      <c r="L48" s="653" t="e">
        <f>(+K48)*(1+#REF!)</f>
        <v>#REF!</v>
      </c>
      <c r="M48" s="1963">
        <f t="shared" si="8"/>
        <v>91239.17</v>
      </c>
      <c r="N48" s="1940">
        <f t="shared" si="9"/>
        <v>0.75010726779492354</v>
      </c>
      <c r="O48" s="1963">
        <f t="shared" si="10"/>
        <v>0</v>
      </c>
      <c r="P48" s="1940">
        <f t="shared" si="11"/>
        <v>0</v>
      </c>
      <c r="Q48" s="1963">
        <f t="shared" si="12"/>
        <v>0</v>
      </c>
      <c r="R48" s="1940">
        <f t="shared" si="13"/>
        <v>0</v>
      </c>
      <c r="S48" s="1953"/>
      <c r="T48" s="1953"/>
      <c r="U48" s="1837"/>
      <c r="V48" s="1837"/>
      <c r="W48" s="1837"/>
      <c r="X48" s="1813"/>
      <c r="Y48" s="1778"/>
      <c r="Z48" s="1778"/>
      <c r="AA48" s="1297"/>
      <c r="AB48" s="1304"/>
      <c r="AC48" s="1305"/>
      <c r="AD48" s="1305"/>
      <c r="AE48" s="1305"/>
      <c r="AF48" s="1305"/>
      <c r="AG48" s="1297"/>
      <c r="AH48" s="1297"/>
      <c r="AI48" s="1783"/>
      <c r="AJ48" s="1306"/>
      <c r="AK48" s="1306"/>
      <c r="AL48" s="1306"/>
      <c r="AM48" s="1306"/>
      <c r="AN48" s="1297"/>
      <c r="AO48" s="1297"/>
      <c r="AP48" s="1297"/>
      <c r="AQ48" s="1297"/>
      <c r="AR48" s="1297"/>
    </row>
    <row r="49" spans="1:44" ht="18" x14ac:dyDescent="0.25">
      <c r="A49" s="1386"/>
      <c r="B49" s="1337"/>
      <c r="C49" s="1338" t="s">
        <v>368</v>
      </c>
      <c r="D49" s="1338"/>
      <c r="E49" s="631"/>
      <c r="F49" s="1101">
        <f>+'RS 00XX &amp; 1400'!D159+'RS 00XX &amp; 1400'!D160</f>
        <v>-694543.14</v>
      </c>
      <c r="G49" s="1168">
        <f>+'RS 00XX &amp; 1400'!H159+'RS 00XX &amp; 1400'!H160</f>
        <v>-890609</v>
      </c>
      <c r="H49" s="1136">
        <f>+'RS 00XX &amp; 1400'!L159+'RS 00XX &amp; 1400'!L160</f>
        <v>-920444</v>
      </c>
      <c r="I49" s="655">
        <f>+'RS 00XX &amp; 1400'!P159+'RS 00XX &amp; 1400'!P160</f>
        <v>-948242</v>
      </c>
      <c r="J49" s="655" t="e">
        <f>(+I49)*(1+#REF!)</f>
        <v>#REF!</v>
      </c>
      <c r="K49" s="655" t="e">
        <f>(+J49)*(1+#REF!)</f>
        <v>#REF!</v>
      </c>
      <c r="L49" s="655" t="e">
        <f>(+K49)*(1+#REF!)</f>
        <v>#REF!</v>
      </c>
      <c r="M49" s="1963">
        <f t="shared" si="8"/>
        <v>-196065.86</v>
      </c>
      <c r="N49" s="1940">
        <f t="shared" si="9"/>
        <v>0.28229471822297458</v>
      </c>
      <c r="O49" s="1963">
        <f t="shared" si="10"/>
        <v>-29835</v>
      </c>
      <c r="P49" s="1940">
        <f t="shared" si="11"/>
        <v>3.3499549184883605E-2</v>
      </c>
      <c r="Q49" s="1963">
        <f t="shared" si="12"/>
        <v>-27798</v>
      </c>
      <c r="R49" s="1940">
        <f t="shared" si="13"/>
        <v>3.0200642298716707E-2</v>
      </c>
      <c r="S49" s="1953"/>
      <c r="T49" s="1953"/>
      <c r="U49" s="1837"/>
      <c r="V49" s="1837"/>
      <c r="W49" s="1837"/>
      <c r="X49" s="1813"/>
      <c r="Y49" s="1778"/>
      <c r="Z49" s="1778"/>
      <c r="AA49" s="1297"/>
      <c r="AB49" s="1305"/>
      <c r="AC49" s="1305"/>
      <c r="AD49" s="1305"/>
      <c r="AE49" s="1305"/>
      <c r="AF49" s="1305"/>
      <c r="AG49" s="1297"/>
      <c r="AH49" s="1297"/>
      <c r="AI49" s="1304"/>
      <c r="AJ49" s="1306"/>
      <c r="AK49" s="1306"/>
      <c r="AL49" s="1306"/>
      <c r="AM49" s="1306"/>
      <c r="AN49" s="1297"/>
      <c r="AO49" s="1297"/>
      <c r="AP49" s="1297"/>
      <c r="AQ49" s="1297"/>
      <c r="AR49" s="1297"/>
    </row>
    <row r="50" spans="1:44" ht="18.75" thickBot="1" x14ac:dyDescent="0.3">
      <c r="A50" s="1339"/>
      <c r="B50" s="1340" t="s">
        <v>369</v>
      </c>
      <c r="C50" s="1348"/>
      <c r="D50" s="1348"/>
      <c r="E50" s="630"/>
      <c r="F50" s="1097">
        <f>SUM(F27:F49)</f>
        <v>61168664.33765199</v>
      </c>
      <c r="G50" s="1165">
        <f>SUM(G27:G49)</f>
        <v>63051453.367087997</v>
      </c>
      <c r="H50" s="1133">
        <f t="shared" ref="H50:L50" si="18">SUM(H27:H49)</f>
        <v>66915391.235459358</v>
      </c>
      <c r="I50" s="660">
        <f t="shared" si="18"/>
        <v>67631684.547954112</v>
      </c>
      <c r="J50" s="660" t="e">
        <f t="shared" si="18"/>
        <v>#REF!</v>
      </c>
      <c r="K50" s="660" t="e">
        <f t="shared" si="18"/>
        <v>#REF!</v>
      </c>
      <c r="L50" s="660" t="e">
        <f t="shared" si="18"/>
        <v>#REF!</v>
      </c>
      <c r="M50" s="1963">
        <f t="shared" si="8"/>
        <v>1882789.0294360071</v>
      </c>
      <c r="N50" s="1940">
        <f t="shared" si="9"/>
        <v>3.0780286766488509E-2</v>
      </c>
      <c r="O50" s="1963">
        <f t="shared" si="10"/>
        <v>3863937.86837136</v>
      </c>
      <c r="P50" s="1940">
        <f t="shared" si="11"/>
        <v>6.1282296632805031E-2</v>
      </c>
      <c r="Q50" s="1963">
        <f t="shared" si="12"/>
        <v>716293.31249475479</v>
      </c>
      <c r="R50" s="1940">
        <f t="shared" si="13"/>
        <v>1.0704462744218126E-2</v>
      </c>
      <c r="S50" s="1953"/>
      <c r="T50" s="1953"/>
      <c r="U50" s="1807"/>
      <c r="V50" s="1807"/>
      <c r="W50" s="1807"/>
      <c r="X50" s="1814"/>
      <c r="Y50" s="1297"/>
      <c r="Z50" s="1297"/>
      <c r="AA50" s="1297"/>
      <c r="AB50" s="1305"/>
      <c r="AC50" s="1304"/>
      <c r="AD50" s="1304"/>
      <c r="AE50" s="1304"/>
      <c r="AF50" s="1304"/>
      <c r="AG50" s="1297"/>
      <c r="AH50" s="1297"/>
      <c r="AI50" s="1305"/>
      <c r="AJ50" s="1306"/>
      <c r="AK50" s="1306"/>
      <c r="AL50" s="1306"/>
      <c r="AM50" s="1306"/>
      <c r="AN50" s="1297"/>
      <c r="AO50" s="1297"/>
      <c r="AP50" s="1297"/>
      <c r="AQ50" s="1297"/>
      <c r="AR50" s="1297"/>
    </row>
    <row r="51" spans="1:44" ht="18.75" thickTop="1" x14ac:dyDescent="0.25">
      <c r="A51" s="1383"/>
      <c r="B51" s="1384"/>
      <c r="C51" s="1385"/>
      <c r="D51" s="1385"/>
      <c r="E51" s="696"/>
      <c r="F51" s="1112"/>
      <c r="G51" s="1176"/>
      <c r="H51" s="1144"/>
      <c r="I51" s="697"/>
      <c r="J51" s="697"/>
      <c r="K51" s="697"/>
      <c r="L51" s="697"/>
      <c r="M51" s="1963"/>
      <c r="N51" s="1940"/>
      <c r="O51" s="1963"/>
      <c r="P51" s="1940"/>
      <c r="Q51" s="1963"/>
      <c r="R51" s="1940"/>
      <c r="S51" s="1953"/>
      <c r="T51" s="1953"/>
      <c r="U51" s="1832"/>
      <c r="V51" s="1831"/>
      <c r="W51" s="1831"/>
      <c r="X51" s="1812"/>
      <c r="Y51" s="1305"/>
      <c r="Z51" s="1305"/>
      <c r="AA51" s="1305"/>
      <c r="AB51" s="1297"/>
      <c r="AC51" s="1297"/>
      <c r="AD51" s="1305"/>
      <c r="AE51" s="1305"/>
      <c r="AF51" s="1305"/>
      <c r="AG51" s="1305"/>
      <c r="AH51" s="1305"/>
      <c r="AI51" s="1297"/>
      <c r="AJ51" s="1297"/>
      <c r="AK51" s="1297"/>
      <c r="AL51" s="1297"/>
      <c r="AM51" s="1297"/>
      <c r="AN51" s="1297"/>
      <c r="AO51" s="1297"/>
      <c r="AP51" s="1297"/>
      <c r="AQ51" s="1297"/>
      <c r="AR51" s="1297"/>
    </row>
    <row r="52" spans="1:44" ht="18" x14ac:dyDescent="0.25">
      <c r="A52" s="1372"/>
      <c r="B52" s="1329" t="s">
        <v>710</v>
      </c>
      <c r="C52" s="1330"/>
      <c r="D52" s="1330"/>
      <c r="E52" s="667"/>
      <c r="F52" s="1113"/>
      <c r="G52" s="1167"/>
      <c r="H52" s="1135"/>
      <c r="I52" s="668"/>
      <c r="J52" s="668"/>
      <c r="K52" s="668"/>
      <c r="L52" s="668"/>
      <c r="M52" s="1963"/>
      <c r="N52" s="1940"/>
      <c r="O52" s="1963"/>
      <c r="P52" s="1940"/>
      <c r="Q52" s="1963"/>
      <c r="R52" s="1940"/>
      <c r="S52" s="1953"/>
      <c r="T52" s="1953"/>
      <c r="U52" s="1831"/>
      <c r="V52" s="1831"/>
      <c r="W52" s="1831"/>
      <c r="X52" s="1812"/>
      <c r="Y52" s="1305"/>
      <c r="Z52" s="1305"/>
      <c r="AA52" s="1305"/>
      <c r="AB52" s="1297"/>
      <c r="AC52" s="1297"/>
      <c r="AD52" s="1297"/>
      <c r="AE52" s="1297"/>
      <c r="AF52" s="1297"/>
      <c r="AG52" s="1297"/>
      <c r="AH52" s="1297"/>
      <c r="AI52" s="1297"/>
      <c r="AJ52" s="1297"/>
      <c r="AK52" s="1297"/>
      <c r="AL52" s="1297"/>
      <c r="AM52" s="1297"/>
      <c r="AN52" s="1297"/>
      <c r="AO52" s="1297"/>
      <c r="AP52" s="1297"/>
      <c r="AQ52" s="1297"/>
      <c r="AR52" s="1297"/>
    </row>
    <row r="53" spans="1:44" ht="20.25" x14ac:dyDescent="0.4">
      <c r="A53" s="1373"/>
      <c r="B53" s="1332"/>
      <c r="C53" s="745" t="s">
        <v>370</v>
      </c>
      <c r="D53" s="745"/>
      <c r="E53" s="694"/>
      <c r="F53" s="1114">
        <f>+'RS 00XX &amp; 1400'!D162+'RS 00XX &amp; 1400'!D163+'RS 00XX &amp; 1400'!D164</f>
        <v>562000</v>
      </c>
      <c r="G53" s="1177">
        <f>+'RS 00XX &amp; 1400'!H162+'RS 00XX &amp; 1400'!H163+'RS 00XX &amp; 1400'!H164</f>
        <v>562000</v>
      </c>
      <c r="H53" s="1145">
        <f>+'RS 00XX &amp; 1400'!L162+'RS 00XX &amp; 1400'!L163+'RS 00XX &amp; 1400'!L164</f>
        <v>562000</v>
      </c>
      <c r="I53" s="695">
        <f>+'RS 00XX &amp; 1400'!P162+'RS 00XX &amp; 1400'!P163+'RS 00XX &amp; 1400'!P164</f>
        <v>562000</v>
      </c>
      <c r="J53" s="695">
        <f t="shared" ref="J53:L53" si="19">+I53</f>
        <v>562000</v>
      </c>
      <c r="K53" s="695">
        <f t="shared" si="19"/>
        <v>562000</v>
      </c>
      <c r="L53" s="695">
        <f t="shared" si="19"/>
        <v>562000</v>
      </c>
      <c r="M53" s="1963">
        <f t="shared" si="8"/>
        <v>0</v>
      </c>
      <c r="N53" s="1940">
        <f t="shared" si="9"/>
        <v>0</v>
      </c>
      <c r="O53" s="1963">
        <f t="shared" si="10"/>
        <v>0</v>
      </c>
      <c r="P53" s="1940">
        <f t="shared" si="11"/>
        <v>0</v>
      </c>
      <c r="Q53" s="1963">
        <f t="shared" si="12"/>
        <v>0</v>
      </c>
      <c r="R53" s="1940">
        <f t="shared" si="13"/>
        <v>0</v>
      </c>
      <c r="S53" s="1953"/>
      <c r="T53" s="1953"/>
      <c r="U53" s="1831"/>
      <c r="V53" s="1840"/>
      <c r="W53" s="1840"/>
      <c r="X53" s="1815"/>
      <c r="Y53" s="1781"/>
      <c r="Z53" s="1781"/>
      <c r="AA53" s="1781"/>
      <c r="AB53" s="1297"/>
      <c r="AC53" s="1297"/>
      <c r="AD53" s="1297"/>
      <c r="AE53" s="1297"/>
      <c r="AF53" s="1297"/>
      <c r="AG53" s="1297"/>
      <c r="AH53" s="1297"/>
      <c r="AI53" s="1297"/>
      <c r="AJ53" s="1297"/>
      <c r="AK53" s="1297"/>
      <c r="AL53" s="1297"/>
      <c r="AM53" s="1297"/>
      <c r="AN53" s="1297"/>
      <c r="AO53" s="1297"/>
      <c r="AP53" s="1297"/>
      <c r="AQ53" s="1297"/>
      <c r="AR53" s="1297"/>
    </row>
    <row r="54" spans="1:44" ht="18" x14ac:dyDescent="0.25">
      <c r="A54" s="1375"/>
      <c r="B54" s="1334"/>
      <c r="C54" s="737" t="s">
        <v>372</v>
      </c>
      <c r="D54" s="737"/>
      <c r="E54" s="625"/>
      <c r="F54" s="1100">
        <v>0</v>
      </c>
      <c r="G54" s="1163">
        <v>0</v>
      </c>
      <c r="H54" s="1132">
        <v>0</v>
      </c>
      <c r="I54" s="653">
        <v>0</v>
      </c>
      <c r="J54" s="653">
        <v>0</v>
      </c>
      <c r="K54" s="653">
        <v>0</v>
      </c>
      <c r="L54" s="653">
        <v>0</v>
      </c>
      <c r="M54" s="1963">
        <f t="shared" si="8"/>
        <v>0</v>
      </c>
      <c r="N54" s="1940">
        <f t="shared" si="9"/>
        <v>0</v>
      </c>
      <c r="O54" s="1963">
        <f t="shared" si="10"/>
        <v>0</v>
      </c>
      <c r="P54" s="1940">
        <f t="shared" si="11"/>
        <v>0</v>
      </c>
      <c r="Q54" s="1963">
        <f t="shared" si="12"/>
        <v>0</v>
      </c>
      <c r="R54" s="1940">
        <f t="shared" si="13"/>
        <v>0</v>
      </c>
      <c r="S54" s="1953"/>
      <c r="T54" s="1953"/>
      <c r="U54" s="1832"/>
      <c r="V54" s="1831"/>
      <c r="W54" s="1831"/>
      <c r="X54" s="1812"/>
      <c r="Y54" s="1305"/>
      <c r="Z54" s="1305"/>
      <c r="AA54" s="1305"/>
      <c r="AB54" s="1297"/>
      <c r="AC54" s="1297"/>
      <c r="AD54" s="1297"/>
      <c r="AE54" s="1297"/>
      <c r="AF54" s="1297"/>
      <c r="AG54" s="1297"/>
      <c r="AH54" s="1297"/>
      <c r="AI54" s="1297"/>
      <c r="AJ54" s="1297"/>
      <c r="AK54" s="1297"/>
      <c r="AL54" s="1297"/>
      <c r="AM54" s="1297"/>
      <c r="AN54" s="1297"/>
      <c r="AO54" s="1297"/>
      <c r="AP54" s="1297"/>
      <c r="AQ54" s="1297"/>
      <c r="AR54" s="1297"/>
    </row>
    <row r="55" spans="1:44" s="1308" customFormat="1" ht="21" thickBot="1" x14ac:dyDescent="0.45">
      <c r="A55" s="1339"/>
      <c r="B55" s="1340" t="s">
        <v>374</v>
      </c>
      <c r="C55" s="1348"/>
      <c r="D55" s="1348"/>
      <c r="E55" s="630">
        <f>+E16-E53+E17+E54+SUM(E19:E21)</f>
        <v>0</v>
      </c>
      <c r="F55" s="1097">
        <f>SUM(F53:F54)</f>
        <v>562000</v>
      </c>
      <c r="G55" s="1165">
        <f t="shared" ref="G55:I55" si="20">SUM(G53:G54)</f>
        <v>562000</v>
      </c>
      <c r="H55" s="1133">
        <f t="shared" si="20"/>
        <v>562000</v>
      </c>
      <c r="I55" s="660">
        <f t="shared" si="20"/>
        <v>562000</v>
      </c>
      <c r="J55" s="660" t="e">
        <f>+J16-J53+J17+J54+J18</f>
        <v>#REF!</v>
      </c>
      <c r="K55" s="660" t="e">
        <f>+K16-K53+K17+K54+K18</f>
        <v>#REF!</v>
      </c>
      <c r="L55" s="660" t="e">
        <f>+L16-L53+L17+L54+L18</f>
        <v>#REF!</v>
      </c>
      <c r="M55" s="1963">
        <f t="shared" si="8"/>
        <v>0</v>
      </c>
      <c r="N55" s="1940">
        <f t="shared" si="9"/>
        <v>0</v>
      </c>
      <c r="O55" s="1963">
        <f t="shared" si="10"/>
        <v>0</v>
      </c>
      <c r="P55" s="1940">
        <f t="shared" si="11"/>
        <v>0</v>
      </c>
      <c r="Q55" s="1963">
        <f t="shared" si="12"/>
        <v>0</v>
      </c>
      <c r="R55" s="1940">
        <f t="shared" si="13"/>
        <v>0</v>
      </c>
      <c r="S55" s="1953"/>
      <c r="T55" s="1953"/>
      <c r="U55" s="1831"/>
      <c r="V55" s="1840"/>
      <c r="W55" s="1840"/>
      <c r="X55" s="1815"/>
      <c r="Y55" s="1781"/>
      <c r="Z55" s="1307"/>
      <c r="AA55" s="1307"/>
      <c r="AB55" s="1307"/>
      <c r="AC55" s="1307"/>
      <c r="AD55" s="1307"/>
      <c r="AE55" s="1307"/>
      <c r="AF55" s="1307"/>
      <c r="AG55" s="1307"/>
      <c r="AH55" s="1307"/>
      <c r="AI55" s="1307"/>
      <c r="AJ55" s="1307"/>
      <c r="AK55" s="1307"/>
      <c r="AL55" s="1307"/>
      <c r="AM55" s="1307"/>
      <c r="AN55" s="1307"/>
      <c r="AO55" s="1307"/>
      <c r="AP55" s="1307"/>
      <c r="AQ55" s="1307"/>
      <c r="AR55" s="1307"/>
    </row>
    <row r="56" spans="1:44" s="1308" customFormat="1" ht="18.75" thickTop="1" x14ac:dyDescent="0.25">
      <c r="A56" s="1387"/>
      <c r="B56" s="1349"/>
      <c r="C56" s="1343"/>
      <c r="D56" s="1343"/>
      <c r="E56" s="224"/>
      <c r="F56" s="1115"/>
      <c r="G56" s="1170"/>
      <c r="H56" s="1146"/>
      <c r="I56" s="658"/>
      <c r="J56" s="658"/>
      <c r="K56" s="658"/>
      <c r="L56" s="658"/>
      <c r="M56" s="1963"/>
      <c r="N56" s="1940"/>
      <c r="O56" s="1963"/>
      <c r="P56" s="1940"/>
      <c r="Q56" s="1963"/>
      <c r="R56" s="1940"/>
      <c r="S56" s="1953"/>
      <c r="T56" s="1953"/>
      <c r="U56" s="1831"/>
      <c r="V56" s="1832"/>
      <c r="W56" s="1832"/>
      <c r="X56" s="1811"/>
      <c r="Y56" s="1304"/>
      <c r="Z56" s="1307"/>
      <c r="AA56" s="1307"/>
      <c r="AB56" s="1307"/>
      <c r="AC56" s="1307"/>
      <c r="AD56" s="1307"/>
      <c r="AE56" s="1307"/>
      <c r="AF56" s="1307"/>
      <c r="AG56" s="1307"/>
      <c r="AH56" s="1307"/>
      <c r="AI56" s="1307"/>
      <c r="AJ56" s="1307"/>
      <c r="AK56" s="1307"/>
      <c r="AL56" s="1307"/>
      <c r="AM56" s="1307"/>
      <c r="AN56" s="1307"/>
      <c r="AO56" s="1307"/>
      <c r="AP56" s="1307"/>
      <c r="AQ56" s="1307"/>
      <c r="AR56" s="1307"/>
    </row>
    <row r="57" spans="1:44" s="1310" customFormat="1" ht="25.5" customHeight="1" x14ac:dyDescent="0.25">
      <c r="A57" s="1388"/>
      <c r="B57" s="1389" t="s">
        <v>711</v>
      </c>
      <c r="C57" s="1393"/>
      <c r="D57" s="1393"/>
      <c r="E57" s="698"/>
      <c r="F57" s="1116">
        <f>SUM(F50,F55)</f>
        <v>61730664.33765199</v>
      </c>
      <c r="G57" s="1178">
        <f t="shared" ref="G57:I57" si="21">SUM(G50,G55)</f>
        <v>63613453.367087997</v>
      </c>
      <c r="H57" s="1147">
        <f t="shared" si="21"/>
        <v>67477391.235459358</v>
      </c>
      <c r="I57" s="699">
        <f t="shared" si="21"/>
        <v>68193684.547954112</v>
      </c>
      <c r="J57" s="699"/>
      <c r="K57" s="699"/>
      <c r="L57" s="699"/>
      <c r="M57" s="1963">
        <f t="shared" si="8"/>
        <v>1882789.0294360071</v>
      </c>
      <c r="N57" s="1940">
        <f t="shared" si="9"/>
        <v>3.0500061025386035E-2</v>
      </c>
      <c r="O57" s="1963">
        <f t="shared" si="10"/>
        <v>3863937.86837136</v>
      </c>
      <c r="P57" s="1940">
        <f t="shared" si="11"/>
        <v>6.0740891491523147E-2</v>
      </c>
      <c r="Q57" s="1963">
        <f t="shared" si="12"/>
        <v>716293.31249475479</v>
      </c>
      <c r="R57" s="1940">
        <f t="shared" si="13"/>
        <v>1.0615308318534146E-2</v>
      </c>
      <c r="S57" s="1953"/>
      <c r="T57" s="1953"/>
      <c r="U57" s="1841"/>
      <c r="V57" s="1842"/>
      <c r="W57" s="1842"/>
      <c r="X57" s="1817"/>
      <c r="Y57" s="1327"/>
      <c r="Z57" s="1309"/>
      <c r="AA57" s="1309"/>
      <c r="AB57" s="1309"/>
      <c r="AC57" s="1309"/>
      <c r="AD57" s="1309"/>
      <c r="AE57" s="1309"/>
      <c r="AF57" s="1309"/>
      <c r="AG57" s="1309"/>
      <c r="AH57" s="1309"/>
      <c r="AI57" s="1309"/>
      <c r="AJ57" s="1309"/>
      <c r="AK57" s="1309"/>
      <c r="AL57" s="1309"/>
      <c r="AM57" s="1309"/>
      <c r="AN57" s="1309"/>
      <c r="AO57" s="1309"/>
      <c r="AP57" s="1309"/>
      <c r="AQ57" s="1309"/>
      <c r="AR57" s="1309"/>
    </row>
    <row r="58" spans="1:44" s="1310" customFormat="1" ht="14.25" customHeight="1" x14ac:dyDescent="0.25">
      <c r="A58" s="1394"/>
      <c r="B58" s="1395"/>
      <c r="C58" s="1396"/>
      <c r="D58" s="1397"/>
      <c r="E58" s="758"/>
      <c r="F58" s="759"/>
      <c r="G58" s="1179"/>
      <c r="H58" s="759"/>
      <c r="I58" s="760"/>
      <c r="J58" s="760"/>
      <c r="K58" s="760"/>
      <c r="L58" s="760"/>
      <c r="M58" s="1963"/>
      <c r="N58" s="1940"/>
      <c r="O58" s="1963"/>
      <c r="P58" s="1940"/>
      <c r="Q58" s="1963"/>
      <c r="R58" s="1940"/>
      <c r="S58" s="1953"/>
      <c r="T58" s="1953"/>
      <c r="U58" s="1841"/>
      <c r="V58" s="1842"/>
      <c r="W58" s="1842"/>
      <c r="X58" s="1817"/>
      <c r="Y58" s="1327"/>
      <c r="Z58" s="1309"/>
      <c r="AA58" s="1309"/>
      <c r="AB58" s="1309"/>
      <c r="AC58" s="1309"/>
      <c r="AD58" s="1309"/>
      <c r="AE58" s="1309"/>
      <c r="AF58" s="1309"/>
      <c r="AG58" s="1309"/>
      <c r="AH58" s="1309"/>
      <c r="AI58" s="1309"/>
      <c r="AJ58" s="1309"/>
      <c r="AK58" s="1309"/>
      <c r="AL58" s="1309"/>
      <c r="AM58" s="1309"/>
      <c r="AN58" s="1309"/>
      <c r="AO58" s="1309"/>
      <c r="AP58" s="1309"/>
      <c r="AQ58" s="1309"/>
      <c r="AR58" s="1309"/>
    </row>
    <row r="59" spans="1:44" s="1310" customFormat="1" ht="33" customHeight="1" x14ac:dyDescent="0.25">
      <c r="A59" s="1388"/>
      <c r="B59" s="1389" t="s">
        <v>393</v>
      </c>
      <c r="C59" s="1389"/>
      <c r="D59" s="1389"/>
      <c r="E59" s="700"/>
      <c r="F59" s="1117">
        <v>15516669.960000001</v>
      </c>
      <c r="G59" s="1180">
        <f>+F61</f>
        <v>7203714.6123480052</v>
      </c>
      <c r="H59" s="1148">
        <f>+G61</f>
        <v>-3719455.7447399925</v>
      </c>
      <c r="I59" s="701">
        <f>+H61</f>
        <v>-18014837.316699356</v>
      </c>
      <c r="J59" s="701">
        <f t="shared" ref="J59:L59" si="22">+I61</f>
        <v>-31663331.258561224</v>
      </c>
      <c r="K59" s="701" t="e">
        <f t="shared" si="22"/>
        <v>#REF!</v>
      </c>
      <c r="L59" s="701" t="e">
        <f t="shared" si="22"/>
        <v>#REF!</v>
      </c>
      <c r="M59" s="1963">
        <f t="shared" si="8"/>
        <v>-8312955.3476519957</v>
      </c>
      <c r="N59" s="1940">
        <f t="shared" si="9"/>
        <v>-0.53574351771879769</v>
      </c>
      <c r="O59" s="1963">
        <f t="shared" si="10"/>
        <v>-10923170.357087998</v>
      </c>
      <c r="P59" s="1940">
        <f t="shared" si="11"/>
        <v>-1.516324694257656</v>
      </c>
      <c r="Q59" s="1963">
        <f t="shared" si="12"/>
        <v>-14295381.571959363</v>
      </c>
      <c r="R59" s="1940">
        <f t="shared" si="13"/>
        <v>3.8434068189077695</v>
      </c>
      <c r="S59" s="1953"/>
      <c r="T59" s="1953"/>
      <c r="U59" s="1843"/>
      <c r="V59" s="1844"/>
      <c r="W59" s="1841"/>
      <c r="X59" s="1818"/>
      <c r="Y59" s="1326"/>
      <c r="Z59" s="1309"/>
      <c r="AA59" s="1309"/>
      <c r="AB59" s="1309"/>
      <c r="AC59" s="1309"/>
      <c r="AD59" s="1309"/>
      <c r="AE59" s="1309"/>
      <c r="AF59" s="1309"/>
      <c r="AG59" s="1309"/>
      <c r="AH59" s="1309"/>
      <c r="AI59" s="1309"/>
      <c r="AJ59" s="1309"/>
      <c r="AK59" s="1309"/>
      <c r="AL59" s="1309"/>
      <c r="AM59" s="1309"/>
      <c r="AN59" s="1309"/>
      <c r="AO59" s="1309"/>
      <c r="AP59" s="1309"/>
      <c r="AQ59" s="1309"/>
      <c r="AR59" s="1309"/>
    </row>
    <row r="60" spans="1:44" s="1310" customFormat="1" ht="33" customHeight="1" x14ac:dyDescent="0.25">
      <c r="A60" s="1388"/>
      <c r="B60" s="1389" t="s">
        <v>375</v>
      </c>
      <c r="C60" s="1393"/>
      <c r="D60" s="1393"/>
      <c r="E60" s="700"/>
      <c r="F60" s="1117">
        <f>F24-F57</f>
        <v>-8312955.3476519957</v>
      </c>
      <c r="G60" s="1180">
        <f>G24-G57</f>
        <v>-10923170.367087997</v>
      </c>
      <c r="H60" s="1148">
        <f>H24-H57</f>
        <v>-14295381.571959361</v>
      </c>
      <c r="I60" s="701">
        <f>I24-I57</f>
        <v>-13648493.941861868</v>
      </c>
      <c r="J60" s="701" t="e">
        <f>+#REF!+J55</f>
        <v>#REF!</v>
      </c>
      <c r="K60" s="701" t="e">
        <f>+#REF!+K55</f>
        <v>#REF!</v>
      </c>
      <c r="L60" s="701" t="e">
        <f>+#REF!+L55</f>
        <v>#REF!</v>
      </c>
      <c r="M60" s="1963">
        <f t="shared" si="8"/>
        <v>-2610215.0194360018</v>
      </c>
      <c r="N60" s="1940">
        <f t="shared" si="9"/>
        <v>0.31399362925403662</v>
      </c>
      <c r="O60" s="1963">
        <f t="shared" si="10"/>
        <v>-3372211.2048713639</v>
      </c>
      <c r="P60" s="1940">
        <f t="shared" si="11"/>
        <v>0.30872091998418222</v>
      </c>
      <c r="Q60" s="1963">
        <f t="shared" si="12"/>
        <v>646887.63009749353</v>
      </c>
      <c r="R60" s="1940">
        <f t="shared" si="13"/>
        <v>-4.5251511954488489E-2</v>
      </c>
      <c r="S60" s="1953"/>
      <c r="T60" s="1953"/>
      <c r="U60" s="1845"/>
      <c r="V60" s="1846"/>
      <c r="W60" s="1841"/>
      <c r="X60" s="1818"/>
      <c r="Y60" s="1326"/>
      <c r="Z60" s="1309"/>
      <c r="AA60" s="1309"/>
      <c r="AB60" s="1309"/>
      <c r="AC60" s="1309"/>
      <c r="AD60" s="1309"/>
      <c r="AE60" s="1309"/>
      <c r="AF60" s="1309"/>
      <c r="AG60" s="1309"/>
      <c r="AH60" s="1309"/>
      <c r="AI60" s="1309"/>
      <c r="AJ60" s="1309"/>
      <c r="AK60" s="1309"/>
      <c r="AL60" s="1309"/>
      <c r="AM60" s="1309"/>
      <c r="AN60" s="1309"/>
      <c r="AO60" s="1309"/>
      <c r="AP60" s="1309"/>
      <c r="AQ60" s="1309"/>
      <c r="AR60" s="1309"/>
    </row>
    <row r="61" spans="1:44" s="1312" customFormat="1" ht="26.25" customHeight="1" x14ac:dyDescent="0.25">
      <c r="A61" s="1398"/>
      <c r="B61" s="1399" t="s">
        <v>136</v>
      </c>
      <c r="C61" s="1400"/>
      <c r="D61" s="1400"/>
      <c r="E61" s="649"/>
      <c r="F61" s="1118">
        <f>F59+F60</f>
        <v>7203714.6123480052</v>
      </c>
      <c r="G61" s="1181">
        <f>G59+G60+0.01</f>
        <v>-3719455.7447399925</v>
      </c>
      <c r="H61" s="1149">
        <f>H59+H60</f>
        <v>-18014837.316699356</v>
      </c>
      <c r="I61" s="678">
        <f>I59+I60</f>
        <v>-31663331.258561224</v>
      </c>
      <c r="J61" s="678" t="e">
        <f>+#REF!+J60</f>
        <v>#REF!</v>
      </c>
      <c r="K61" s="678" t="e">
        <f>+#REF!+K60</f>
        <v>#REF!</v>
      </c>
      <c r="L61" s="678" t="e">
        <f>+#REF!+L60</f>
        <v>#REF!</v>
      </c>
      <c r="M61" s="1963">
        <f t="shared" si="8"/>
        <v>-10923170.357087998</v>
      </c>
      <c r="N61" s="1940">
        <f t="shared" si="9"/>
        <v>-1.516324694257656</v>
      </c>
      <c r="O61" s="1963">
        <f t="shared" si="10"/>
        <v>-14295381.571959363</v>
      </c>
      <c r="P61" s="1940">
        <f t="shared" si="11"/>
        <v>3.8434068189077695</v>
      </c>
      <c r="Q61" s="1963">
        <f t="shared" si="12"/>
        <v>-13648493.941861868</v>
      </c>
      <c r="R61" s="1940">
        <f t="shared" si="13"/>
        <v>0.75762515652639373</v>
      </c>
      <c r="S61" s="1953"/>
      <c r="T61" s="1953"/>
      <c r="U61" s="1844"/>
      <c r="V61" s="1844"/>
      <c r="W61" s="1846"/>
      <c r="X61" s="651"/>
      <c r="Y61" s="1785"/>
      <c r="Z61" s="1311"/>
      <c r="AA61" s="1311"/>
      <c r="AB61" s="1786"/>
      <c r="AC61" s="1311"/>
      <c r="AD61" s="1311"/>
      <c r="AE61" s="1311"/>
      <c r="AF61" s="1311"/>
      <c r="AG61" s="1311"/>
      <c r="AH61" s="1311"/>
      <c r="AI61" s="1311"/>
      <c r="AJ61" s="1311"/>
      <c r="AK61" s="1311"/>
      <c r="AL61" s="1311"/>
      <c r="AM61" s="1311"/>
      <c r="AN61" s="1311"/>
      <c r="AO61" s="1311"/>
      <c r="AP61" s="1311"/>
      <c r="AQ61" s="1311"/>
      <c r="AR61" s="1311"/>
    </row>
    <row r="62" spans="1:44" s="1308" customFormat="1" ht="18.75" thickBot="1" x14ac:dyDescent="0.3">
      <c r="A62" s="1401"/>
      <c r="B62" s="1402"/>
      <c r="C62" s="1403"/>
      <c r="D62" s="1403"/>
      <c r="E62" s="648"/>
      <c r="F62" s="1119">
        <f>F61/COMBINED!F57</f>
        <v>9.0014167526071179E-2</v>
      </c>
      <c r="G62" s="1182">
        <f>G61/COMBINED!G57</f>
        <v>-4.3392324646738208E-2</v>
      </c>
      <c r="H62" s="1150">
        <f>H61/COMBINED!H57</f>
        <v>-0.2189430909750941</v>
      </c>
      <c r="I62" s="679">
        <f>I61/COMBINED!I57</f>
        <v>-0.38478147817079617</v>
      </c>
      <c r="J62" s="679" t="e">
        <f>+J61/(COMBINED!J50+COMBINED!J53+COMBINED!J54)</f>
        <v>#REF!</v>
      </c>
      <c r="K62" s="679" t="e">
        <f>+K61/(COMBINED!K50+COMBINED!K53+COMBINED!K54)</f>
        <v>#REF!</v>
      </c>
      <c r="L62" s="679" t="e">
        <f>+L61/(COMBINED!L50+COMBINED!L53+COMBINED!L54)</f>
        <v>#REF!</v>
      </c>
      <c r="M62" s="1963"/>
      <c r="N62" s="1951"/>
      <c r="O62" s="1963"/>
      <c r="P62" s="1952"/>
      <c r="Q62" s="1963"/>
      <c r="R62" s="1953"/>
      <c r="S62" s="1953"/>
      <c r="T62" s="1953"/>
      <c r="U62" s="1830"/>
      <c r="V62" s="1846"/>
      <c r="W62" s="1830"/>
      <c r="X62" s="633"/>
      <c r="Y62" s="1787"/>
      <c r="Z62" s="1307"/>
      <c r="AA62" s="1307"/>
      <c r="AB62" s="1788"/>
      <c r="AC62" s="1307"/>
      <c r="AD62" s="1307"/>
      <c r="AE62" s="1307"/>
      <c r="AF62" s="1307"/>
      <c r="AG62" s="1307"/>
      <c r="AH62" s="1307"/>
      <c r="AI62" s="1307"/>
      <c r="AJ62" s="1307"/>
      <c r="AK62" s="1307"/>
      <c r="AL62" s="1307"/>
      <c r="AM62" s="1307"/>
      <c r="AN62" s="1307"/>
      <c r="AO62" s="1307"/>
      <c r="AP62" s="1307"/>
      <c r="AQ62" s="1307"/>
      <c r="AR62" s="1307"/>
    </row>
    <row r="63" spans="1:44" s="1308" customFormat="1" ht="18.75" thickTop="1" x14ac:dyDescent="0.25">
      <c r="A63" s="1387"/>
      <c r="B63" s="1349"/>
      <c r="C63" s="1350"/>
      <c r="D63" s="1330"/>
      <c r="E63" s="761"/>
      <c r="F63" s="761"/>
      <c r="G63" s="1183"/>
      <c r="H63" s="761"/>
      <c r="I63" s="762"/>
      <c r="J63" s="762"/>
      <c r="K63" s="762"/>
      <c r="L63" s="762"/>
      <c r="M63" s="1964"/>
      <c r="N63" s="1941"/>
      <c r="O63" s="1978"/>
      <c r="P63" s="1936"/>
      <c r="Q63" s="1978"/>
      <c r="R63" s="1784"/>
      <c r="S63" s="1784"/>
      <c r="T63" s="1784"/>
      <c r="U63" s="1830"/>
      <c r="V63" s="1846"/>
      <c r="W63" s="1830"/>
      <c r="X63" s="633"/>
      <c r="Y63" s="1787"/>
      <c r="Z63" s="1307"/>
      <c r="AA63" s="1307"/>
      <c r="AB63" s="1788"/>
      <c r="AC63" s="1307"/>
      <c r="AD63" s="1307"/>
      <c r="AE63" s="1307"/>
      <c r="AF63" s="1307"/>
      <c r="AG63" s="1307"/>
      <c r="AH63" s="1307"/>
      <c r="AI63" s="1307"/>
      <c r="AJ63" s="1307"/>
      <c r="AK63" s="1307"/>
      <c r="AL63" s="1307"/>
      <c r="AM63" s="1307"/>
      <c r="AN63" s="1307"/>
      <c r="AO63" s="1307"/>
      <c r="AP63" s="1307"/>
      <c r="AQ63" s="1307"/>
      <c r="AR63" s="1307"/>
    </row>
    <row r="64" spans="1:44" s="1308" customFormat="1" ht="40.5" customHeight="1" x14ac:dyDescent="0.25">
      <c r="A64" s="1404" t="s">
        <v>376</v>
      </c>
      <c r="B64" s="1405"/>
      <c r="C64" s="1406"/>
      <c r="D64" s="1406"/>
      <c r="E64" s="688"/>
      <c r="F64" s="688"/>
      <c r="G64" s="1184"/>
      <c r="H64" s="688"/>
      <c r="I64" s="763"/>
      <c r="J64" s="763"/>
      <c r="K64" s="763"/>
      <c r="L64" s="763"/>
      <c r="M64" s="1961"/>
      <c r="N64" s="1941"/>
      <c r="O64" s="1978"/>
      <c r="P64" s="1936"/>
      <c r="Q64" s="1978"/>
      <c r="R64" s="1784"/>
      <c r="S64" s="1784"/>
      <c r="T64" s="1784"/>
      <c r="U64" s="1844"/>
      <c r="V64" s="1844"/>
      <c r="W64" s="1830"/>
      <c r="X64" s="634"/>
      <c r="Y64" s="1789"/>
      <c r="Z64" s="1790"/>
      <c r="AA64" s="1790"/>
      <c r="AB64" s="1788"/>
      <c r="AC64" s="1307"/>
      <c r="AD64" s="1307"/>
      <c r="AE64" s="1307"/>
      <c r="AF64" s="1307"/>
      <c r="AG64" s="1307"/>
      <c r="AH64" s="1307"/>
      <c r="AI64" s="1307"/>
      <c r="AJ64" s="1307"/>
      <c r="AK64" s="1307"/>
      <c r="AL64" s="1307"/>
      <c r="AM64" s="1307"/>
      <c r="AN64" s="1307"/>
      <c r="AO64" s="1307"/>
      <c r="AP64" s="1307"/>
      <c r="AQ64" s="1307"/>
      <c r="AR64" s="1307"/>
    </row>
    <row r="65" spans="1:44" s="1308" customFormat="1" ht="21" customHeight="1" x14ac:dyDescent="0.25">
      <c r="A65" s="1407"/>
      <c r="B65" s="1408" t="s">
        <v>946</v>
      </c>
      <c r="C65" s="1409"/>
      <c r="D65" s="1410"/>
      <c r="E65" s="686"/>
      <c r="F65" s="1120">
        <f>10000+80800</f>
        <v>90800</v>
      </c>
      <c r="G65" s="1185">
        <v>10000</v>
      </c>
      <c r="H65" s="1151">
        <f>+G65</f>
        <v>10000</v>
      </c>
      <c r="I65" s="687">
        <f t="shared" ref="I65:L65" si="23">+H65</f>
        <v>10000</v>
      </c>
      <c r="J65" s="687">
        <f t="shared" si="23"/>
        <v>10000</v>
      </c>
      <c r="K65" s="687">
        <f t="shared" si="23"/>
        <v>10000</v>
      </c>
      <c r="L65" s="687">
        <f t="shared" si="23"/>
        <v>10000</v>
      </c>
      <c r="M65" s="1965"/>
      <c r="N65" s="1941"/>
      <c r="O65" s="1978"/>
      <c r="P65" s="1936"/>
      <c r="Q65" s="1978"/>
      <c r="R65" s="1784"/>
      <c r="S65" s="1784"/>
      <c r="T65" s="1784"/>
      <c r="U65" s="1830"/>
      <c r="V65" s="1846"/>
      <c r="W65" s="1830"/>
      <c r="X65" s="638"/>
      <c r="Y65" s="1791"/>
      <c r="Z65" s="1788"/>
      <c r="AA65" s="1788"/>
      <c r="AB65" s="1788"/>
      <c r="AC65" s="1307"/>
      <c r="AD65" s="1307"/>
      <c r="AE65" s="1307"/>
      <c r="AF65" s="1307"/>
      <c r="AG65" s="1307"/>
      <c r="AH65" s="1307"/>
      <c r="AI65" s="1307"/>
      <c r="AJ65" s="1307"/>
      <c r="AK65" s="1307"/>
      <c r="AL65" s="1307"/>
      <c r="AM65" s="1307"/>
      <c r="AN65" s="1307"/>
      <c r="AO65" s="1307"/>
      <c r="AP65" s="1307"/>
      <c r="AQ65" s="1307"/>
      <c r="AR65" s="1307"/>
    </row>
    <row r="66" spans="1:44" s="1308" customFormat="1" ht="21" customHeight="1" x14ac:dyDescent="0.25">
      <c r="A66" s="748"/>
      <c r="B66" s="715" t="s">
        <v>378</v>
      </c>
      <c r="C66" s="716"/>
      <c r="D66" s="1411"/>
      <c r="E66" s="643"/>
      <c r="F66" s="1121">
        <v>0</v>
      </c>
      <c r="G66" s="1186">
        <v>0</v>
      </c>
      <c r="H66" s="1152">
        <v>0</v>
      </c>
      <c r="I66" s="680">
        <v>0</v>
      </c>
      <c r="J66" s="680">
        <v>0</v>
      </c>
      <c r="K66" s="680">
        <v>0</v>
      </c>
      <c r="L66" s="680">
        <v>0</v>
      </c>
      <c r="M66" s="1965"/>
      <c r="N66" s="1941"/>
      <c r="O66" s="1978"/>
      <c r="P66" s="1936"/>
      <c r="Q66" s="1978"/>
      <c r="R66" s="1784"/>
      <c r="S66" s="1784"/>
      <c r="T66" s="1784"/>
      <c r="U66" s="1830"/>
      <c r="V66" s="1830"/>
      <c r="W66" s="1830"/>
      <c r="X66" s="638"/>
      <c r="Y66" s="1791"/>
      <c r="Z66" s="1788"/>
      <c r="AA66" s="1788"/>
      <c r="AB66" s="1788"/>
      <c r="AC66" s="1307"/>
      <c r="AD66" s="1307"/>
      <c r="AE66" s="1307"/>
      <c r="AF66" s="1307"/>
      <c r="AG66" s="1307"/>
      <c r="AH66" s="1307"/>
      <c r="AI66" s="1307"/>
      <c r="AJ66" s="1307"/>
      <c r="AK66" s="1307"/>
      <c r="AL66" s="1307"/>
      <c r="AM66" s="1307"/>
      <c r="AN66" s="1307"/>
      <c r="AO66" s="1307"/>
      <c r="AP66" s="1307"/>
      <c r="AQ66" s="1307"/>
      <c r="AR66" s="1307"/>
    </row>
    <row r="67" spans="1:44" s="1308" customFormat="1" ht="21" customHeight="1" x14ac:dyDescent="0.25">
      <c r="A67" s="748"/>
      <c r="B67" s="715" t="s">
        <v>379</v>
      </c>
      <c r="C67" s="716"/>
      <c r="D67" s="1411"/>
      <c r="E67" s="643"/>
      <c r="F67" s="1121">
        <v>0</v>
      </c>
      <c r="G67" s="1186">
        <v>0</v>
      </c>
      <c r="H67" s="1152">
        <v>0</v>
      </c>
      <c r="I67" s="680">
        <v>0</v>
      </c>
      <c r="J67" s="680">
        <v>0</v>
      </c>
      <c r="K67" s="680">
        <v>0</v>
      </c>
      <c r="L67" s="680">
        <v>0</v>
      </c>
      <c r="M67" s="1965"/>
      <c r="N67" s="1941"/>
      <c r="O67" s="1978"/>
      <c r="P67" s="1936"/>
      <c r="Q67" s="1978"/>
      <c r="R67" s="1784"/>
      <c r="S67" s="1784"/>
      <c r="T67" s="1784"/>
      <c r="U67" s="1830"/>
      <c r="V67" s="1830"/>
      <c r="W67" s="1830"/>
      <c r="X67" s="638"/>
      <c r="Y67" s="1791"/>
      <c r="Z67" s="1788"/>
      <c r="AA67" s="1788"/>
      <c r="AB67" s="1788"/>
      <c r="AC67" s="1307"/>
      <c r="AD67" s="1307"/>
      <c r="AE67" s="1307"/>
      <c r="AF67" s="1307"/>
      <c r="AG67" s="1307"/>
      <c r="AH67" s="1307"/>
      <c r="AI67" s="1307"/>
      <c r="AJ67" s="1307"/>
      <c r="AK67" s="1307"/>
      <c r="AL67" s="1307"/>
      <c r="AM67" s="1307"/>
      <c r="AN67" s="1307"/>
      <c r="AO67" s="1307"/>
      <c r="AP67" s="1307"/>
      <c r="AQ67" s="1307"/>
      <c r="AR67" s="1307"/>
    </row>
    <row r="68" spans="1:44" s="1308" customFormat="1" ht="21" customHeight="1" x14ac:dyDescent="0.25">
      <c r="A68" s="748"/>
      <c r="B68" s="715" t="s">
        <v>380</v>
      </c>
      <c r="C68" s="716"/>
      <c r="D68" s="1411"/>
      <c r="E68" s="643">
        <f>+SUM(E69:E74)</f>
        <v>1427000</v>
      </c>
      <c r="F68" s="1121">
        <f>+SUM(F69:F74)</f>
        <v>2411131.66</v>
      </c>
      <c r="G68" s="1186">
        <f>+SUM(G69:G74)</f>
        <v>485000</v>
      </c>
      <c r="H68" s="1152">
        <f>+SUM(H69:H74)</f>
        <v>340000</v>
      </c>
      <c r="I68" s="680">
        <f>+SUM(I69:I74)</f>
        <v>200000</v>
      </c>
      <c r="J68" s="680">
        <f t="shared" ref="J68:L68" si="24">+SUM(J69:J74)</f>
        <v>200000</v>
      </c>
      <c r="K68" s="680">
        <f t="shared" si="24"/>
        <v>200000</v>
      </c>
      <c r="L68" s="680">
        <f t="shared" si="24"/>
        <v>200000</v>
      </c>
      <c r="M68" s="1965"/>
      <c r="N68" s="1941"/>
      <c r="O68" s="1978"/>
      <c r="P68" s="1936"/>
      <c r="Q68" s="1978"/>
      <c r="R68" s="1784"/>
      <c r="S68" s="1784"/>
      <c r="T68" s="1784"/>
      <c r="U68" s="1830"/>
      <c r="V68" s="1830"/>
      <c r="W68" s="1830"/>
      <c r="X68" s="638"/>
      <c r="Y68" s="1791"/>
      <c r="Z68" s="1788"/>
      <c r="AA68" s="1788"/>
      <c r="AB68" s="1788"/>
      <c r="AC68" s="1307"/>
      <c r="AD68" s="1307"/>
      <c r="AE68" s="1307"/>
      <c r="AF68" s="1307"/>
      <c r="AG68" s="1307"/>
      <c r="AH68" s="1307"/>
      <c r="AI68" s="1307"/>
      <c r="AJ68" s="1307"/>
      <c r="AK68" s="1307"/>
      <c r="AL68" s="1307"/>
      <c r="AM68" s="1307"/>
      <c r="AN68" s="1307"/>
      <c r="AO68" s="1307"/>
      <c r="AP68" s="1307"/>
      <c r="AQ68" s="1307"/>
      <c r="AR68" s="1307"/>
    </row>
    <row r="69" spans="1:44" ht="18" x14ac:dyDescent="0.25">
      <c r="A69" s="748"/>
      <c r="B69" s="715"/>
      <c r="C69" s="716" t="s">
        <v>381</v>
      </c>
      <c r="D69" s="1411"/>
      <c r="E69" s="644">
        <v>200000</v>
      </c>
      <c r="F69" s="1122">
        <v>200000</v>
      </c>
      <c r="G69" s="1187">
        <f t="shared" ref="G69:L72" si="25">+F69</f>
        <v>200000</v>
      </c>
      <c r="H69" s="1153">
        <f t="shared" si="25"/>
        <v>200000</v>
      </c>
      <c r="I69" s="1090">
        <f t="shared" si="25"/>
        <v>200000</v>
      </c>
      <c r="J69" s="1090">
        <f t="shared" si="25"/>
        <v>200000</v>
      </c>
      <c r="K69" s="1090">
        <f t="shared" si="25"/>
        <v>200000</v>
      </c>
      <c r="L69" s="1090">
        <f t="shared" si="25"/>
        <v>200000</v>
      </c>
      <c r="M69" s="1966"/>
      <c r="U69" s="1807"/>
      <c r="V69" s="1807"/>
      <c r="W69" s="1807"/>
      <c r="X69" s="639"/>
      <c r="Y69" s="1792"/>
      <c r="Z69" s="1793"/>
      <c r="AA69" s="1793"/>
      <c r="AB69" s="1793"/>
      <c r="AC69" s="1297"/>
      <c r="AD69" s="1297"/>
      <c r="AE69" s="1297"/>
      <c r="AF69" s="1297"/>
      <c r="AG69" s="1297"/>
      <c r="AH69" s="1297"/>
      <c r="AI69" s="1297"/>
      <c r="AJ69" s="1297"/>
      <c r="AK69" s="1297"/>
      <c r="AL69" s="1297"/>
      <c r="AM69" s="1297"/>
      <c r="AN69" s="1297"/>
      <c r="AO69" s="1297"/>
      <c r="AP69" s="1297"/>
      <c r="AQ69" s="1297"/>
      <c r="AR69" s="1297"/>
    </row>
    <row r="70" spans="1:44" s="1314" customFormat="1" ht="18.75" x14ac:dyDescent="0.3">
      <c r="A70" s="748"/>
      <c r="B70" s="715"/>
      <c r="C70" s="716" t="s">
        <v>382</v>
      </c>
      <c r="D70" s="1411"/>
      <c r="E70" s="644">
        <v>425000</v>
      </c>
      <c r="F70" s="1122">
        <v>425000</v>
      </c>
      <c r="G70" s="1187">
        <f>425000-140000</f>
        <v>285000</v>
      </c>
      <c r="H70" s="1153">
        <v>140000</v>
      </c>
      <c r="I70" s="1090">
        <v>0</v>
      </c>
      <c r="J70" s="1090">
        <f t="shared" si="25"/>
        <v>0</v>
      </c>
      <c r="K70" s="1090">
        <f t="shared" si="25"/>
        <v>0</v>
      </c>
      <c r="L70" s="1090">
        <f t="shared" si="25"/>
        <v>0</v>
      </c>
      <c r="M70" s="1967"/>
      <c r="N70" s="1942"/>
      <c r="O70" s="1979"/>
      <c r="P70" s="1937"/>
      <c r="Q70" s="1979"/>
      <c r="R70" s="1779"/>
      <c r="S70" s="1779"/>
      <c r="T70" s="1779"/>
      <c r="U70" s="1847"/>
      <c r="V70" s="1572"/>
      <c r="W70" s="1572"/>
      <c r="X70" s="640"/>
      <c r="Y70" s="1795"/>
      <c r="Z70" s="1796"/>
      <c r="AA70" s="1796"/>
      <c r="AB70" s="1797"/>
      <c r="AC70" s="1313"/>
      <c r="AD70" s="1313"/>
      <c r="AE70" s="1313"/>
      <c r="AF70" s="1313"/>
      <c r="AG70" s="1313"/>
      <c r="AH70" s="1313"/>
      <c r="AI70" s="1313"/>
      <c r="AJ70" s="1313"/>
      <c r="AK70" s="1313"/>
      <c r="AL70" s="1313"/>
      <c r="AM70" s="1313"/>
      <c r="AN70" s="1313"/>
      <c r="AO70" s="1313"/>
      <c r="AP70" s="1313"/>
      <c r="AQ70" s="1313"/>
      <c r="AR70" s="1313"/>
    </row>
    <row r="71" spans="1:44" s="1314" customFormat="1" ht="18" x14ac:dyDescent="0.25">
      <c r="A71" s="748"/>
      <c r="B71" s="715"/>
      <c r="C71" s="716" t="s">
        <v>947</v>
      </c>
      <c r="D71" s="1411"/>
      <c r="E71" s="644">
        <v>225000</v>
      </c>
      <c r="F71" s="1122">
        <v>401134</v>
      </c>
      <c r="G71" s="1187"/>
      <c r="H71" s="1153"/>
      <c r="I71" s="681"/>
      <c r="J71" s="681">
        <f t="shared" si="25"/>
        <v>0</v>
      </c>
      <c r="K71" s="681">
        <f t="shared" si="25"/>
        <v>0</v>
      </c>
      <c r="L71" s="681">
        <f t="shared" si="25"/>
        <v>0</v>
      </c>
      <c r="M71" s="1966"/>
      <c r="N71" s="1943"/>
      <c r="O71" s="1980"/>
      <c r="P71" s="1938"/>
      <c r="Q71" s="1980"/>
      <c r="R71" s="1794"/>
      <c r="S71" s="1794"/>
      <c r="T71" s="1794"/>
      <c r="U71" s="1572"/>
      <c r="V71" s="1572"/>
      <c r="W71" s="1572"/>
      <c r="X71" s="640"/>
      <c r="Y71" s="1795"/>
      <c r="Z71" s="1796"/>
      <c r="AA71" s="1796"/>
      <c r="AB71" s="1797"/>
      <c r="AC71" s="1313"/>
      <c r="AD71" s="1313"/>
      <c r="AE71" s="1313"/>
      <c r="AF71" s="1313"/>
      <c r="AG71" s="1313"/>
      <c r="AH71" s="1313"/>
      <c r="AI71" s="1313"/>
      <c r="AJ71" s="1313"/>
      <c r="AK71" s="1313"/>
      <c r="AL71" s="1313"/>
      <c r="AM71" s="1313"/>
      <c r="AN71" s="1313"/>
      <c r="AO71" s="1313"/>
      <c r="AP71" s="1313"/>
      <c r="AQ71" s="1313"/>
      <c r="AR71" s="1313"/>
    </row>
    <row r="72" spans="1:44" s="1316" customFormat="1" ht="18" x14ac:dyDescent="0.25">
      <c r="A72" s="748"/>
      <c r="B72" s="715"/>
      <c r="C72" s="716" t="s">
        <v>948</v>
      </c>
      <c r="D72" s="1411"/>
      <c r="E72" s="644">
        <v>577000</v>
      </c>
      <c r="F72" s="1122">
        <v>816257.51</v>
      </c>
      <c r="G72" s="1187"/>
      <c r="H72" s="1153"/>
      <c r="I72" s="681"/>
      <c r="J72" s="681">
        <f t="shared" si="25"/>
        <v>0</v>
      </c>
      <c r="K72" s="681">
        <f t="shared" si="25"/>
        <v>0</v>
      </c>
      <c r="L72" s="681">
        <f t="shared" si="25"/>
        <v>0</v>
      </c>
      <c r="M72" s="1966"/>
      <c r="N72" s="1944"/>
      <c r="O72" s="1976"/>
      <c r="P72" s="1939"/>
      <c r="Q72" s="1976"/>
      <c r="R72" s="1798"/>
      <c r="S72" s="1798"/>
      <c r="T72" s="1798"/>
      <c r="U72" s="1572"/>
      <c r="V72" s="1572"/>
      <c r="W72" s="1572"/>
      <c r="X72" s="640"/>
      <c r="Y72" s="1795"/>
      <c r="Z72" s="1796"/>
      <c r="AA72" s="1796"/>
      <c r="AB72" s="1793"/>
      <c r="AC72" s="1315"/>
      <c r="AD72" s="1315"/>
      <c r="AE72" s="1315"/>
      <c r="AF72" s="1315"/>
      <c r="AG72" s="1315"/>
      <c r="AH72" s="1315"/>
      <c r="AI72" s="1315"/>
      <c r="AJ72" s="1315"/>
      <c r="AK72" s="1315"/>
      <c r="AL72" s="1315"/>
      <c r="AM72" s="1315"/>
      <c r="AN72" s="1315"/>
      <c r="AO72" s="1315"/>
      <c r="AP72" s="1315"/>
      <c r="AQ72" s="1315"/>
      <c r="AR72" s="1315"/>
    </row>
    <row r="73" spans="1:44" s="1316" customFormat="1" ht="18" x14ac:dyDescent="0.25">
      <c r="A73" s="748"/>
      <c r="B73" s="715"/>
      <c r="C73" s="716" t="s">
        <v>949</v>
      </c>
      <c r="D73" s="1411"/>
      <c r="E73" s="644"/>
      <c r="F73" s="1122">
        <v>568740.15</v>
      </c>
      <c r="G73" s="1187"/>
      <c r="H73" s="1153"/>
      <c r="I73" s="681"/>
      <c r="J73" s="681"/>
      <c r="K73" s="681"/>
      <c r="L73" s="681"/>
      <c r="M73" s="1966"/>
      <c r="N73" s="1944"/>
      <c r="O73" s="1976"/>
      <c r="P73" s="1939"/>
      <c r="Q73" s="1976"/>
      <c r="R73" s="1798"/>
      <c r="S73" s="1798"/>
      <c r="T73" s="1798"/>
      <c r="U73" s="1572"/>
      <c r="V73" s="1572"/>
      <c r="W73" s="1572"/>
      <c r="X73" s="640"/>
      <c r="Y73" s="1795"/>
      <c r="Z73" s="1796"/>
      <c r="AA73" s="1796"/>
      <c r="AB73" s="1796"/>
    </row>
    <row r="74" spans="1:44" s="1316" customFormat="1" ht="18" hidden="1" x14ac:dyDescent="0.25">
      <c r="A74" s="748"/>
      <c r="B74" s="715"/>
      <c r="C74" s="716"/>
      <c r="D74" s="1411"/>
      <c r="E74" s="644"/>
      <c r="F74" s="1122"/>
      <c r="G74" s="1187">
        <f t="shared" ref="G74:I74" si="26">+F74</f>
        <v>0</v>
      </c>
      <c r="H74" s="1153">
        <f t="shared" si="26"/>
        <v>0</v>
      </c>
      <c r="I74" s="681">
        <f t="shared" si="26"/>
        <v>0</v>
      </c>
      <c r="J74" s="681"/>
      <c r="K74" s="681"/>
      <c r="L74" s="681"/>
      <c r="M74" s="1966"/>
      <c r="N74" s="1944"/>
      <c r="O74" s="1976"/>
      <c r="P74" s="1939"/>
      <c r="Q74" s="1976"/>
      <c r="R74" s="1798"/>
      <c r="S74" s="1798"/>
      <c r="T74" s="1798"/>
      <c r="U74" s="1572"/>
      <c r="V74" s="1572"/>
      <c r="W74" s="1572"/>
      <c r="X74" s="640"/>
      <c r="Y74" s="1795"/>
      <c r="Z74" s="1796"/>
      <c r="AA74" s="1796"/>
      <c r="AB74" s="1796"/>
    </row>
    <row r="75" spans="1:44" s="1316" customFormat="1" ht="33.75" customHeight="1" x14ac:dyDescent="0.25">
      <c r="A75" s="748"/>
      <c r="B75" s="715" t="s">
        <v>383</v>
      </c>
      <c r="C75" s="716"/>
      <c r="D75" s="1411"/>
      <c r="E75" s="645"/>
      <c r="F75" s="1123"/>
      <c r="G75" s="1188"/>
      <c r="H75" s="1154"/>
      <c r="I75" s="682"/>
      <c r="J75" s="682"/>
      <c r="K75" s="682"/>
      <c r="L75" s="682"/>
      <c r="M75" s="1968"/>
      <c r="N75" s="1944"/>
      <c r="O75" s="1976"/>
      <c r="P75" s="1939"/>
      <c r="Q75" s="1976"/>
      <c r="R75" s="1798"/>
      <c r="S75" s="1798"/>
      <c r="T75" s="1798"/>
      <c r="U75" s="1572"/>
      <c r="V75" s="1572"/>
      <c r="W75" s="1572"/>
      <c r="X75" s="640"/>
      <c r="Y75" s="1795"/>
      <c r="Z75" s="1796"/>
      <c r="AA75" s="1796"/>
      <c r="AB75" s="1796"/>
    </row>
    <row r="76" spans="1:44" ht="18" x14ac:dyDescent="0.25">
      <c r="A76" s="1412"/>
      <c r="B76" s="1413"/>
      <c r="C76" s="1413" t="s">
        <v>384</v>
      </c>
      <c r="D76" s="1414"/>
      <c r="E76" s="717">
        <f>ROUND((+COMBINED!E50+COMBINED!E53+COMBINED!E54)*0.03,0)</f>
        <v>0</v>
      </c>
      <c r="F76" s="1124">
        <f>ROUND(COMBINED!F57*0.03,0)</f>
        <v>2400860</v>
      </c>
      <c r="G76" s="1189">
        <f>ROUND(COMBINED!G57*0.03,0)</f>
        <v>2571507</v>
      </c>
      <c r="H76" s="1155">
        <f>ROUND(COMBINED!H57*0.03,0)</f>
        <v>2468427</v>
      </c>
      <c r="I76" s="718">
        <f>ROUND(COMBINED!I57*0.03,0)</f>
        <v>2468674</v>
      </c>
      <c r="J76" s="718" t="e">
        <f>ROUND((+COMBINED!J50+COMBINED!J53+COMBINED!J54)*0.03,0)</f>
        <v>#REF!</v>
      </c>
      <c r="K76" s="718" t="e">
        <f>ROUND((+COMBINED!K50+COMBINED!K53+COMBINED!K54)*0.03,0)</f>
        <v>#REF!</v>
      </c>
      <c r="L76" s="718" t="e">
        <f>ROUND((+COMBINED!L50+COMBINED!L53+COMBINED!L54)*0.03,0)</f>
        <v>#REF!</v>
      </c>
      <c r="M76" s="1965"/>
      <c r="U76" s="1572"/>
      <c r="V76" s="1830"/>
      <c r="W76" s="1830"/>
      <c r="X76" s="638"/>
      <c r="Y76" s="1791"/>
      <c r="Z76" s="1788"/>
      <c r="AA76" s="1796"/>
      <c r="AB76" s="1796"/>
    </row>
    <row r="77" spans="1:44" ht="18" x14ac:dyDescent="0.25">
      <c r="A77" s="1415"/>
      <c r="B77" s="1416"/>
      <c r="C77" s="1416"/>
      <c r="D77" s="1417"/>
      <c r="E77" s="711"/>
      <c r="F77" s="1125">
        <f>F76/COMBINED!F57</f>
        <v>2.9999996651200359E-2</v>
      </c>
      <c r="G77" s="1190">
        <f>G76/COMBINED!G57</f>
        <v>2.9999998449547368E-2</v>
      </c>
      <c r="H77" s="1156">
        <f>H76/COMBINED!H57</f>
        <v>2.9999995432953369E-2</v>
      </c>
      <c r="I77" s="712">
        <f>I76/COMBINED!I57</f>
        <v>3.0000002939835183E-2</v>
      </c>
      <c r="J77" s="712" t="e">
        <f>+J76/(COMBINED!$J$50+COMBINED!$J$53+COMBINED!$J$54)</f>
        <v>#REF!</v>
      </c>
      <c r="K77" s="712" t="e">
        <f>+K76/(COMBINED!$K$50+COMBINED!$K$53+COMBINED!$K$54)</f>
        <v>#REF!</v>
      </c>
      <c r="L77" s="712" t="e">
        <f>+L76/(COMBINED!$L$50+COMBINED!$L$53+COMBINED!$L$54)</f>
        <v>#REF!</v>
      </c>
      <c r="M77" s="1969"/>
      <c r="U77" s="1831"/>
      <c r="V77" s="1831"/>
      <c r="W77" s="1807"/>
      <c r="X77" s="639"/>
      <c r="Y77" s="1793"/>
      <c r="Z77" s="1796"/>
      <c r="AA77" s="1796"/>
      <c r="AB77" s="1796"/>
    </row>
    <row r="78" spans="1:44" ht="24.75" customHeight="1" x14ac:dyDescent="0.25">
      <c r="A78" s="1418"/>
      <c r="B78" s="1419"/>
      <c r="C78" s="1419" t="s">
        <v>385</v>
      </c>
      <c r="D78" s="1420"/>
      <c r="E78" s="229"/>
      <c r="F78" s="1126">
        <f>+F61-SUM(F65:F68,F76)</f>
        <v>2300922.952348005</v>
      </c>
      <c r="G78" s="1191">
        <f t="shared" ref="G78:L78" si="27">+G61-SUM(G65:G68,G76)</f>
        <v>-6785962.7447399925</v>
      </c>
      <c r="H78" s="1157">
        <f t="shared" si="27"/>
        <v>-20833264.316699356</v>
      </c>
      <c r="I78" s="683">
        <f t="shared" si="27"/>
        <v>-34342005.258561224</v>
      </c>
      <c r="J78" s="683" t="e">
        <f t="shared" si="27"/>
        <v>#REF!</v>
      </c>
      <c r="K78" s="683" t="e">
        <f t="shared" si="27"/>
        <v>#REF!</v>
      </c>
      <c r="L78" s="683" t="e">
        <f t="shared" si="27"/>
        <v>#REF!</v>
      </c>
      <c r="M78" s="1970"/>
      <c r="U78" s="1572"/>
      <c r="V78" s="1572"/>
      <c r="X78" s="635"/>
      <c r="Y78" s="1799"/>
      <c r="Z78" s="1316"/>
      <c r="AA78" s="1316"/>
      <c r="AB78" s="1796"/>
    </row>
    <row r="79" spans="1:44" ht="16.5" customHeight="1" x14ac:dyDescent="0.25">
      <c r="A79" s="1372"/>
      <c r="B79" s="1329"/>
      <c r="C79" s="1330"/>
      <c r="D79" s="1421"/>
      <c r="E79" s="230"/>
      <c r="F79" s="1127">
        <f>F78/COMBINED!F57</f>
        <v>2.8751231169293581E-2</v>
      </c>
      <c r="G79" s="1192">
        <f>G78/COMBINED!G57</f>
        <v>-7.9167146665704569E-2</v>
      </c>
      <c r="H79" s="1158">
        <f>H78/COMBINED!H57</f>
        <v>-0.25319680685492868</v>
      </c>
      <c r="I79" s="684">
        <f>I78/COMBINED!I57</f>
        <v>-0.41733345865702481</v>
      </c>
      <c r="J79" s="684" t="e">
        <f>J78/COMBINED!J57</f>
        <v>#REF!</v>
      </c>
      <c r="K79" s="684" t="e">
        <f>K78/COMBINED!K57</f>
        <v>#REF!</v>
      </c>
      <c r="L79" s="684" t="e">
        <f>L78/COMBINED!L57</f>
        <v>#REF!</v>
      </c>
      <c r="M79" s="1971"/>
      <c r="U79" s="1572"/>
      <c r="V79" s="1830"/>
      <c r="W79" s="1830"/>
      <c r="X79" s="633"/>
      <c r="Y79" s="1787"/>
      <c r="Z79" s="1307"/>
      <c r="AA79" s="1316"/>
      <c r="AB79" s="1796"/>
    </row>
    <row r="80" spans="1:44" ht="35.25" customHeight="1" x14ac:dyDescent="0.25">
      <c r="A80" s="1398" t="s">
        <v>386</v>
      </c>
      <c r="B80" s="1422"/>
      <c r="C80" s="1422"/>
      <c r="D80" s="1422"/>
      <c r="E80" s="649"/>
      <c r="F80" s="1118">
        <f>+SUM(F65:F68,F76,F78)</f>
        <v>7203714.6123480052</v>
      </c>
      <c r="G80" s="1181">
        <f>+SUM(G65:G68,G76,G78)</f>
        <v>-3719455.7447399925</v>
      </c>
      <c r="H80" s="1149">
        <f t="shared" ref="H80:L80" si="28">+SUM(H65:H68,H76,H78)</f>
        <v>-18014837.316699356</v>
      </c>
      <c r="I80" s="678">
        <f t="shared" si="28"/>
        <v>-31663331.258561224</v>
      </c>
      <c r="J80" s="678" t="e">
        <f t="shared" si="28"/>
        <v>#REF!</v>
      </c>
      <c r="K80" s="678" t="e">
        <f t="shared" si="28"/>
        <v>#REF!</v>
      </c>
      <c r="L80" s="678" t="e">
        <f t="shared" si="28"/>
        <v>#REF!</v>
      </c>
      <c r="M80" s="1972"/>
      <c r="U80" s="1848"/>
      <c r="V80" s="1848"/>
      <c r="W80" s="1819"/>
      <c r="X80" s="1820"/>
      <c r="Y80" s="1800"/>
    </row>
    <row r="81" spans="1:39" ht="18.75" thickBot="1" x14ac:dyDescent="0.3">
      <c r="A81" s="1423"/>
      <c r="B81" s="1424"/>
      <c r="C81" s="1424"/>
      <c r="D81" s="1424"/>
      <c r="E81" s="650"/>
      <c r="F81" s="1128">
        <f>F80/COMBINED!F57</f>
        <v>9.0014167526071179E-2</v>
      </c>
      <c r="G81" s="1193">
        <f>G80/COMBINED!G57</f>
        <v>-4.3392324646738208E-2</v>
      </c>
      <c r="H81" s="1159">
        <f>H80/COMBINED!H57</f>
        <v>-0.2189430909750941</v>
      </c>
      <c r="I81" s="685">
        <f>I80/COMBINED!I57</f>
        <v>-0.38478147817079617</v>
      </c>
      <c r="J81" s="685" t="e">
        <f>+J80/(COMBINED!$J$50+COMBINED!$J$53+COMBINED!$J$54)</f>
        <v>#REF!</v>
      </c>
      <c r="K81" s="685" t="e">
        <f>+K80/(COMBINED!$K$50+COMBINED!$K$53+COMBINED!$K$54)</f>
        <v>#REF!</v>
      </c>
      <c r="L81" s="685" t="e">
        <f>+L80/(COMBINED!$L$50+COMBINED!$L$53+COMBINED!$L$54)</f>
        <v>#REF!</v>
      </c>
      <c r="M81" s="1973"/>
      <c r="U81" s="1848"/>
      <c r="V81" s="1848"/>
      <c r="W81" s="1819"/>
      <c r="X81" s="1820"/>
      <c r="Y81" s="1800"/>
    </row>
    <row r="82" spans="1:39" s="1317" customFormat="1" ht="19.5" thickTop="1" thickBot="1" x14ac:dyDescent="0.3">
      <c r="A82" s="1425"/>
      <c r="B82" s="1426"/>
      <c r="C82" s="1426"/>
      <c r="D82" s="1426"/>
      <c r="E82" s="808"/>
      <c r="F82" s="808"/>
      <c r="G82" s="1194"/>
      <c r="H82" s="228"/>
      <c r="I82" s="228"/>
      <c r="J82" s="228"/>
      <c r="K82" s="228"/>
      <c r="L82" s="228"/>
      <c r="M82" s="1974"/>
      <c r="N82" s="1954"/>
      <c r="O82" s="1981"/>
      <c r="P82" s="1956"/>
      <c r="Q82" s="1981"/>
      <c r="R82" s="1955"/>
      <c r="S82" s="1955"/>
      <c r="T82" s="1955"/>
      <c r="U82" s="1826"/>
      <c r="V82" s="1826"/>
      <c r="W82" s="1572"/>
      <c r="X82" s="802"/>
      <c r="Y82" s="1296"/>
    </row>
    <row r="83" spans="1:39" ht="16.5" hidden="1" thickTop="1" x14ac:dyDescent="0.25">
      <c r="B83" s="1427" t="s">
        <v>724</v>
      </c>
      <c r="G83" s="790"/>
      <c r="N83" s="1954"/>
      <c r="O83" s="1981"/>
      <c r="P83" s="1956"/>
      <c r="Q83" s="1981"/>
      <c r="R83" s="1955"/>
      <c r="S83" s="1955"/>
      <c r="T83" s="1955"/>
      <c r="Z83" s="1317"/>
      <c r="AA83" s="1317"/>
      <c r="AB83" s="1317"/>
      <c r="AC83" s="1317"/>
      <c r="AD83" s="1317"/>
      <c r="AE83" s="1317"/>
      <c r="AF83" s="1317"/>
      <c r="AG83" s="1317"/>
      <c r="AH83" s="1317"/>
      <c r="AI83" s="1317"/>
      <c r="AJ83" s="1317"/>
      <c r="AK83" s="1317"/>
      <c r="AL83" s="1317"/>
      <c r="AM83" s="1317"/>
    </row>
    <row r="84" spans="1:39" ht="16.5" hidden="1" thickTop="1" x14ac:dyDescent="0.25">
      <c r="G84" s="790"/>
      <c r="H84" s="790"/>
      <c r="I84" s="790"/>
      <c r="J84" s="790"/>
      <c r="K84" s="790"/>
      <c r="L84" s="790"/>
      <c r="M84" s="1963"/>
      <c r="N84" s="1957"/>
      <c r="O84" s="1982"/>
      <c r="P84" s="1959"/>
      <c r="Q84" s="1982"/>
      <c r="R84" s="1958"/>
      <c r="S84" s="1958"/>
      <c r="T84" s="1958"/>
      <c r="U84" s="1831"/>
    </row>
    <row r="85" spans="1:39" ht="16.5" hidden="1" thickTop="1" x14ac:dyDescent="0.25">
      <c r="D85" s="1428" t="s">
        <v>719</v>
      </c>
      <c r="E85" s="790"/>
      <c r="F85" s="794" t="s">
        <v>732</v>
      </c>
      <c r="G85" s="795" t="s">
        <v>720</v>
      </c>
      <c r="H85" s="793" t="s">
        <v>721</v>
      </c>
      <c r="I85" s="791"/>
      <c r="J85" s="791"/>
      <c r="K85" s="791"/>
      <c r="L85" s="791"/>
      <c r="M85" s="1963"/>
      <c r="N85" s="1957"/>
      <c r="O85" s="1982"/>
      <c r="P85" s="1959"/>
      <c r="Q85" s="1982"/>
      <c r="R85" s="1958"/>
      <c r="S85" s="1958"/>
      <c r="T85" s="1958"/>
      <c r="U85" s="1831"/>
    </row>
    <row r="86" spans="1:39" ht="16.5" hidden="1" thickTop="1" x14ac:dyDescent="0.25">
      <c r="D86" s="1429" t="s">
        <v>722</v>
      </c>
      <c r="E86" s="790"/>
      <c r="F86" s="791"/>
      <c r="G86" s="792"/>
      <c r="H86" s="796" t="s">
        <v>723</v>
      </c>
      <c r="I86" s="792"/>
      <c r="J86" s="792"/>
      <c r="K86" s="792"/>
      <c r="L86" s="792"/>
      <c r="M86" s="1963"/>
      <c r="N86" s="1957"/>
      <c r="O86" s="1982"/>
      <c r="P86" s="1959"/>
      <c r="Q86" s="1982"/>
      <c r="R86" s="1958"/>
      <c r="S86" s="1958"/>
      <c r="T86" s="1958"/>
      <c r="U86" s="1831"/>
    </row>
    <row r="87" spans="1:39" ht="16.5" hidden="1" thickTop="1" x14ac:dyDescent="0.25">
      <c r="D87" s="1430"/>
      <c r="E87" s="790"/>
      <c r="G87" s="791"/>
      <c r="H87" s="791"/>
      <c r="I87" s="791"/>
      <c r="J87" s="791"/>
      <c r="K87" s="791"/>
      <c r="L87" s="791"/>
      <c r="M87" s="1963"/>
      <c r="N87" s="1957"/>
      <c r="O87" s="1982"/>
      <c r="P87" s="1959"/>
      <c r="Q87" s="1982"/>
      <c r="R87" s="1958"/>
      <c r="S87" s="1958"/>
      <c r="T87" s="1958"/>
      <c r="U87" s="1831"/>
    </row>
    <row r="88" spans="1:39" ht="16.5" hidden="1" thickTop="1" x14ac:dyDescent="0.25">
      <c r="D88" s="1431" t="s">
        <v>730</v>
      </c>
      <c r="E88" s="790"/>
      <c r="I88" s="792"/>
      <c r="J88" s="792"/>
      <c r="K88" s="792"/>
      <c r="L88" s="792"/>
      <c r="M88" s="1963"/>
      <c r="N88" s="1957"/>
      <c r="O88" s="1982"/>
      <c r="P88" s="1959"/>
      <c r="Q88" s="1982"/>
      <c r="R88" s="1958"/>
      <c r="S88" s="1958"/>
      <c r="T88" s="1958"/>
      <c r="U88" s="1831"/>
    </row>
    <row r="89" spans="1:39" ht="16.5" hidden="1" thickTop="1" x14ac:dyDescent="0.25">
      <c r="D89" s="1432" t="s">
        <v>728</v>
      </c>
      <c r="E89" s="806"/>
      <c r="F89" s="807" t="s">
        <v>727</v>
      </c>
      <c r="G89" s="795" t="s">
        <v>880</v>
      </c>
      <c r="H89" s="793" t="s">
        <v>729</v>
      </c>
      <c r="I89" s="792"/>
      <c r="J89" s="792"/>
      <c r="K89" s="792"/>
      <c r="L89" s="792"/>
      <c r="M89" s="1963"/>
      <c r="N89" s="1957"/>
      <c r="O89" s="1982"/>
      <c r="P89" s="1959"/>
      <c r="Q89" s="1982"/>
      <c r="R89" s="1958"/>
      <c r="S89" s="1958"/>
      <c r="T89" s="1958"/>
      <c r="U89" s="1831"/>
    </row>
    <row r="90" spans="1:39" ht="16.5" hidden="1" thickTop="1" x14ac:dyDescent="0.25">
      <c r="D90" s="1430"/>
      <c r="E90" s="790"/>
      <c r="F90" s="790"/>
      <c r="G90" s="790"/>
      <c r="H90" s="790"/>
      <c r="I90" s="790"/>
      <c r="J90" s="790"/>
      <c r="K90" s="790"/>
      <c r="L90" s="790"/>
      <c r="M90" s="1963"/>
      <c r="N90" s="1957"/>
      <c r="O90" s="1982"/>
      <c r="P90" s="1959"/>
      <c r="Q90" s="1982"/>
      <c r="R90" s="1958"/>
      <c r="S90" s="1958"/>
      <c r="T90" s="1958"/>
      <c r="U90" s="1831"/>
    </row>
    <row r="91" spans="1:39" ht="16.5" hidden="1" thickTop="1" x14ac:dyDescent="0.25">
      <c r="D91" s="1430"/>
      <c r="E91" s="790"/>
      <c r="G91" s="792"/>
      <c r="H91" s="792"/>
      <c r="I91" s="792"/>
      <c r="J91" s="792"/>
      <c r="K91" s="792"/>
      <c r="L91" s="792"/>
      <c r="M91" s="1963"/>
      <c r="N91" s="1957"/>
      <c r="O91" s="1982"/>
      <c r="P91" s="1959"/>
      <c r="Q91" s="1982"/>
      <c r="R91" s="1958"/>
      <c r="S91" s="1958"/>
      <c r="T91" s="1958"/>
      <c r="U91" s="1831"/>
    </row>
    <row r="92" spans="1:39" ht="16.5" hidden="1" thickTop="1" x14ac:dyDescent="0.25">
      <c r="D92" s="1433" t="s">
        <v>731</v>
      </c>
      <c r="E92" s="790"/>
      <c r="F92" s="790"/>
      <c r="G92" s="790"/>
      <c r="H92" s="790"/>
      <c r="I92" s="790"/>
      <c r="J92" s="790"/>
      <c r="K92" s="790"/>
      <c r="L92" s="790"/>
      <c r="M92" s="1963"/>
      <c r="N92" s="1957"/>
      <c r="O92" s="1982"/>
      <c r="P92" s="1959"/>
      <c r="Q92" s="1982"/>
      <c r="R92" s="1958"/>
      <c r="S92" s="1958"/>
      <c r="T92" s="1958"/>
      <c r="U92" s="1831"/>
    </row>
    <row r="93" spans="1:39" ht="16.5" hidden="1" thickTop="1" x14ac:dyDescent="0.25">
      <c r="D93" s="1430"/>
      <c r="E93" s="790"/>
      <c r="F93" s="792"/>
      <c r="G93" s="792"/>
      <c r="H93" s="792"/>
      <c r="I93" s="792"/>
      <c r="J93" s="792"/>
      <c r="K93" s="792"/>
      <c r="L93" s="792"/>
      <c r="M93" s="1963"/>
      <c r="N93" s="1957"/>
      <c r="O93" s="1982"/>
      <c r="P93" s="1959"/>
      <c r="Q93" s="1982"/>
      <c r="R93" s="1958"/>
      <c r="S93" s="1958"/>
      <c r="T93" s="1958"/>
      <c r="U93" s="1831"/>
    </row>
    <row r="94" spans="1:39" ht="16.5" hidden="1" thickTop="1" x14ac:dyDescent="0.25"/>
    <row r="95" spans="1:39" ht="16.5" hidden="1" thickTop="1" x14ac:dyDescent="0.25"/>
    <row r="96" spans="1:39" ht="16.5" thickTop="1" x14ac:dyDescent="0.25">
      <c r="G96" s="459"/>
      <c r="H96" s="460"/>
    </row>
    <row r="97" spans="6:8" x14ac:dyDescent="0.25">
      <c r="H97" s="459"/>
    </row>
    <row r="98" spans="6:8" x14ac:dyDescent="0.25">
      <c r="F98" s="782"/>
      <c r="H98" s="458"/>
    </row>
    <row r="99" spans="6:8" x14ac:dyDescent="0.25">
      <c r="F99" s="782"/>
      <c r="G99" s="783"/>
      <c r="H99" s="458"/>
    </row>
    <row r="100" spans="6:8" x14ac:dyDescent="0.25">
      <c r="H100" s="458"/>
    </row>
    <row r="101" spans="6:8" x14ac:dyDescent="0.25">
      <c r="F101" s="782"/>
      <c r="H101" s="458"/>
    </row>
    <row r="102" spans="6:8" x14ac:dyDescent="0.25">
      <c r="F102" s="784"/>
      <c r="G102" s="783"/>
      <c r="H102" s="458"/>
    </row>
    <row r="103" spans="6:8" x14ac:dyDescent="0.25">
      <c r="F103" s="785"/>
      <c r="G103" s="786"/>
      <c r="H103" s="458"/>
    </row>
    <row r="104" spans="6:8" x14ac:dyDescent="0.25">
      <c r="F104" s="785"/>
      <c r="G104" s="786"/>
      <c r="H104" s="458"/>
    </row>
    <row r="105" spans="6:8" x14ac:dyDescent="0.25">
      <c r="F105" s="787"/>
      <c r="G105" s="786"/>
      <c r="H105" s="459"/>
    </row>
    <row r="106" spans="6:8" x14ac:dyDescent="0.25">
      <c r="F106" s="785"/>
      <c r="G106" s="786"/>
      <c r="H106" s="458"/>
    </row>
    <row r="107" spans="6:8" x14ac:dyDescent="0.25">
      <c r="F107" s="788"/>
      <c r="G107" s="789"/>
      <c r="H107" s="460"/>
    </row>
  </sheetData>
  <mergeCells count="1">
    <mergeCell ref="A1:D2"/>
  </mergeCells>
  <printOptions horizontalCentered="1"/>
  <pageMargins left="0.17" right="0.17" top="0.56000000000000005" bottom="0.17" header="0.23" footer="0.17"/>
  <pageSetup paperSize="5" scale="62" fitToWidth="2" pageOrder="overThenDown" orientation="portrait" r:id="rId1"/>
  <headerFooter alignWithMargins="0">
    <oddHeader>&amp;C&amp;"Cambria,Bold"&amp;14Sylvan Union School District
2017-18 Budget</oddHeader>
  </headerFooter>
  <rowBreaks count="1" manualBreakCount="1">
    <brk id="81"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126"/>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1.7109375" style="146" customWidth="1"/>
    <col min="2" max="2" width="8.5703125" style="930" customWidth="1"/>
    <col min="3" max="3" width="21.42578125" style="857" customWidth="1"/>
    <col min="4" max="4" width="16" style="2" customWidth="1"/>
    <col min="5" max="5" width="35.28515625" style="857" hidden="1" customWidth="1"/>
    <col min="6" max="6" width="6" style="39" customWidth="1"/>
    <col min="7" max="7" width="17.42578125" style="52" bestFit="1" customWidth="1"/>
    <col min="8" max="8" width="13.85546875" style="122" bestFit="1" customWidth="1"/>
    <col min="9" max="9" width="27.140625" style="868" hidden="1" customWidth="1"/>
    <col min="10" max="10" width="5.7109375" style="59" customWidth="1"/>
    <col min="11" max="11" width="10.28515625" style="377" customWidth="1"/>
    <col min="12" max="12" width="14" style="123" bestFit="1" customWidth="1"/>
    <col min="13" max="13" width="26" style="857" hidden="1" customWidth="1"/>
    <col min="14" max="14" width="5.7109375" style="39" customWidth="1"/>
    <col min="15" max="15" width="9.42578125" style="377" bestFit="1" customWidth="1"/>
    <col min="16" max="16" width="14" style="2" bestFit="1" customWidth="1"/>
    <col min="17" max="17" width="24.85546875" style="857"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930" t="s">
        <v>61</v>
      </c>
      <c r="C1" s="931" t="s">
        <v>279</v>
      </c>
      <c r="D1" s="1044"/>
      <c r="E1" s="855"/>
      <c r="F1" s="98"/>
      <c r="G1" s="369"/>
      <c r="H1" s="1045"/>
      <c r="I1" s="855"/>
      <c r="K1" s="382"/>
      <c r="L1" s="122"/>
      <c r="M1" s="855"/>
      <c r="N1" s="51"/>
      <c r="O1" s="382"/>
      <c r="P1" s="122"/>
      <c r="Q1" s="855"/>
      <c r="T1" s="86">
        <v>0</v>
      </c>
      <c r="U1" s="98"/>
      <c r="X1" s="86">
        <v>0</v>
      </c>
      <c r="Y1" s="98"/>
      <c r="AB1" s="86">
        <v>0</v>
      </c>
      <c r="AC1" s="98"/>
    </row>
    <row r="2" spans="1:29" ht="17.25" x14ac:dyDescent="0.4">
      <c r="B2" s="932" t="s">
        <v>59</v>
      </c>
      <c r="C2" s="933">
        <v>6264</v>
      </c>
      <c r="D2" s="1045"/>
      <c r="E2" s="855"/>
      <c r="F2" s="98"/>
      <c r="G2" s="1863"/>
      <c r="H2" s="1045"/>
      <c r="I2" s="855"/>
      <c r="K2" s="382"/>
      <c r="L2" s="87"/>
      <c r="M2" s="855"/>
      <c r="N2" s="51"/>
      <c r="O2" s="382"/>
      <c r="P2" s="87"/>
      <c r="Q2" s="855"/>
      <c r="T2" s="87">
        <v>0</v>
      </c>
      <c r="U2" s="98"/>
      <c r="X2" s="87">
        <v>0</v>
      </c>
      <c r="Y2" s="98"/>
      <c r="AB2" s="87">
        <v>0</v>
      </c>
      <c r="AC2" s="98"/>
    </row>
    <row r="3" spans="1:29" x14ac:dyDescent="0.25">
      <c r="D3" s="1046"/>
      <c r="E3" s="867"/>
      <c r="F3" s="1047"/>
      <c r="G3" s="1864"/>
      <c r="H3" s="1046"/>
      <c r="I3" s="867"/>
      <c r="K3" s="382"/>
      <c r="L3" s="122"/>
      <c r="M3" s="868"/>
      <c r="N3" s="51"/>
      <c r="O3" s="382"/>
      <c r="P3" s="122"/>
      <c r="Q3" s="868"/>
      <c r="T3" s="86">
        <f>SUM(T1:T2)</f>
        <v>0</v>
      </c>
      <c r="U3" s="51"/>
      <c r="X3" s="86">
        <f>SUM(X1:X2)</f>
        <v>0</v>
      </c>
      <c r="Y3" s="51"/>
      <c r="AB3" s="86">
        <f>SUM(AB1:AB2)</f>
        <v>0</v>
      </c>
      <c r="AC3" s="51"/>
    </row>
    <row r="4" spans="1:29" x14ac:dyDescent="0.25">
      <c r="D4" s="36"/>
      <c r="E4" s="868"/>
      <c r="F4" s="51"/>
      <c r="G4" s="374"/>
      <c r="K4" s="382"/>
      <c r="L4" s="122"/>
      <c r="M4" s="868"/>
      <c r="N4" s="51"/>
      <c r="O4" s="382"/>
      <c r="P4" s="122"/>
      <c r="Q4" s="868"/>
      <c r="T4" s="86"/>
      <c r="U4" s="51"/>
      <c r="X4" s="86"/>
      <c r="Y4" s="51"/>
      <c r="AB4" s="86"/>
      <c r="AC4" s="51"/>
    </row>
    <row r="5" spans="1:29" ht="15.75" x14ac:dyDescent="0.25">
      <c r="B5" s="934" t="s">
        <v>56</v>
      </c>
      <c r="P5" s="123"/>
      <c r="T5" s="73"/>
      <c r="X5" s="73"/>
      <c r="AB5" s="73"/>
    </row>
    <row r="6" spans="1:29" s="89" customFormat="1" ht="15.75" x14ac:dyDescent="0.25">
      <c r="A6" s="147"/>
      <c r="B6" s="935"/>
      <c r="C6" s="935"/>
      <c r="D6" s="284" t="s">
        <v>55</v>
      </c>
      <c r="E6" s="858"/>
      <c r="G6" s="371"/>
      <c r="H6" s="324" t="str">
        <f>LEFT(D6,4)+1&amp;"-"&amp;RIGHT(D6,4)+1</f>
        <v>2017-2018</v>
      </c>
      <c r="I6" s="869"/>
      <c r="J6" s="93"/>
      <c r="K6" s="378"/>
      <c r="L6" s="124" t="str">
        <f>LEFT(H6,4)+1&amp;"-"&amp;RIGHT(H6,4)+1</f>
        <v>2018-2019</v>
      </c>
      <c r="M6" s="946"/>
      <c r="N6" s="96"/>
      <c r="O6" s="381"/>
      <c r="P6" s="124" t="str">
        <f>LEFT(L6,4)+1&amp;"-"&amp;RIGHT(L6,4)+1</f>
        <v>2019-2020</v>
      </c>
      <c r="Q6" s="94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936" t="s">
        <v>54</v>
      </c>
      <c r="D7" s="2">
        <v>636450.82999999996</v>
      </c>
      <c r="E7" s="928"/>
      <c r="F7" s="846"/>
      <c r="H7" s="390">
        <f>D89</f>
        <v>345953.92999999993</v>
      </c>
      <c r="I7" s="1052" t="s">
        <v>776</v>
      </c>
      <c r="J7" s="60"/>
      <c r="L7" s="2">
        <f>H89</f>
        <v>0</v>
      </c>
      <c r="M7" s="928"/>
      <c r="P7" s="2">
        <f>L89</f>
        <v>0</v>
      </c>
      <c r="Q7" s="928"/>
      <c r="T7" s="2">
        <f>P89</f>
        <v>0</v>
      </c>
      <c r="U7" s="105"/>
      <c r="X7" s="2" t="e">
        <f>T89</f>
        <v>#VALUE!</v>
      </c>
      <c r="Y7" s="105"/>
      <c r="AB7" s="2" t="e">
        <f>X89</f>
        <v>#VALUE!</v>
      </c>
      <c r="AC7" s="105"/>
    </row>
    <row r="8" spans="1:29" x14ac:dyDescent="0.25">
      <c r="E8" s="928"/>
      <c r="H8" s="2"/>
      <c r="I8" s="928"/>
      <c r="L8" s="2"/>
      <c r="M8" s="928"/>
      <c r="Q8" s="928"/>
      <c r="U8" s="105"/>
      <c r="Y8" s="105"/>
      <c r="AC8" s="105"/>
    </row>
    <row r="9" spans="1:29" x14ac:dyDescent="0.25">
      <c r="B9" s="930" t="s">
        <v>52</v>
      </c>
      <c r="C9" s="857" t="s">
        <v>53</v>
      </c>
      <c r="D9" s="2">
        <f>D3</f>
        <v>0</v>
      </c>
      <c r="E9" s="928"/>
      <c r="G9" s="83" t="str">
        <f>IF(D9=0,"0.00%",(H9-D9)/D9)</f>
        <v>0.00%</v>
      </c>
      <c r="H9" s="3">
        <f>H3</f>
        <v>0</v>
      </c>
      <c r="I9" s="928"/>
      <c r="J9" s="61"/>
      <c r="K9" s="83" t="str">
        <f>IF(H9=0,"0.00%",(L9-H9)/H9)</f>
        <v>0.00%</v>
      </c>
      <c r="L9" s="3">
        <f>L3</f>
        <v>0</v>
      </c>
      <c r="M9" s="928"/>
      <c r="O9" s="83" t="str">
        <f>IF(L9=0,"0.00%",(P9-L9)/L9)</f>
        <v>0.00%</v>
      </c>
      <c r="P9" s="3">
        <f>P3</f>
        <v>0</v>
      </c>
      <c r="Q9" s="928"/>
      <c r="S9" s="83" t="str">
        <f>IF(P9=0,"0.00%",(T9-P9)/P9)</f>
        <v>0.00%</v>
      </c>
      <c r="T9" s="3">
        <f>T3</f>
        <v>0</v>
      </c>
      <c r="U9" s="105"/>
      <c r="W9" s="83" t="str">
        <f>IF(T9=0,"0.00%",(X9-T9)/T9)</f>
        <v>0.00%</v>
      </c>
      <c r="X9" s="3">
        <f>X3</f>
        <v>0</v>
      </c>
      <c r="Y9" s="105"/>
      <c r="AA9" s="83" t="str">
        <f>IF(X9=0,"0.00%",(AB9-X9)/X9)</f>
        <v>0.00%</v>
      </c>
      <c r="AB9" s="3">
        <f>AB3</f>
        <v>0</v>
      </c>
      <c r="AC9" s="105"/>
    </row>
    <row r="10" spans="1:29" x14ac:dyDescent="0.25">
      <c r="D10" s="2">
        <v>0</v>
      </c>
      <c r="E10" s="928"/>
      <c r="G10" s="83" t="str">
        <f t="shared" ref="G10:G15" si="0">IF(D10=0,"0.00%",(H10-D10)/D10)</f>
        <v>0.00%</v>
      </c>
      <c r="H10" s="3">
        <v>0</v>
      </c>
      <c r="I10" s="928"/>
      <c r="J10" s="61"/>
      <c r="K10" s="83" t="str">
        <f>IF(H10=0,"0.00%",(L10-H10)/H10)</f>
        <v>0.00%</v>
      </c>
      <c r="L10" s="3">
        <f>-H2</f>
        <v>0</v>
      </c>
      <c r="M10" s="928"/>
      <c r="O10" s="83" t="str">
        <f>IF(L10=0,"0.00%",(P10-L10)/L10)</f>
        <v>0.00%</v>
      </c>
      <c r="P10" s="3">
        <f>-L2</f>
        <v>0</v>
      </c>
      <c r="Q10" s="928"/>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936" t="s">
        <v>137</v>
      </c>
      <c r="D11" s="8">
        <f>SUM(D9:D10)</f>
        <v>0</v>
      </c>
      <c r="E11" s="928"/>
      <c r="G11" s="83" t="str">
        <f t="shared" si="0"/>
        <v>0.00%</v>
      </c>
      <c r="H11" s="8">
        <f>SUM(H9:H10)</f>
        <v>0</v>
      </c>
      <c r="I11" s="928"/>
      <c r="J11" s="62"/>
      <c r="K11" s="83" t="str">
        <f>IF(H11=0,"0.00%",(L11-H11)/H11)</f>
        <v>0.00%</v>
      </c>
      <c r="L11" s="8">
        <f>SUM(L9:L10)</f>
        <v>0</v>
      </c>
      <c r="M11" s="928"/>
      <c r="O11" s="83" t="str">
        <f>IF(L11=0,"0.00%",(P11-L11)/L11)</f>
        <v>0.00%</v>
      </c>
      <c r="P11" s="8">
        <f>SUM(P9:P10)</f>
        <v>0</v>
      </c>
      <c r="Q11" s="928"/>
      <c r="S11" s="83" t="str">
        <f>IF(P11=0,"0.00%",(T11-P11)/P11)</f>
        <v>0.00%</v>
      </c>
      <c r="T11" s="78">
        <f>SUM(T9:T10)</f>
        <v>0</v>
      </c>
      <c r="U11" s="105"/>
      <c r="W11" s="83" t="str">
        <f>IF(T11=0,"0.00%",(X11-T11)/T11)</f>
        <v>0.00%</v>
      </c>
      <c r="X11" s="78">
        <f>SUM(X9:X10)</f>
        <v>0</v>
      </c>
      <c r="Y11" s="105"/>
      <c r="AA11" s="83" t="str">
        <f>IF(X11=0,"0.00%",(AB11-X11)/X11)</f>
        <v>0.00%</v>
      </c>
      <c r="AB11" s="78">
        <f>SUM(AB9:AB10)</f>
        <v>0</v>
      </c>
      <c r="AC11" s="105"/>
    </row>
    <row r="12" spans="1:29" x14ac:dyDescent="0.25">
      <c r="E12" s="928"/>
      <c r="H12" s="3"/>
      <c r="I12" s="928"/>
      <c r="J12" s="63"/>
      <c r="K12" s="52"/>
      <c r="L12" s="3"/>
      <c r="M12" s="928"/>
      <c r="O12" s="52"/>
      <c r="P12" s="3"/>
      <c r="Q12" s="928"/>
      <c r="S12" s="46"/>
      <c r="T12" s="44"/>
      <c r="U12" s="105"/>
      <c r="W12" s="46"/>
      <c r="X12" s="44"/>
      <c r="Y12" s="105"/>
      <c r="AA12" s="46"/>
      <c r="AB12" s="44"/>
      <c r="AC12" s="105"/>
    </row>
    <row r="13" spans="1:29" x14ac:dyDescent="0.25">
      <c r="C13" s="938" t="s">
        <v>64</v>
      </c>
      <c r="D13" s="9">
        <v>0</v>
      </c>
      <c r="E13" s="1032" t="s">
        <v>959</v>
      </c>
      <c r="G13" s="83" t="str">
        <f t="shared" si="0"/>
        <v>0.00%</v>
      </c>
      <c r="H13" s="9">
        <v>0</v>
      </c>
      <c r="I13" s="1017"/>
      <c r="J13" s="64"/>
      <c r="K13" s="83" t="str">
        <f>IF(H13=0,"0.00%",(L13-H13)/H13)</f>
        <v>0.00%</v>
      </c>
      <c r="L13" s="9">
        <f>ROUND(L11-(L11/(1+I13)),0)</f>
        <v>0</v>
      </c>
      <c r="M13" s="928"/>
      <c r="O13" s="83" t="str">
        <f>IF(L13=0,"0.00%",(P13-L13)/L13)</f>
        <v>0.00%</v>
      </c>
      <c r="P13" s="9">
        <f>ROUND(P11-(P11/(1+I13)),0)</f>
        <v>0</v>
      </c>
      <c r="Q13" s="928"/>
      <c r="S13" s="83" t="str">
        <f>IF(P13=0,"0.00%",(T13-P13)/P13)</f>
        <v>0.00%</v>
      </c>
      <c r="T13" s="77" t="e">
        <f>ROUND(T11-(T11/(1+E13)),0)</f>
        <v>#VALUE!</v>
      </c>
      <c r="U13" s="105"/>
      <c r="W13" s="83" t="e">
        <f>IF(T13=0,"0.00%",(X13-T13)/T13)</f>
        <v>#VALUE!</v>
      </c>
      <c r="X13" s="77" t="e">
        <f>ROUND(X11-(X11/(1+E13)),0)</f>
        <v>#VALUE!</v>
      </c>
      <c r="Y13" s="105"/>
      <c r="AA13" s="83" t="e">
        <f>IF(X13=0,"0.00%",(AB13-X13)/X13)</f>
        <v>#VALUE!</v>
      </c>
      <c r="AB13" s="77">
        <f>ROUND(AB11-(AB11/(1+F13)),0)</f>
        <v>0</v>
      </c>
      <c r="AC13" s="105"/>
    </row>
    <row r="14" spans="1:29" x14ac:dyDescent="0.25">
      <c r="E14" s="928"/>
      <c r="H14" s="3"/>
      <c r="I14" s="928"/>
      <c r="J14" s="63"/>
      <c r="K14" s="52"/>
      <c r="L14" s="3"/>
      <c r="M14" s="928"/>
      <c r="O14" s="52"/>
      <c r="P14" s="3"/>
      <c r="Q14" s="928"/>
      <c r="S14" s="46"/>
      <c r="T14" s="44"/>
      <c r="U14" s="105"/>
      <c r="W14" s="46"/>
      <c r="X14" s="44"/>
      <c r="Y14" s="105"/>
      <c r="AA14" s="46"/>
      <c r="AB14" s="44"/>
      <c r="AC14" s="105"/>
    </row>
    <row r="15" spans="1:29" x14ac:dyDescent="0.25">
      <c r="B15" s="936" t="s">
        <v>50</v>
      </c>
      <c r="D15" s="10">
        <f>D11-D13+D7</f>
        <v>636450.82999999996</v>
      </c>
      <c r="E15" s="928"/>
      <c r="G15" s="83">
        <f t="shared" si="0"/>
        <v>-0.4564325888301537</v>
      </c>
      <c r="H15" s="10">
        <f>H11-H13+H7</f>
        <v>345953.92999999993</v>
      </c>
      <c r="I15" s="928"/>
      <c r="J15" s="62"/>
      <c r="K15" s="83">
        <f>IF(H15=0,"0.00%",(L15-H15)/H15)</f>
        <v>-1</v>
      </c>
      <c r="L15" s="10">
        <f>L11-L13+L7</f>
        <v>0</v>
      </c>
      <c r="M15" s="928"/>
      <c r="O15" s="83" t="str">
        <f>IF(L15=0,"0.00%",(P15-L15)/L15)</f>
        <v>0.00%</v>
      </c>
      <c r="P15" s="10">
        <f>P11-P13+P7</f>
        <v>0</v>
      </c>
      <c r="Q15" s="928"/>
      <c r="S15" s="83" t="str">
        <f>IF(P15=0,"0.00%",(T15-P15)/P15)</f>
        <v>0.00%</v>
      </c>
      <c r="T15" s="53" t="e">
        <f>T11-T13+T7</f>
        <v>#VALUE!</v>
      </c>
      <c r="U15" s="105"/>
      <c r="W15" s="83" t="e">
        <f>IF(T15=0,"0.00%",(X15-T15)/T15)</f>
        <v>#VALUE!</v>
      </c>
      <c r="X15" s="53" t="e">
        <f>X11-X13+X7</f>
        <v>#VALUE!</v>
      </c>
      <c r="Y15" s="105"/>
      <c r="AA15" s="83" t="e">
        <f>IF(X15=0,"0.00%",(AB15-X15)/X15)</f>
        <v>#VALUE!</v>
      </c>
      <c r="AB15" s="53" t="e">
        <f>AB11-AB13+AB7</f>
        <v>#VALUE!</v>
      </c>
      <c r="AC15" s="105"/>
    </row>
    <row r="16" spans="1:29" x14ac:dyDescent="0.25">
      <c r="E16" s="928"/>
      <c r="H16" s="3"/>
      <c r="I16" s="928"/>
      <c r="J16" s="62"/>
      <c r="L16" s="3"/>
      <c r="M16" s="928"/>
      <c r="P16" s="3"/>
      <c r="Q16" s="928"/>
      <c r="T16" s="49"/>
      <c r="U16" s="105"/>
      <c r="X16" s="49"/>
      <c r="Y16" s="105"/>
      <c r="AB16" s="49"/>
      <c r="AC16" s="105"/>
    </row>
    <row r="17" spans="1:29" x14ac:dyDescent="0.25">
      <c r="C17" s="930"/>
      <c r="E17" s="928"/>
      <c r="H17" s="3"/>
      <c r="I17" s="928"/>
      <c r="J17" s="63"/>
      <c r="L17" s="3"/>
      <c r="M17" s="928"/>
      <c r="P17" s="3"/>
      <c r="Q17" s="928"/>
      <c r="T17" s="44"/>
      <c r="U17" s="105"/>
      <c r="X17" s="44"/>
      <c r="Y17" s="105"/>
      <c r="AB17" s="44"/>
      <c r="AC17" s="105"/>
    </row>
    <row r="18" spans="1:29" x14ac:dyDescent="0.25">
      <c r="A18" s="148"/>
      <c r="D18" s="29" t="s">
        <v>826</v>
      </c>
      <c r="E18" s="929"/>
      <c r="F18" s="32"/>
      <c r="H18" s="29" t="s">
        <v>177</v>
      </c>
      <c r="I18" s="929"/>
      <c r="J18" s="65"/>
      <c r="M18" s="929"/>
      <c r="Q18" s="929"/>
      <c r="U18" s="106"/>
      <c r="Y18" s="106"/>
      <c r="AC18" s="106"/>
    </row>
    <row r="19" spans="1:29" ht="17.25" x14ac:dyDescent="0.4">
      <c r="A19" s="149"/>
      <c r="D19" s="35" t="s">
        <v>827</v>
      </c>
      <c r="E19" s="860"/>
      <c r="F19" s="34"/>
      <c r="H19" s="35" t="s">
        <v>48</v>
      </c>
      <c r="I19" s="1003">
        <v>0.02</v>
      </c>
      <c r="J19" s="29"/>
      <c r="L19" s="14" t="s">
        <v>48</v>
      </c>
      <c r="M19" s="1003">
        <v>0.02</v>
      </c>
      <c r="P19" s="14" t="s">
        <v>48</v>
      </c>
      <c r="Q19" s="870">
        <v>0.02</v>
      </c>
      <c r="T19" s="14" t="s">
        <v>48</v>
      </c>
      <c r="U19" s="104">
        <v>0.02</v>
      </c>
      <c r="X19" s="14" t="s">
        <v>48</v>
      </c>
      <c r="Y19" s="104">
        <v>0.02</v>
      </c>
      <c r="AB19" s="14" t="s">
        <v>48</v>
      </c>
      <c r="AC19" s="104">
        <v>0.02</v>
      </c>
    </row>
    <row r="20" spans="1:29" s="13" customFormat="1" x14ac:dyDescent="0.25">
      <c r="A20" s="150"/>
      <c r="B20" s="936" t="s">
        <v>46</v>
      </c>
      <c r="C20" s="938"/>
      <c r="D20" s="10"/>
      <c r="E20" s="861"/>
      <c r="F20" s="10"/>
      <c r="G20" s="372"/>
      <c r="H20" s="10"/>
      <c r="I20" s="864"/>
      <c r="J20" s="57"/>
      <c r="K20" s="379"/>
      <c r="L20" s="10"/>
      <c r="M20" s="947"/>
      <c r="O20" s="379"/>
      <c r="P20" s="10"/>
      <c r="Q20" s="947"/>
      <c r="R20" s="111"/>
      <c r="T20" s="10"/>
      <c r="U20" s="74"/>
      <c r="X20" s="10"/>
      <c r="Y20" s="74"/>
      <c r="AB20" s="10"/>
      <c r="AC20" s="74"/>
    </row>
    <row r="21" spans="1:29" x14ac:dyDescent="0.25">
      <c r="A21" s="151"/>
      <c r="B21" s="939">
        <v>1181</v>
      </c>
      <c r="C21" s="857" t="s">
        <v>280</v>
      </c>
      <c r="D21" s="108">
        <f>24328.6-169.3</f>
        <v>24159.3</v>
      </c>
      <c r="E21" s="955"/>
      <c r="F21" s="108"/>
      <c r="G21" s="1866">
        <f t="shared" ref="G21:G30" si="1">IF(D21=0,"0.00%",(H21-D21)/D21)</f>
        <v>1.8249990686816255</v>
      </c>
      <c r="H21" s="389">
        <v>68250</v>
      </c>
      <c r="I21" s="967" t="s">
        <v>777</v>
      </c>
      <c r="J21" s="66"/>
      <c r="K21" s="1866">
        <f t="shared" ref="K21:K27" si="2">IF(H21=0,"0.00%",(L21-H21)/H21)</f>
        <v>-1</v>
      </c>
      <c r="L21" s="108">
        <v>0</v>
      </c>
      <c r="M21" s="959"/>
      <c r="O21" s="83" t="str">
        <f t="shared" ref="O21:O27" si="3">IF(L21=0,"0.00%",(P21-L21)/L21)</f>
        <v>0.00%</v>
      </c>
      <c r="P21" s="2">
        <f>ROUND(L21*(1+Q19),0)</f>
        <v>0</v>
      </c>
      <c r="Q21" s="871"/>
      <c r="S21" s="83" t="str">
        <f t="shared" ref="S21:S27" si="4">IF(P21=0,"0.00%",(T21-P21)/P21)</f>
        <v>0.00%</v>
      </c>
      <c r="T21" s="2">
        <f>ROUND(P21*(1+U19),0)</f>
        <v>0</v>
      </c>
      <c r="U21" s="36" t="str">
        <f>TEXT(U19,"0.0%")&amp;" = Est. S &amp; C"</f>
        <v>2.0% = Est. S &amp; C</v>
      </c>
      <c r="W21" s="83" t="str">
        <f t="shared" ref="W21:W27" si="5">IF(T21=0,"0.00%",(X21-T21)/T21)</f>
        <v>0.00%</v>
      </c>
      <c r="X21" s="2">
        <f>ROUND(T21*(1+Y19),0)</f>
        <v>0</v>
      </c>
      <c r="Y21" s="36" t="str">
        <f>TEXT(Y19,"0.0%")&amp;" = Est. S &amp; C"</f>
        <v>2.0% = Est. S &amp; C</v>
      </c>
      <c r="AA21" s="83" t="str">
        <f t="shared" ref="AA21:AA27" si="6">IF(X21=0,"0.00%",(AB21-X21)/X21)</f>
        <v>0.00%</v>
      </c>
      <c r="AB21" s="2">
        <f>ROUND(X21*(1+AC19),0)</f>
        <v>0</v>
      </c>
      <c r="AC21" s="36" t="str">
        <f>TEXT(AC19,"0.0%")&amp;" = Est. S &amp; C"</f>
        <v>2.0% = Est. S &amp; C</v>
      </c>
    </row>
    <row r="22" spans="1:29" x14ac:dyDescent="0.25">
      <c r="A22" s="152"/>
      <c r="B22" s="939">
        <v>1312</v>
      </c>
      <c r="C22" s="857" t="s">
        <v>699</v>
      </c>
      <c r="D22" s="108">
        <v>64319.199999999997</v>
      </c>
      <c r="E22" s="955" t="s">
        <v>704</v>
      </c>
      <c r="F22" s="108"/>
      <c r="G22" s="1866">
        <f t="shared" si="1"/>
        <v>-0.30125063744573932</v>
      </c>
      <c r="H22" s="1584">
        <v>44943</v>
      </c>
      <c r="I22" s="965" t="s">
        <v>726</v>
      </c>
      <c r="J22" s="66"/>
      <c r="K22" s="1866">
        <f t="shared" si="2"/>
        <v>-1</v>
      </c>
      <c r="L22" s="108">
        <v>0</v>
      </c>
      <c r="M22" s="959"/>
      <c r="O22" s="83" t="str">
        <f t="shared" si="3"/>
        <v>0.00%</v>
      </c>
      <c r="P22" s="2">
        <f>ROUND(L22*(1+Q19),0)</f>
        <v>0</v>
      </c>
      <c r="Q22" s="871"/>
      <c r="S22" s="83" t="str">
        <f t="shared" si="4"/>
        <v>0.00%</v>
      </c>
      <c r="T22" s="2">
        <f>ROUND(P22*(1+U19),0)</f>
        <v>0</v>
      </c>
      <c r="U22" s="36" t="str">
        <f>TEXT(U19,"0.0%")&amp;" = Est. S &amp; C"</f>
        <v>2.0% = Est. S &amp; C</v>
      </c>
      <c r="W22" s="83" t="str">
        <f t="shared" si="5"/>
        <v>0.00%</v>
      </c>
      <c r="X22" s="2">
        <f>ROUND(T22*(1+Y19),0)</f>
        <v>0</v>
      </c>
      <c r="Y22" s="36" t="str">
        <f>TEXT(Y19,"0.0%")&amp;" = Est. S &amp; C"</f>
        <v>2.0% = Est. S &amp; C</v>
      </c>
      <c r="AA22" s="83" t="str">
        <f t="shared" si="6"/>
        <v>0.00%</v>
      </c>
      <c r="AB22" s="2">
        <f>ROUND(X22*(1+AC19),0)</f>
        <v>0</v>
      </c>
      <c r="AC22" s="36" t="str">
        <f>TEXT(AC19,"0.0%")&amp;" = Est. S &amp; C"</f>
        <v>2.0% = Est. S &amp; C</v>
      </c>
    </row>
    <row r="23" spans="1:29" hidden="1" x14ac:dyDescent="0.25">
      <c r="A23" s="152"/>
      <c r="B23" s="939"/>
      <c r="D23" s="108">
        <v>0</v>
      </c>
      <c r="E23" s="955"/>
      <c r="F23" s="108"/>
      <c r="G23" s="1866" t="str">
        <f t="shared" si="1"/>
        <v>0.00%</v>
      </c>
      <c r="H23" s="108">
        <f t="shared" ref="H23:H27" si="7">ROUND(D23*(1+$I$19),0)</f>
        <v>0</v>
      </c>
      <c r="I23" s="959" t="str">
        <f t="shared" ref="I23:I28" si="8">TEXT($I$19,"0.0%")&amp;" = Est. S &amp; C"</f>
        <v>2.0% = Est. S &amp; C</v>
      </c>
      <c r="J23" s="66"/>
      <c r="K23" s="1866" t="str">
        <f t="shared" si="2"/>
        <v>0.00%</v>
      </c>
      <c r="L23" s="108">
        <f>ROUND(H23*(1+M19),0)</f>
        <v>0</v>
      </c>
      <c r="M23" s="959" t="str">
        <f>TEXT(M19,"0.0%")&amp;" = Est. S &amp; C"</f>
        <v>2.0% = Est. S &amp; C</v>
      </c>
      <c r="O23" s="83" t="str">
        <f t="shared" si="3"/>
        <v>0.00%</v>
      </c>
      <c r="P23" s="2">
        <f>ROUND(L23*(1+Q19),0)</f>
        <v>0</v>
      </c>
      <c r="Q23" s="871" t="str">
        <f>TEXT(Q19,"0.0%")&amp;" = Est. S &amp; C"</f>
        <v>2.0% = Est. S &amp; C</v>
      </c>
      <c r="S23" s="83" t="str">
        <f t="shared" si="4"/>
        <v>0.00%</v>
      </c>
      <c r="T23" s="2">
        <f>ROUND(P23*(1+U19),0)</f>
        <v>0</v>
      </c>
      <c r="U23" s="36" t="str">
        <f>TEXT(U19,"0.0%")&amp;" = Est. S &amp; C"</f>
        <v>2.0% = Est. S &amp; C</v>
      </c>
      <c r="W23" s="83" t="str">
        <f t="shared" si="5"/>
        <v>0.00%</v>
      </c>
      <c r="X23" s="2">
        <f>ROUND(T23*(1+Y19),0)</f>
        <v>0</v>
      </c>
      <c r="Y23" s="36" t="str">
        <f>TEXT(Y19,"0.0%")&amp;" = Est. S &amp; C"</f>
        <v>2.0% = Est. S &amp; C</v>
      </c>
      <c r="AA23" s="83" t="str">
        <f t="shared" si="6"/>
        <v>0.00%</v>
      </c>
      <c r="AB23" s="2">
        <f>ROUND(X23*(1+AC19),0)</f>
        <v>0</v>
      </c>
      <c r="AC23" s="36" t="str">
        <f>TEXT(AC19,"0.0%")&amp;" = Est. S &amp; C"</f>
        <v>2.0% = Est. S &amp; C</v>
      </c>
    </row>
    <row r="24" spans="1:29" hidden="1" x14ac:dyDescent="0.25">
      <c r="A24" s="152"/>
      <c r="B24" s="939"/>
      <c r="D24" s="108">
        <v>0</v>
      </c>
      <c r="E24" s="955"/>
      <c r="F24" s="108"/>
      <c r="G24" s="1866" t="str">
        <f t="shared" si="1"/>
        <v>0.00%</v>
      </c>
      <c r="H24" s="108">
        <f t="shared" si="7"/>
        <v>0</v>
      </c>
      <c r="I24" s="959" t="str">
        <f t="shared" si="8"/>
        <v>2.0% = Est. S &amp; C</v>
      </c>
      <c r="J24" s="66"/>
      <c r="K24" s="1866" t="str">
        <f t="shared" si="2"/>
        <v>0.00%</v>
      </c>
      <c r="L24" s="108">
        <f>ROUND(H24*(1+M19),0)</f>
        <v>0</v>
      </c>
      <c r="M24" s="959" t="str">
        <f>TEXT(M19,"0.0%")&amp;" = Est. S &amp; C"</f>
        <v>2.0% = Est. S &amp; C</v>
      </c>
      <c r="O24" s="83" t="str">
        <f t="shared" si="3"/>
        <v>0.00%</v>
      </c>
      <c r="P24" s="2">
        <f>ROUND(L24*(1+Q19),0)</f>
        <v>0</v>
      </c>
      <c r="Q24" s="871" t="str">
        <f>TEXT(Q19,"0.0%")&amp;" = Est. S &amp; C"</f>
        <v>2.0% = Est. S &amp; C</v>
      </c>
      <c r="S24" s="83" t="str">
        <f t="shared" si="4"/>
        <v>0.00%</v>
      </c>
      <c r="T24" s="2">
        <f>ROUND(P24*(1+U19),0)</f>
        <v>0</v>
      </c>
      <c r="U24" s="36" t="str">
        <f>TEXT(U19,"0.0%")&amp;" = Est. S &amp; C"</f>
        <v>2.0% = Est. S &amp; C</v>
      </c>
      <c r="W24" s="83" t="str">
        <f t="shared" si="5"/>
        <v>0.00%</v>
      </c>
      <c r="X24" s="2">
        <f>ROUND(T24*(1+Y19),0)</f>
        <v>0</v>
      </c>
      <c r="Y24" s="36" t="str">
        <f>TEXT(Y19,"0.0%")&amp;" = Est. S &amp; C"</f>
        <v>2.0% = Est. S &amp; C</v>
      </c>
      <c r="AA24" s="83" t="str">
        <f t="shared" si="6"/>
        <v>0.00%</v>
      </c>
      <c r="AB24" s="2">
        <f>ROUND(X24*(1+AC19),0)</f>
        <v>0</v>
      </c>
      <c r="AC24" s="36" t="str">
        <f>TEXT(AC19,"0.0%")&amp;" = Est. S &amp; C"</f>
        <v>2.0% = Est. S &amp; C</v>
      </c>
    </row>
    <row r="25" spans="1:29" hidden="1" x14ac:dyDescent="0.25">
      <c r="A25" s="152"/>
      <c r="B25" s="939"/>
      <c r="D25" s="108">
        <v>0</v>
      </c>
      <c r="E25" s="955"/>
      <c r="F25" s="108"/>
      <c r="G25" s="1866" t="str">
        <f t="shared" si="1"/>
        <v>0.00%</v>
      </c>
      <c r="H25" s="108">
        <f t="shared" si="7"/>
        <v>0</v>
      </c>
      <c r="I25" s="959" t="str">
        <f t="shared" si="8"/>
        <v>2.0% = Est. S &amp; C</v>
      </c>
      <c r="J25" s="66"/>
      <c r="K25" s="1866" t="str">
        <f t="shared" si="2"/>
        <v>0.00%</v>
      </c>
      <c r="L25" s="108">
        <f>ROUND(H25*(1+M19),0)</f>
        <v>0</v>
      </c>
      <c r="M25" s="959" t="str">
        <f>TEXT(M19,"0.0%")&amp;" = Est. S &amp; C"</f>
        <v>2.0% = Est. S &amp; C</v>
      </c>
      <c r="O25" s="83" t="str">
        <f t="shared" si="3"/>
        <v>0.00%</v>
      </c>
      <c r="P25" s="2">
        <f>ROUND(L25*(1+Q19),0)</f>
        <v>0</v>
      </c>
      <c r="Q25" s="871" t="str">
        <f>TEXT(Q19,"0.0%")&amp;" = Est. S &amp; C"</f>
        <v>2.0% = Est. S &amp; C</v>
      </c>
      <c r="S25" s="83" t="str">
        <f t="shared" si="4"/>
        <v>0.00%</v>
      </c>
      <c r="T25" s="2">
        <f>ROUND(P25*(1+U19),0)</f>
        <v>0</v>
      </c>
      <c r="U25" s="36" t="str">
        <f>TEXT(U19,"0.0%")&amp;" = Est. S &amp; C"</f>
        <v>2.0% = Est. S &amp; C</v>
      </c>
      <c r="W25" s="83" t="str">
        <f t="shared" si="5"/>
        <v>0.00%</v>
      </c>
      <c r="X25" s="2">
        <f>ROUND(T25*(1+Y19),0)</f>
        <v>0</v>
      </c>
      <c r="Y25" s="36" t="str">
        <f>TEXT(Y19,"0.0%")&amp;" = Est. S &amp; C"</f>
        <v>2.0% = Est. S &amp; C</v>
      </c>
      <c r="AA25" s="83" t="str">
        <f t="shared" si="6"/>
        <v>0.00%</v>
      </c>
      <c r="AB25" s="2">
        <f>ROUND(X25*(1+AC19),0)</f>
        <v>0</v>
      </c>
      <c r="AC25" s="36" t="str">
        <f>TEXT(AC19,"0.0%")&amp;" = Est. S &amp; C"</f>
        <v>2.0% = Est. S &amp; C</v>
      </c>
    </row>
    <row r="26" spans="1:29" hidden="1" x14ac:dyDescent="0.25">
      <c r="A26" s="152"/>
      <c r="B26" s="939"/>
      <c r="D26" s="108">
        <v>0</v>
      </c>
      <c r="E26" s="955"/>
      <c r="F26" s="108"/>
      <c r="G26" s="1866" t="str">
        <f t="shared" si="1"/>
        <v>0.00%</v>
      </c>
      <c r="H26" s="108">
        <f t="shared" si="7"/>
        <v>0</v>
      </c>
      <c r="I26" s="959" t="str">
        <f t="shared" si="8"/>
        <v>2.0% = Est. S &amp; C</v>
      </c>
      <c r="J26" s="66"/>
      <c r="K26" s="1866" t="str">
        <f t="shared" si="2"/>
        <v>0.00%</v>
      </c>
      <c r="L26" s="108">
        <f>ROUND(H26*(1+M19),0)</f>
        <v>0</v>
      </c>
      <c r="M26" s="1865" t="str">
        <f>TEXT(M19,"0.0%")&amp;" = Est. S &amp; C"</f>
        <v>2.0% = Est. S &amp; C</v>
      </c>
      <c r="O26" s="83" t="str">
        <f t="shared" si="3"/>
        <v>0.00%</v>
      </c>
      <c r="P26" s="2">
        <f>ROUND(L26*(1+Q19),0)</f>
        <v>0</v>
      </c>
      <c r="Q26" s="871" t="str">
        <f>TEXT(Q19,"0.0%")&amp;" = Est. S &amp; C"</f>
        <v>2.0% = Est. S &amp; C</v>
      </c>
      <c r="S26" s="83" t="str">
        <f t="shared" si="4"/>
        <v>0.00%</v>
      </c>
      <c r="T26" s="2">
        <f>ROUND(P26*(1+U19),0)</f>
        <v>0</v>
      </c>
      <c r="U26" s="36" t="str">
        <f>TEXT(U19,"0.0%")&amp;" = Est. S &amp; C"</f>
        <v>2.0% = Est. S &amp; C</v>
      </c>
      <c r="W26" s="83" t="str">
        <f t="shared" si="5"/>
        <v>0.00%</v>
      </c>
      <c r="X26" s="2">
        <f>ROUND(T26*(1+Y19),0)</f>
        <v>0</v>
      </c>
      <c r="Y26" s="36" t="str">
        <f>TEXT(Y19,"0.0%")&amp;" = Est. S &amp; C"</f>
        <v>2.0% = Est. S &amp; C</v>
      </c>
      <c r="AA26" s="83" t="str">
        <f t="shared" si="6"/>
        <v>0.00%</v>
      </c>
      <c r="AB26" s="2">
        <f>ROUND(X26*(1+AC19),0)</f>
        <v>0</v>
      </c>
      <c r="AC26" s="36" t="str">
        <f>TEXT(AC19,"0.0%")&amp;" = Est. S &amp; C"</f>
        <v>2.0% = Est. S &amp; C</v>
      </c>
    </row>
    <row r="27" spans="1:29" hidden="1" x14ac:dyDescent="0.25">
      <c r="A27" s="152"/>
      <c r="B27" s="939"/>
      <c r="D27" s="108">
        <v>0</v>
      </c>
      <c r="E27" s="955"/>
      <c r="F27" s="108"/>
      <c r="G27" s="1866" t="str">
        <f t="shared" si="1"/>
        <v>0.00%</v>
      </c>
      <c r="H27" s="108">
        <f t="shared" si="7"/>
        <v>0</v>
      </c>
      <c r="I27" s="959" t="str">
        <f t="shared" si="8"/>
        <v>2.0% = Est. S &amp; C</v>
      </c>
      <c r="J27" s="66"/>
      <c r="K27" s="1866" t="str">
        <f t="shared" si="2"/>
        <v>0.00%</v>
      </c>
      <c r="L27" s="108">
        <f>ROUND(H27*(1+M19),0)</f>
        <v>0</v>
      </c>
      <c r="M27" s="959" t="str">
        <f>TEXT(M19,"0.0%")&amp;" = Est. S &amp; C"</f>
        <v>2.0% = Est. S &amp; C</v>
      </c>
      <c r="O27" s="83" t="str">
        <f t="shared" si="3"/>
        <v>0.00%</v>
      </c>
      <c r="P27" s="2">
        <f>ROUND(L27*(1+Q19),0)</f>
        <v>0</v>
      </c>
      <c r="Q27" s="871" t="str">
        <f>TEXT(Q19,"0.0%")&amp;" = Est. S &amp; C"</f>
        <v>2.0% = Est. S &amp; C</v>
      </c>
      <c r="S27" s="83" t="str">
        <f t="shared" si="4"/>
        <v>0.00%</v>
      </c>
      <c r="T27" s="2">
        <f>ROUND(P27*(1+U19),0)</f>
        <v>0</v>
      </c>
      <c r="U27" s="36" t="str">
        <f>TEXT(U19,"0.0%")&amp;" = Est. S &amp; C"</f>
        <v>2.0% = Est. S &amp; C</v>
      </c>
      <c r="W27" s="83" t="str">
        <f t="shared" si="5"/>
        <v>0.00%</v>
      </c>
      <c r="X27" s="2">
        <f>ROUND(T27*(1+Y19),0)</f>
        <v>0</v>
      </c>
      <c r="Y27" s="36" t="str">
        <f>TEXT(Y19,"0.0%")&amp;" = Est. S &amp; C"</f>
        <v>2.0% = Est. S &amp; C</v>
      </c>
      <c r="AA27" s="83" t="str">
        <f t="shared" si="6"/>
        <v>0.00%</v>
      </c>
      <c r="AB27" s="2">
        <f>ROUND(X27*(1+AC19),0)</f>
        <v>0</v>
      </c>
      <c r="AC27" s="36" t="str">
        <f>TEXT(AC19,"0.0%")&amp;" = Est. S &amp; C"</f>
        <v>2.0% = Est. S &amp; C</v>
      </c>
    </row>
    <row r="28" spans="1:29" hidden="1" x14ac:dyDescent="0.25">
      <c r="A28" s="152"/>
      <c r="B28" s="939"/>
      <c r="D28" s="108">
        <v>0</v>
      </c>
      <c r="E28" s="955"/>
      <c r="F28" s="108"/>
      <c r="G28" s="1866" t="str">
        <f>IF(D28=0,"0.00%",(H28-D28)/D28)</f>
        <v>0.00%</v>
      </c>
      <c r="H28" s="108">
        <f>ROUND(D28*(1+$I$19),0)</f>
        <v>0</v>
      </c>
      <c r="I28" s="959" t="str">
        <f t="shared" si="8"/>
        <v>2.0% = Est. S &amp; C</v>
      </c>
      <c r="J28" s="66"/>
      <c r="K28" s="1866" t="str">
        <f>IF(H28=0,"0.00%",(L28-H28)/H28)</f>
        <v>0.00%</v>
      </c>
      <c r="L28" s="108">
        <f>ROUND(H28*(1+M20),0)</f>
        <v>0</v>
      </c>
      <c r="M28" s="959" t="str">
        <f>TEXT(M20,"0.0%")&amp;" = Est. S &amp; C"</f>
        <v>0.0% = Est. S &amp; C</v>
      </c>
      <c r="O28" s="83" t="str">
        <f>IF(L28=0,"0.00%",(P28-L28)/L28)</f>
        <v>0.00%</v>
      </c>
      <c r="P28" s="2">
        <f>ROUND(L28*(1+Q20),0)</f>
        <v>0</v>
      </c>
      <c r="Q28" s="871"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939"/>
      <c r="D29" s="108"/>
      <c r="E29" s="955"/>
      <c r="F29" s="108"/>
      <c r="G29" s="1866"/>
      <c r="H29" s="108"/>
      <c r="I29" s="959"/>
      <c r="J29" s="66"/>
      <c r="K29" s="1867"/>
      <c r="L29" s="108"/>
      <c r="M29" s="962"/>
      <c r="Q29" s="948"/>
      <c r="T29" s="2"/>
      <c r="U29" s="73"/>
      <c r="X29" s="2"/>
      <c r="Y29" s="73"/>
      <c r="AB29" s="2"/>
      <c r="AC29" s="73"/>
    </row>
    <row r="30" spans="1:29" x14ac:dyDescent="0.25">
      <c r="A30" s="153"/>
      <c r="B30" s="939"/>
      <c r="D30" s="121">
        <f>SUM(D21:D29)</f>
        <v>88478.5</v>
      </c>
      <c r="E30" s="955"/>
      <c r="F30" s="108"/>
      <c r="G30" s="1866">
        <f t="shared" si="1"/>
        <v>0.27932774628864637</v>
      </c>
      <c r="H30" s="121">
        <f>SUM(H21:H29)</f>
        <v>113193</v>
      </c>
      <c r="I30" s="1292">
        <f>+H30-D30</f>
        <v>24714.5</v>
      </c>
      <c r="J30" s="29"/>
      <c r="K30" s="1866">
        <f>IF(H30=0,"0.00%",(L30-H30)/H30)</f>
        <v>-1</v>
      </c>
      <c r="L30" s="121">
        <f>SUM(L21:L29)</f>
        <v>0</v>
      </c>
      <c r="M30" s="1292">
        <f>+L30-H30</f>
        <v>-113193</v>
      </c>
      <c r="O30" s="83" t="str">
        <f>IF(L30=0,"0.00%",(P30-L30)/L30)</f>
        <v>0.00%</v>
      </c>
      <c r="P30" s="8">
        <f>SUM(P21:P29)</f>
        <v>0</v>
      </c>
      <c r="Q30" s="1292">
        <f>+P30-L30</f>
        <v>0</v>
      </c>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x14ac:dyDescent="0.25">
      <c r="A31" s="152"/>
      <c r="D31" s="108"/>
      <c r="E31" s="955"/>
      <c r="F31" s="108"/>
      <c r="G31" s="1869"/>
      <c r="H31" s="108"/>
      <c r="I31" s="2036" t="s">
        <v>1035</v>
      </c>
      <c r="J31" s="66"/>
      <c r="K31" s="1867"/>
      <c r="L31" s="108"/>
      <c r="M31" s="963"/>
      <c r="Q31" s="949"/>
      <c r="T31" s="2"/>
      <c r="U31" s="73"/>
      <c r="X31" s="2"/>
      <c r="Y31" s="73"/>
      <c r="AB31" s="2"/>
      <c r="AC31" s="73"/>
    </row>
    <row r="32" spans="1:29" s="4" customFormat="1" x14ac:dyDescent="0.25">
      <c r="A32" s="150"/>
      <c r="B32" s="940" t="s">
        <v>35</v>
      </c>
      <c r="C32" s="873"/>
      <c r="D32" s="57"/>
      <c r="E32" s="956"/>
      <c r="F32" s="57"/>
      <c r="G32" s="1870"/>
      <c r="H32" s="57"/>
      <c r="I32" s="957"/>
      <c r="J32" s="57"/>
      <c r="K32" s="1868"/>
      <c r="L32" s="57"/>
      <c r="M32" s="964"/>
      <c r="O32" s="380"/>
      <c r="P32" s="6"/>
      <c r="Q32" s="950"/>
      <c r="R32" s="111"/>
      <c r="T32" s="6"/>
      <c r="U32" s="71"/>
      <c r="X32" s="6"/>
      <c r="Y32" s="71"/>
      <c r="AB32" s="6"/>
      <c r="AC32" s="71"/>
    </row>
    <row r="33" spans="1:29" hidden="1" x14ac:dyDescent="0.25">
      <c r="A33" s="152"/>
      <c r="B33" s="939"/>
      <c r="D33" s="108">
        <v>0</v>
      </c>
      <c r="E33" s="955"/>
      <c r="F33" s="108"/>
      <c r="G33" s="1866" t="str">
        <f t="shared" ref="G33:G39" si="9">IF(D33=0,"0.00%",(H33-D33)/D33)</f>
        <v>0.00%</v>
      </c>
      <c r="H33" s="108">
        <f t="shared" ref="H33:H39" si="10">ROUND(D33*(1+$I$19),0)</f>
        <v>0</v>
      </c>
      <c r="I33" s="959" t="str">
        <f t="shared" ref="I33:I39" si="11">TEXT($I$19,"0.0%")&amp;" = Est. S &amp; C"</f>
        <v>2.0% = Est. S &amp; C</v>
      </c>
      <c r="J33" s="66"/>
      <c r="K33" s="1866" t="str">
        <f t="shared" ref="K33:K39" si="12">IF(H33=0,"0.00%",(L33-H33)/H33)</f>
        <v>0.00%</v>
      </c>
      <c r="L33" s="108">
        <f>ROUND(H33*(1+M19),0)</f>
        <v>0</v>
      </c>
      <c r="M33" s="959" t="str">
        <f>TEXT(M19,"0.0%")&amp;" = Est. S &amp; C"</f>
        <v>2.0% = Est. S &amp; C</v>
      </c>
      <c r="O33" s="83" t="str">
        <f t="shared" ref="O33:O39" si="13">IF(L33=0,"0.00%",(P33-L33)/L33)</f>
        <v>0.00%</v>
      </c>
      <c r="P33" s="2">
        <f>ROUND(L33*(1+Q19),0)</f>
        <v>0</v>
      </c>
      <c r="Q33" s="871"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2"/>
      <c r="B34" s="939"/>
      <c r="D34" s="108">
        <v>0</v>
      </c>
      <c r="E34" s="955"/>
      <c r="F34" s="108"/>
      <c r="G34" s="1866" t="str">
        <f t="shared" si="9"/>
        <v>0.00%</v>
      </c>
      <c r="H34" s="108">
        <f t="shared" si="10"/>
        <v>0</v>
      </c>
      <c r="I34" s="959" t="str">
        <f t="shared" si="11"/>
        <v>2.0% = Est. S &amp; C</v>
      </c>
      <c r="J34" s="66"/>
      <c r="K34" s="1866" t="str">
        <f t="shared" si="12"/>
        <v>0.00%</v>
      </c>
      <c r="L34" s="108">
        <f>ROUND(H34*(1+M19),0)</f>
        <v>0</v>
      </c>
      <c r="M34" s="959" t="str">
        <f>TEXT(M19,"0.0%")&amp;" = Est. S &amp; C"</f>
        <v>2.0% = Est. S &amp; C</v>
      </c>
      <c r="O34" s="83" t="str">
        <f t="shared" si="13"/>
        <v>0.00%</v>
      </c>
      <c r="P34" s="2">
        <f>ROUND(L34*(1+Q19),0)</f>
        <v>0</v>
      </c>
      <c r="Q34" s="871"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2"/>
      <c r="B35" s="939"/>
      <c r="D35" s="108">
        <v>0</v>
      </c>
      <c r="E35" s="955"/>
      <c r="F35" s="108"/>
      <c r="G35" s="1866" t="str">
        <f t="shared" si="9"/>
        <v>0.00%</v>
      </c>
      <c r="H35" s="108">
        <f t="shared" si="10"/>
        <v>0</v>
      </c>
      <c r="I35" s="959" t="str">
        <f t="shared" si="11"/>
        <v>2.0% = Est. S &amp; C</v>
      </c>
      <c r="J35" s="66"/>
      <c r="K35" s="1866" t="str">
        <f t="shared" si="12"/>
        <v>0.00%</v>
      </c>
      <c r="L35" s="108">
        <f>ROUND(H35*(1+M19),0)</f>
        <v>0</v>
      </c>
      <c r="M35" s="959" t="str">
        <f>TEXT(M19,"0.0%")&amp;" = Est. S &amp; C"</f>
        <v>2.0% = Est. S &amp; C</v>
      </c>
      <c r="O35" s="83" t="str">
        <f t="shared" si="13"/>
        <v>0.00%</v>
      </c>
      <c r="P35" s="2">
        <f>ROUND(L35*(1+Q19),0)</f>
        <v>0</v>
      </c>
      <c r="Q35" s="871"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2"/>
      <c r="B36" s="939"/>
      <c r="D36" s="108">
        <v>0</v>
      </c>
      <c r="E36" s="955"/>
      <c r="F36" s="108"/>
      <c r="G36" s="1866" t="str">
        <f t="shared" si="9"/>
        <v>0.00%</v>
      </c>
      <c r="H36" s="108">
        <f t="shared" si="10"/>
        <v>0</v>
      </c>
      <c r="I36" s="959" t="str">
        <f t="shared" si="11"/>
        <v>2.0% = Est. S &amp; C</v>
      </c>
      <c r="J36" s="66"/>
      <c r="K36" s="1866" t="str">
        <f t="shared" si="12"/>
        <v>0.00%</v>
      </c>
      <c r="L36" s="108">
        <f>ROUND(H36*(1+M19),0)</f>
        <v>0</v>
      </c>
      <c r="M36" s="959" t="str">
        <f>TEXT(M19,"0.0%")&amp;" = Est. S &amp; C"</f>
        <v>2.0% = Est. S &amp; C</v>
      </c>
      <c r="O36" s="83" t="str">
        <f t="shared" si="13"/>
        <v>0.00%</v>
      </c>
      <c r="P36" s="2">
        <f>ROUND(L36*(1+Q19),0)</f>
        <v>0</v>
      </c>
      <c r="Q36" s="871"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2"/>
      <c r="B37" s="939"/>
      <c r="D37" s="108">
        <v>0</v>
      </c>
      <c r="E37" s="955"/>
      <c r="F37" s="108"/>
      <c r="G37" s="1866" t="str">
        <f t="shared" si="9"/>
        <v>0.00%</v>
      </c>
      <c r="H37" s="108">
        <f t="shared" si="10"/>
        <v>0</v>
      </c>
      <c r="I37" s="959" t="str">
        <f t="shared" si="11"/>
        <v>2.0% = Est. S &amp; C</v>
      </c>
      <c r="J37" s="66"/>
      <c r="K37" s="1866" t="str">
        <f t="shared" si="12"/>
        <v>0.00%</v>
      </c>
      <c r="L37" s="108">
        <f>ROUND(H37*(1+M19),0)</f>
        <v>0</v>
      </c>
      <c r="M37" s="959" t="str">
        <f>TEXT(M19,"0.0%")&amp;" = Est. S &amp; C"</f>
        <v>2.0% = Est. S &amp; C</v>
      </c>
      <c r="O37" s="83" t="str">
        <f t="shared" si="13"/>
        <v>0.00%</v>
      </c>
      <c r="P37" s="2">
        <f>ROUND(L37*(1+Q19),0)</f>
        <v>0</v>
      </c>
      <c r="Q37" s="871"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2"/>
      <c r="B38" s="939"/>
      <c r="D38" s="108">
        <v>0</v>
      </c>
      <c r="E38" s="955"/>
      <c r="F38" s="108"/>
      <c r="G38" s="1866" t="str">
        <f t="shared" si="9"/>
        <v>0.00%</v>
      </c>
      <c r="H38" s="108">
        <f t="shared" si="10"/>
        <v>0</v>
      </c>
      <c r="I38" s="959" t="str">
        <f t="shared" si="11"/>
        <v>2.0% = Est. S &amp; C</v>
      </c>
      <c r="J38" s="66"/>
      <c r="K38" s="1866" t="str">
        <f t="shared" si="12"/>
        <v>0.00%</v>
      </c>
      <c r="L38" s="108">
        <f>ROUND(H38*(1+M19),0)</f>
        <v>0</v>
      </c>
      <c r="M38" s="959" t="str">
        <f>TEXT(M19,"0.0%")&amp;" = Est. S &amp; C"</f>
        <v>2.0% = Est. S &amp; C</v>
      </c>
      <c r="O38" s="83" t="str">
        <f t="shared" si="13"/>
        <v>0.00%</v>
      </c>
      <c r="P38" s="2">
        <f>ROUND(L38*(1+Q19),0)</f>
        <v>0</v>
      </c>
      <c r="Q38" s="871"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2"/>
      <c r="B39" s="939"/>
      <c r="D39" s="108">
        <v>0</v>
      </c>
      <c r="E39" s="955"/>
      <c r="F39" s="108"/>
      <c r="G39" s="1866" t="str">
        <f t="shared" si="9"/>
        <v>0.00%</v>
      </c>
      <c r="H39" s="108">
        <f t="shared" si="10"/>
        <v>0</v>
      </c>
      <c r="I39" s="959" t="str">
        <f t="shared" si="11"/>
        <v>2.0% = Est. S &amp; C</v>
      </c>
      <c r="J39" s="66"/>
      <c r="K39" s="1866" t="str">
        <f t="shared" si="12"/>
        <v>0.00%</v>
      </c>
      <c r="L39" s="108">
        <f>ROUND(H39*(1+M19),0)</f>
        <v>0</v>
      </c>
      <c r="M39" s="959" t="str">
        <f>TEXT(M19,"0.0%")&amp;" = Est. S &amp; C"</f>
        <v>2.0% = Est. S &amp; C</v>
      </c>
      <c r="O39" s="83" t="str">
        <f t="shared" si="13"/>
        <v>0.00%</v>
      </c>
      <c r="P39" s="2">
        <f>ROUND(L39*(1+Q19),0)</f>
        <v>0</v>
      </c>
      <c r="Q39" s="871"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2"/>
      <c r="B40" s="939"/>
      <c r="D40" s="108"/>
      <c r="E40" s="955"/>
      <c r="F40" s="108"/>
      <c r="G40" s="1869"/>
      <c r="H40" s="108"/>
      <c r="I40" s="959"/>
      <c r="J40" s="66"/>
      <c r="K40" s="1867"/>
      <c r="L40" s="108"/>
      <c r="M40" s="962"/>
      <c r="Q40" s="948"/>
      <c r="T40" s="2"/>
      <c r="U40" s="73"/>
      <c r="X40" s="2"/>
      <c r="Y40" s="73"/>
      <c r="AB40" s="2"/>
      <c r="AC40" s="73"/>
    </row>
    <row r="41" spans="1:29" x14ac:dyDescent="0.25">
      <c r="A41" s="153"/>
      <c r="B41" s="939"/>
      <c r="D41" s="121">
        <f>SUM(D33:D40)</f>
        <v>0</v>
      </c>
      <c r="E41" s="955"/>
      <c r="F41" s="108"/>
      <c r="G41" s="1866" t="str">
        <f>IF(D41=0,"0.00%",(H41-D41)/D41)</f>
        <v>0.00%</v>
      </c>
      <c r="H41" s="121">
        <f>SUM(H33:H40)</f>
        <v>0</v>
      </c>
      <c r="I41" s="960"/>
      <c r="J41" s="29"/>
      <c r="K41" s="1866" t="str">
        <f>IF(H41=0,"0.00%",(L41-H41)/H41)</f>
        <v>0.00%</v>
      </c>
      <c r="L41" s="121">
        <f>SUM(L33:L40)</f>
        <v>0</v>
      </c>
      <c r="M41" s="962"/>
      <c r="O41" s="83" t="str">
        <f>IF(L41=0,"0.00%",(P41-L41)/L41)</f>
        <v>0.00%</v>
      </c>
      <c r="P41" s="8">
        <f>SUM(P33:P40)</f>
        <v>0</v>
      </c>
      <c r="Q41" s="948"/>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x14ac:dyDescent="0.25">
      <c r="A42" s="152"/>
      <c r="B42" s="930" t="s">
        <v>28</v>
      </c>
      <c r="D42" s="108"/>
      <c r="E42" s="955"/>
      <c r="F42" s="108"/>
      <c r="G42" s="1869"/>
      <c r="H42" s="108"/>
      <c r="I42" s="959"/>
      <c r="J42" s="66"/>
      <c r="K42" s="1867"/>
      <c r="L42" s="108"/>
      <c r="M42" s="962"/>
      <c r="Q42" s="948"/>
      <c r="T42" s="2"/>
      <c r="U42" s="73"/>
      <c r="X42" s="2"/>
      <c r="Y42" s="73"/>
      <c r="AB42" s="2"/>
      <c r="AC42" s="73"/>
    </row>
    <row r="43" spans="1:29" x14ac:dyDescent="0.25">
      <c r="A43" s="154"/>
      <c r="B43" s="936" t="s">
        <v>27</v>
      </c>
      <c r="D43" s="108"/>
      <c r="E43" s="955"/>
      <c r="F43" s="108"/>
      <c r="G43" s="1869"/>
      <c r="H43" s="108"/>
      <c r="I43" s="959"/>
      <c r="J43" s="66"/>
      <c r="K43" s="1867"/>
      <c r="L43" s="108"/>
      <c r="M43" s="962"/>
      <c r="Q43" s="948"/>
      <c r="T43" s="2"/>
      <c r="U43" s="73"/>
      <c r="X43" s="2"/>
      <c r="Y43" s="73"/>
      <c r="AB43" s="2"/>
      <c r="AC43" s="73"/>
    </row>
    <row r="44" spans="1:29" x14ac:dyDescent="0.25">
      <c r="A44" s="152"/>
      <c r="B44" s="939" t="s">
        <v>83</v>
      </c>
      <c r="C44" s="857" t="s">
        <v>76</v>
      </c>
      <c r="D44" s="108">
        <v>10653.37</v>
      </c>
      <c r="E44" s="957" t="str">
        <f>TEXT('MYP Assumptions'!$D$55,"0.00%")&amp;", STRS rate"</f>
        <v>12.58%, STRS rate</v>
      </c>
      <c r="F44" s="108"/>
      <c r="G44" s="1866">
        <f t="shared" ref="G44:G53" si="17">IF(D44=0,"0.00%",(H44-D44)/D44)</f>
        <v>0.53331762625347645</v>
      </c>
      <c r="H44" s="108">
        <v>16335</v>
      </c>
      <c r="I44" s="957" t="str">
        <f>TEXT('MYP Assumptions'!E55,"0.00%")&amp;", projected STRS rate"</f>
        <v>14.43%, projected STRS rate</v>
      </c>
      <c r="J44" s="66"/>
      <c r="K44" s="1866">
        <f t="shared" ref="K44:K53" si="18">IF(H44=0,"0.00%",(L44-H44)/H44)</f>
        <v>-1</v>
      </c>
      <c r="L44" s="108">
        <f>ROUND(L30*LEFT(M44,6),0)</f>
        <v>0</v>
      </c>
      <c r="M44" s="957" t="str">
        <f>TEXT('MYP Assumptions'!F55,"0.00%")&amp;", projected STRS rate"</f>
        <v>16.28%, projected STRS rate</v>
      </c>
      <c r="O44" s="83" t="str">
        <f t="shared" ref="O44:O53" si="19">IF(L44=0,"0.00%",(P44-L44)/L44)</f>
        <v>0.00%</v>
      </c>
      <c r="P44" s="2">
        <f>ROUND(P30*LEFT(Q44,6),0)</f>
        <v>0</v>
      </c>
      <c r="Q44" s="854" t="str">
        <f>TEXT('MYP Assumptions'!G55,"0.00%")&amp;", projected STRS rate"</f>
        <v>18.13%, projected STRS rate</v>
      </c>
      <c r="S44" s="83" t="str">
        <f t="shared" ref="S44:S53" si="20">IF(P44=0,"0.00%",(T44-P44)/P44)</f>
        <v>0.00%</v>
      </c>
      <c r="T44" s="2">
        <f>ROUND(T30*LEFT(U44,6),0)</f>
        <v>0</v>
      </c>
      <c r="U44" s="81" t="str">
        <f>TEXT('MYP Assumptions'!H55,"0.00%")&amp;", projected STRS rate"</f>
        <v>19.10%, projected STRS rate</v>
      </c>
      <c r="W44" s="83" t="str">
        <f t="shared" ref="W44:W53" si="21">IF(T44=0,"0.00%",(X44-T44)/T44)</f>
        <v>0.00%</v>
      </c>
      <c r="X44" s="2">
        <f>ROUND(X30*LEFT(Y44,6),0)</f>
        <v>0</v>
      </c>
      <c r="Y44" s="81" t="str">
        <f>TEXT('MYP Assumptions'!I55,"0.00%")&amp;", projected STRS rate"</f>
        <v>19.10%, projected STRS rate</v>
      </c>
      <c r="AA44" s="83" t="str">
        <f t="shared" ref="AA44:AA53" si="22">IF(X44=0,"0.00%",(AB44-X44)/X44)</f>
        <v>0.00%</v>
      </c>
      <c r="AB44" s="2">
        <f>ROUND(AB30*LEFT(AC44,6),0)</f>
        <v>0</v>
      </c>
      <c r="AC44" s="81" t="str">
        <f>TEXT('MYP Assumptions'!J55,"0.00%")&amp;", projected STRS rate"</f>
        <v>19.10%, projected STRS rate</v>
      </c>
    </row>
    <row r="45" spans="1:29" x14ac:dyDescent="0.25">
      <c r="A45" s="152"/>
      <c r="B45" s="939" t="s">
        <v>84</v>
      </c>
      <c r="C45" s="857" t="s">
        <v>77</v>
      </c>
      <c r="D45" s="108">
        <v>0</v>
      </c>
      <c r="E45" s="957" t="str">
        <f>TEXT('MYP Assumptions'!$D$56,"0.00%")&amp;", PERS rate"</f>
        <v>13.89%, PERS rate</v>
      </c>
      <c r="F45" s="108"/>
      <c r="G45" s="1866" t="str">
        <f t="shared" si="17"/>
        <v>0.00%</v>
      </c>
      <c r="H45" s="108">
        <f>ROUND(H41*LEFT(I45,6),0)</f>
        <v>0</v>
      </c>
      <c r="I45" s="957" t="str">
        <f>TEXT('MYP Assumptions'!E56,"0.00%")&amp;", projected PERS rate"</f>
        <v>15.53%, projected PERS rate</v>
      </c>
      <c r="J45" s="66"/>
      <c r="K45" s="1866" t="str">
        <f t="shared" si="18"/>
        <v>0.00%</v>
      </c>
      <c r="L45" s="108">
        <f>ROUND(L41*LEFT(M45,6),0)</f>
        <v>0</v>
      </c>
      <c r="M45" s="957" t="str">
        <f>TEXT('MYP Assumptions'!F56,"0.00%")&amp;", projected PERS rate"</f>
        <v>18.10%, projected PERS rate</v>
      </c>
      <c r="O45" s="83" t="str">
        <f t="shared" si="19"/>
        <v>0.00%</v>
      </c>
      <c r="P45" s="2">
        <f>ROUND(P41*LEFT(Q45,6),0)</f>
        <v>0</v>
      </c>
      <c r="Q45" s="854" t="str">
        <f>TEXT('MYP Assumptions'!G56,"0.00%")&amp;", projected PERS rate"</f>
        <v>20.80%, projected PERS rate</v>
      </c>
      <c r="S45" s="83" t="str">
        <f t="shared" si="20"/>
        <v>0.00%</v>
      </c>
      <c r="T45" s="2">
        <f>ROUND(T41*LEFT(U45,6),0)</f>
        <v>0</v>
      </c>
      <c r="U45" s="81" t="str">
        <f>TEXT('MYP Assumptions'!H56,"0.00%")&amp;", projected PERS rate"</f>
        <v>23.80%, projected PERS rate</v>
      </c>
      <c r="W45" s="83" t="str">
        <f t="shared" si="21"/>
        <v>0.00%</v>
      </c>
      <c r="X45" s="2">
        <f>ROUND(X41*LEFT(Y45,6),0)</f>
        <v>0</v>
      </c>
      <c r="Y45" s="81" t="str">
        <f>TEXT('MYP Assumptions'!I56,"0.00%")&amp;", projected PERS rate"</f>
        <v>25.20%, projected PERS rate</v>
      </c>
      <c r="AA45" s="83" t="str">
        <f t="shared" si="22"/>
        <v>0.00%</v>
      </c>
      <c r="AB45" s="2">
        <f>ROUND(AB41*LEFT(AC45,6),0)</f>
        <v>0</v>
      </c>
      <c r="AC45" s="81" t="str">
        <f>TEXT('MYP Assumptions'!J56,"0.00%")&amp;", projected PERS rate"</f>
        <v>26.10%, projected PERS rate</v>
      </c>
    </row>
    <row r="46" spans="1:29" x14ac:dyDescent="0.25">
      <c r="A46" s="152"/>
      <c r="B46" s="939" t="s">
        <v>85</v>
      </c>
      <c r="C46" s="857" t="s">
        <v>78</v>
      </c>
      <c r="D46" s="108">
        <v>183.83</v>
      </c>
      <c r="E46" s="957" t="str">
        <f>TEXT('MYP Assumptions'!$D$57,"0.00%")&amp;", SS rate"</f>
        <v>6.20%, SS rate</v>
      </c>
      <c r="F46" s="108"/>
      <c r="G46" s="1866">
        <f t="shared" si="17"/>
        <v>-1</v>
      </c>
      <c r="H46" s="108">
        <v>0</v>
      </c>
      <c r="I46" s="957" t="str">
        <f>TEXT('MYP Assumptions'!E57,"0.00%")&amp;", no rate change"</f>
        <v>6.20%, no rate change</v>
      </c>
      <c r="J46" s="66"/>
      <c r="K46" s="1866" t="str">
        <f t="shared" si="18"/>
        <v>0.00%</v>
      </c>
      <c r="L46" s="108">
        <f>ROUND(L41*LEFT(M46,5),0)</f>
        <v>0</v>
      </c>
      <c r="M46" s="957" t="str">
        <f>TEXT('MYP Assumptions'!F57,"0.00%")&amp;", no rate change"</f>
        <v>6.20%, no rate change</v>
      </c>
      <c r="O46" s="83" t="str">
        <f t="shared" si="19"/>
        <v>0.00%</v>
      </c>
      <c r="P46" s="2">
        <f>+L46</f>
        <v>0</v>
      </c>
      <c r="Q46" s="854" t="str">
        <f>TEXT('MYP Assumptions'!G57,"0.00%")&amp;", no rate change"</f>
        <v>6.20%, no rate change</v>
      </c>
      <c r="S46" s="83" t="str">
        <f t="shared" si="20"/>
        <v>0.00%</v>
      </c>
      <c r="T46" s="2">
        <f>ROUND(T41*LEFT(U46,5),0)</f>
        <v>0</v>
      </c>
      <c r="U46" s="81" t="str">
        <f>TEXT('MYP Assumptions'!H57,"0.00%")&amp;", no rate change"</f>
        <v>6.20%, no rate change</v>
      </c>
      <c r="W46" s="83" t="str">
        <f t="shared" si="21"/>
        <v>0.00%</v>
      </c>
      <c r="X46" s="2">
        <f>ROUND(X41*LEFT(Y46,5),0)</f>
        <v>0</v>
      </c>
      <c r="Y46" s="81" t="str">
        <f>TEXT('MYP Assumptions'!I57,"0.00%")&amp;", no rate change"</f>
        <v>6.20%, no rate change</v>
      </c>
      <c r="AA46" s="83" t="str">
        <f t="shared" si="22"/>
        <v>0.00%</v>
      </c>
      <c r="AB46" s="2">
        <f>ROUND(AB41*LEFT(AC46,5),0)</f>
        <v>0</v>
      </c>
      <c r="AC46" s="81" t="str">
        <f>TEXT('MYP Assumptions'!J57,"0.00%")&amp;", no rate change"</f>
        <v>6.20%, no rate change</v>
      </c>
    </row>
    <row r="47" spans="1:29" x14ac:dyDescent="0.25">
      <c r="A47" s="152"/>
      <c r="B47" s="939" t="s">
        <v>86</v>
      </c>
      <c r="C47" s="857" t="s">
        <v>79</v>
      </c>
      <c r="D47" s="108">
        <v>1261.25</v>
      </c>
      <c r="E47" s="957" t="str">
        <f>TEXT('MYP Assumptions'!$D$58,"0.00%")&amp;", Medicare rate"</f>
        <v>1.45%, Medicare rate</v>
      </c>
      <c r="F47" s="108"/>
      <c r="G47" s="1866">
        <f t="shared" si="17"/>
        <v>0.31377601585728443</v>
      </c>
      <c r="H47" s="108">
        <v>1657</v>
      </c>
      <c r="I47" s="957" t="str">
        <f>TEXT('MYP Assumptions'!E58,"0.00%")&amp;", no rate change"</f>
        <v>1.45%, no rate change</v>
      </c>
      <c r="J47" s="66"/>
      <c r="K47" s="1866">
        <f t="shared" si="18"/>
        <v>-1</v>
      </c>
      <c r="L47" s="108">
        <f>ROUND((L41+L30)*LEFT(M47,5),0)</f>
        <v>0</v>
      </c>
      <c r="M47" s="957" t="str">
        <f>TEXT('MYP Assumptions'!F58,"0.00%")&amp;", no rate change"</f>
        <v>1.45%, no rate change</v>
      </c>
      <c r="O47" s="83" t="str">
        <f t="shared" si="19"/>
        <v>0.00%</v>
      </c>
      <c r="P47" s="2">
        <f>ROUND((P41+P30)*LEFT(Q47,5),0)</f>
        <v>0</v>
      </c>
      <c r="Q47" s="854" t="str">
        <f>TEXT('MYP Assumptions'!G58,"0.00%")&amp;", no rate change"</f>
        <v>1.45%, no rate change</v>
      </c>
      <c r="S47" s="83" t="str">
        <f t="shared" si="20"/>
        <v>0.00%</v>
      </c>
      <c r="T47" s="2">
        <f>ROUND((T41+T30)*LEFT(U47,5),0)</f>
        <v>0</v>
      </c>
      <c r="U47" s="81" t="str">
        <f>TEXT('MYP Assumptions'!H58,"0.00%")&amp;", no rate change"</f>
        <v>1.45%, no rate change</v>
      </c>
      <c r="W47" s="83" t="str">
        <f t="shared" si="21"/>
        <v>0.00%</v>
      </c>
      <c r="X47" s="2">
        <f>ROUND((X41+X30)*LEFT(Y47,5),0)</f>
        <v>0</v>
      </c>
      <c r="Y47" s="81" t="str">
        <f>TEXT('MYP Assumptions'!I58,"0.00%")&amp;", no rate change"</f>
        <v>1.45%, no rate change</v>
      </c>
      <c r="AA47" s="83" t="str">
        <f t="shared" si="22"/>
        <v>0.00%</v>
      </c>
      <c r="AB47" s="2">
        <f>ROUND((AB41+AB30)*LEFT(AC47,5),0)</f>
        <v>0</v>
      </c>
      <c r="AC47" s="81" t="str">
        <f>TEXT('MYP Assumptions'!J58,"0.00%")&amp;", no rate change"</f>
        <v>1.45%, no rate change</v>
      </c>
    </row>
    <row r="48" spans="1:29" x14ac:dyDescent="0.25">
      <c r="A48" s="152"/>
      <c r="B48" s="939" t="s">
        <v>87</v>
      </c>
      <c r="C48" s="857" t="s">
        <v>80</v>
      </c>
      <c r="D48" s="108">
        <v>8400.73</v>
      </c>
      <c r="E48" s="957"/>
      <c r="F48" s="108"/>
      <c r="G48" s="1866">
        <f t="shared" si="17"/>
        <v>-0.16066818002721187</v>
      </c>
      <c r="H48" s="389">
        <v>7051</v>
      </c>
      <c r="I48" s="957" t="str">
        <f>TEXT('MYP Assumptions'!$M$65,"0.00%")&amp;", projected increase"</f>
        <v>7.00%, projected increase</v>
      </c>
      <c r="J48" s="66"/>
      <c r="K48" s="1866">
        <f t="shared" si="18"/>
        <v>-1</v>
      </c>
      <c r="L48" s="108">
        <v>0</v>
      </c>
      <c r="M48" s="957" t="str">
        <f>TEXT('MYP Assumptions'!$M$65,"0.00%")&amp;", projected increase"</f>
        <v>7.00%, projected increase</v>
      </c>
      <c r="O48" s="83" t="str">
        <f t="shared" si="19"/>
        <v>0.00%</v>
      </c>
      <c r="P48" s="2">
        <f>ROUND((L48)*(LEFT(Q48,5)+1),0)</f>
        <v>0</v>
      </c>
      <c r="Q48" s="854" t="str">
        <f>TEXT('MYP Assumptions'!$M$65,"0.00%")&amp;", projected increase"</f>
        <v>7.00%, projected increase</v>
      </c>
      <c r="S48" s="83" t="str">
        <f t="shared" si="20"/>
        <v>0.00%</v>
      </c>
      <c r="T48" s="2">
        <f>ROUND((P48)*(LEFT(U48,5)+1),0)</f>
        <v>0</v>
      </c>
      <c r="U48" s="81" t="str">
        <f>TEXT('MYP Assumptions'!$M$65,"0.00%")&amp;", projected increase"</f>
        <v>7.00%, projected increase</v>
      </c>
      <c r="W48" s="83" t="str">
        <f t="shared" si="21"/>
        <v>0.00%</v>
      </c>
      <c r="X48" s="2">
        <f>ROUND((T48)*(LEFT(Y48,5)+1),0)</f>
        <v>0</v>
      </c>
      <c r="Y48" s="81" t="str">
        <f>TEXT('MYP Assumptions'!$M$65,"0.00%")&amp;", projected increase"</f>
        <v>7.00%, projected increase</v>
      </c>
      <c r="AA48" s="83" t="str">
        <f t="shared" si="22"/>
        <v>0.00%</v>
      </c>
      <c r="AB48" s="2">
        <f>ROUND((X48)*(LEFT(AC48,5)+1),0)</f>
        <v>0</v>
      </c>
      <c r="AC48" s="81" t="str">
        <f>TEXT('MYP Assumptions'!$M$65,"0.00%")&amp;", projected increase"</f>
        <v>7.00%, projected increase</v>
      </c>
    </row>
    <row r="49" spans="1:29" x14ac:dyDescent="0.25">
      <c r="A49" s="152"/>
      <c r="B49" s="939" t="s">
        <v>88</v>
      </c>
      <c r="C49" s="857" t="s">
        <v>81</v>
      </c>
      <c r="D49" s="108">
        <v>43.99</v>
      </c>
      <c r="E49" s="957" t="str">
        <f>TEXT('MYP Assumptions'!$D$59,"0.00%")&amp;", SUI rate"</f>
        <v>0.05%, SUI rate</v>
      </c>
      <c r="F49" s="108"/>
      <c r="G49" s="1866">
        <f t="shared" si="17"/>
        <v>0.34121391225278469</v>
      </c>
      <c r="H49" s="108">
        <v>59</v>
      </c>
      <c r="I49" s="957" t="str">
        <f>TEXT('MYP Assumptions'!E59,"0.00%")&amp;", no rate change"</f>
        <v>0.05%, no rate change</v>
      </c>
      <c r="J49" s="66"/>
      <c r="K49" s="1866">
        <f t="shared" si="18"/>
        <v>-1</v>
      </c>
      <c r="L49" s="108">
        <f>ROUND((L41+L30)*LEFT(M49,5),0)</f>
        <v>0</v>
      </c>
      <c r="M49" s="957" t="str">
        <f>TEXT('MYP Assumptions'!F59,"0.00%")&amp;", no rate change"</f>
        <v>0.05%, no rate change</v>
      </c>
      <c r="O49" s="83" t="str">
        <f t="shared" si="19"/>
        <v>0.00%</v>
      </c>
      <c r="P49" s="2">
        <f>ROUND((P41+P30)*LEFT(Q49,5),0)</f>
        <v>0</v>
      </c>
      <c r="Q49" s="854" t="str">
        <f>TEXT('MYP Assumptions'!G59,"0.00%")&amp;", no rate change"</f>
        <v>0.05%, no rate change</v>
      </c>
      <c r="S49" s="83" t="str">
        <f t="shared" si="20"/>
        <v>0.00%</v>
      </c>
      <c r="T49" s="2">
        <f>ROUND((T41+T30)*LEFT(U49,5),0)</f>
        <v>0</v>
      </c>
      <c r="U49" s="81" t="str">
        <f>TEXT('MYP Assumptions'!H59,"0.00%")&amp;", no rate change"</f>
        <v>0.05%, no rate change</v>
      </c>
      <c r="W49" s="83" t="str">
        <f t="shared" si="21"/>
        <v>0.00%</v>
      </c>
      <c r="X49" s="2">
        <f>ROUND((X41+X30)*LEFT(Y49,5),0)</f>
        <v>0</v>
      </c>
      <c r="Y49" s="81" t="str">
        <f>TEXT('MYP Assumptions'!I59,"0.00%")&amp;", no rate change"</f>
        <v>0.05%, no rate change</v>
      </c>
      <c r="AA49" s="83" t="str">
        <f t="shared" si="22"/>
        <v>0.00%</v>
      </c>
      <c r="AB49" s="2">
        <f>ROUND((AB41+AB30)*LEFT(AC49,5),0)</f>
        <v>0</v>
      </c>
      <c r="AC49" s="81" t="str">
        <f>TEXT('MYP Assumptions'!J59,"0.00%")&amp;", no rate change"</f>
        <v>0.05%, no rate change</v>
      </c>
    </row>
    <row r="50" spans="1:29" x14ac:dyDescent="0.25">
      <c r="A50" s="152"/>
      <c r="B50" s="939" t="s">
        <v>89</v>
      </c>
      <c r="C50" s="857" t="s">
        <v>82</v>
      </c>
      <c r="D50" s="108">
        <v>959.89</v>
      </c>
      <c r="E50" s="957" t="str">
        <f>TEXT('MYP Assumptions'!$D$60,"0.00%")&amp;", W/C rate"</f>
        <v>1.10%, W/C rate</v>
      </c>
      <c r="F50" s="108"/>
      <c r="G50" s="1866">
        <f t="shared" si="17"/>
        <v>9.4917125920678427E-2</v>
      </c>
      <c r="H50" s="108">
        <v>1051</v>
      </c>
      <c r="I50" s="957" t="str">
        <f>TEXT('MYP Assumptions'!E60,"0.00%")&amp;", no rate change"</f>
        <v>0.80%, no rate change</v>
      </c>
      <c r="J50" s="66"/>
      <c r="K50" s="1866">
        <f t="shared" si="18"/>
        <v>-1</v>
      </c>
      <c r="L50" s="108">
        <f>ROUND((L41+L30)*LEFT(M50,5),0)</f>
        <v>0</v>
      </c>
      <c r="M50" s="957" t="str">
        <f>TEXT('MYP Assumptions'!F60,"0.00%")&amp;", no rate change"</f>
        <v>0.80%, no rate change</v>
      </c>
      <c r="O50" s="83" t="str">
        <f t="shared" si="19"/>
        <v>0.00%</v>
      </c>
      <c r="P50" s="2">
        <f>ROUND((P41+P30)*LEFT(Q50,5),0)</f>
        <v>0</v>
      </c>
      <c r="Q50" s="854" t="str">
        <f>TEXT('MYP Assumptions'!G60,"0.00%")&amp;", no rate change"</f>
        <v>0.80%, no rate change</v>
      </c>
      <c r="S50" s="83" t="str">
        <f t="shared" si="20"/>
        <v>0.00%</v>
      </c>
      <c r="T50" s="2">
        <f>ROUND((T41+T30)*LEFT(U50,5),0)</f>
        <v>0</v>
      </c>
      <c r="U50" s="81" t="str">
        <f>TEXT('MYP Assumptions'!H60,"0.00%")&amp;", no rate change"</f>
        <v>0.80%, no rate change</v>
      </c>
      <c r="W50" s="83" t="str">
        <f t="shared" si="21"/>
        <v>0.00%</v>
      </c>
      <c r="X50" s="2">
        <f>ROUND((X41+X30)*LEFT(Y50,5),0)</f>
        <v>0</v>
      </c>
      <c r="Y50" s="81" t="str">
        <f>TEXT('MYP Assumptions'!I60,"0.00%")&amp;", no rate change"</f>
        <v>0.80%, no rate change</v>
      </c>
      <c r="AA50" s="83" t="str">
        <f t="shared" si="22"/>
        <v>0.00%</v>
      </c>
      <c r="AB50" s="2">
        <f>ROUND((AB41+AB30)*LEFT(AC50,5),0)</f>
        <v>0</v>
      </c>
      <c r="AC50" s="81" t="str">
        <f>TEXT('MYP Assumptions'!J60,"0.00%")&amp;", no rate change"</f>
        <v>0.80%, no rate change</v>
      </c>
    </row>
    <row r="51" spans="1:29" x14ac:dyDescent="0.25">
      <c r="A51" s="152"/>
      <c r="B51" s="939" t="s">
        <v>91</v>
      </c>
      <c r="C51" s="857" t="s">
        <v>93</v>
      </c>
      <c r="D51" s="108">
        <v>1000</v>
      </c>
      <c r="E51" s="955"/>
      <c r="F51" s="108"/>
      <c r="G51" s="1866">
        <f t="shared" ref="G51" si="23">IF(D51=0,"0.00%",(H51-D51)/D51)</f>
        <v>0</v>
      </c>
      <c r="H51" s="108">
        <v>1000</v>
      </c>
      <c r="I51" s="957" t="s">
        <v>166</v>
      </c>
      <c r="J51" s="66"/>
      <c r="K51" s="1866">
        <f t="shared" ref="K51" si="24">IF(H51=0,"0.00%",(L51-H51)/H51)</f>
        <v>-1</v>
      </c>
      <c r="L51" s="108">
        <v>0</v>
      </c>
      <c r="M51" s="957" t="s">
        <v>166</v>
      </c>
      <c r="O51" s="83" t="str">
        <f t="shared" ref="O51" si="25">IF(L51=0,"0.00%",(P51-L51)/L51)</f>
        <v>0.00%</v>
      </c>
      <c r="P51" s="2">
        <f>L51</f>
        <v>0</v>
      </c>
      <c r="Q51" s="854" t="s">
        <v>166</v>
      </c>
      <c r="S51" s="83" t="str">
        <f t="shared" ref="S51" si="26">IF(P51=0,"0.00%",(T51-P51)/P51)</f>
        <v>0.00%</v>
      </c>
      <c r="T51" s="2">
        <f>P51</f>
        <v>0</v>
      </c>
      <c r="U51" s="81" t="s">
        <v>166</v>
      </c>
      <c r="W51" s="83" t="str">
        <f t="shared" ref="W51" si="27">IF(T51=0,"0.00%",(X51-T51)/T51)</f>
        <v>0.00%</v>
      </c>
      <c r="X51" s="2">
        <f>T51</f>
        <v>0</v>
      </c>
      <c r="Y51" s="81" t="s">
        <v>166</v>
      </c>
      <c r="AA51" s="83" t="str">
        <f t="shared" ref="AA51" si="28">IF(X51=0,"0.00%",(AB51-X51)/X51)</f>
        <v>0.00%</v>
      </c>
      <c r="AB51" s="2">
        <f>X51</f>
        <v>0</v>
      </c>
      <c r="AC51" s="81" t="s">
        <v>166</v>
      </c>
    </row>
    <row r="52" spans="1:29" x14ac:dyDescent="0.25">
      <c r="A52" s="152"/>
      <c r="B52" s="939"/>
      <c r="D52" s="108"/>
      <c r="E52" s="955"/>
      <c r="F52" s="108"/>
      <c r="G52" s="1866"/>
      <c r="H52" s="108"/>
      <c r="I52" s="957"/>
      <c r="J52" s="66"/>
      <c r="K52" s="1866"/>
      <c r="L52" s="108"/>
      <c r="M52" s="957"/>
      <c r="O52" s="83"/>
      <c r="Q52" s="854"/>
      <c r="S52" s="83"/>
      <c r="T52" s="2"/>
      <c r="U52" s="81"/>
      <c r="W52" s="83"/>
      <c r="X52" s="2"/>
      <c r="Y52" s="81"/>
      <c r="AA52" s="83"/>
      <c r="AB52" s="2"/>
      <c r="AC52" s="81"/>
    </row>
    <row r="53" spans="1:29" x14ac:dyDescent="0.25">
      <c r="A53" s="153"/>
      <c r="B53" s="939"/>
      <c r="D53" s="121">
        <f>SUM(D44:D52)</f>
        <v>22503.06</v>
      </c>
      <c r="E53" s="955"/>
      <c r="F53" s="108"/>
      <c r="G53" s="1866">
        <f t="shared" si="17"/>
        <v>0.20663589751793748</v>
      </c>
      <c r="H53" s="121">
        <f>SUM(H44:H52)</f>
        <v>27153</v>
      </c>
      <c r="I53" s="1292">
        <f>+H53-D53</f>
        <v>4649.9399999999987</v>
      </c>
      <c r="J53" s="29"/>
      <c r="K53" s="1866">
        <f t="shared" si="18"/>
        <v>-1</v>
      </c>
      <c r="L53" s="121">
        <f>SUM(L44:L52)</f>
        <v>0</v>
      </c>
      <c r="M53" s="1292">
        <f>+L53-H53</f>
        <v>-27153</v>
      </c>
      <c r="O53" s="83" t="str">
        <f t="shared" si="19"/>
        <v>0.00%</v>
      </c>
      <c r="P53" s="8">
        <f>SUM(P44:P52)</f>
        <v>0</v>
      </c>
      <c r="Q53" s="1292">
        <f>+P53-L53</f>
        <v>0</v>
      </c>
      <c r="S53" s="83" t="str">
        <f t="shared" si="20"/>
        <v>0.00%</v>
      </c>
      <c r="T53" s="8">
        <f>SUM(T44:T52)</f>
        <v>0</v>
      </c>
      <c r="U53" s="73"/>
      <c r="W53" s="83" t="str">
        <f t="shared" si="21"/>
        <v>0.00%</v>
      </c>
      <c r="X53" s="8">
        <f>SUM(X44:X52)</f>
        <v>0</v>
      </c>
      <c r="Y53" s="73"/>
      <c r="AA53" s="83" t="str">
        <f t="shared" si="22"/>
        <v>0.00%</v>
      </c>
      <c r="AB53" s="8">
        <f>SUM(AB44:AB52)</f>
        <v>0</v>
      </c>
      <c r="AC53" s="73"/>
    </row>
    <row r="54" spans="1:29" x14ac:dyDescent="0.25">
      <c r="A54" s="154"/>
      <c r="B54" s="939"/>
      <c r="D54" s="108"/>
      <c r="E54" s="955"/>
      <c r="F54" s="108"/>
      <c r="G54" s="1869"/>
      <c r="H54" s="108"/>
      <c r="I54" s="959"/>
      <c r="J54" s="66"/>
      <c r="K54" s="1867"/>
      <c r="L54" s="108"/>
      <c r="M54" s="962"/>
      <c r="Q54" s="948"/>
      <c r="T54" s="2"/>
      <c r="U54" s="73"/>
      <c r="X54" s="2"/>
      <c r="Y54" s="73"/>
      <c r="AB54" s="2"/>
      <c r="AC54" s="73"/>
    </row>
    <row r="55" spans="1:29" x14ac:dyDescent="0.25">
      <c r="A55" s="153"/>
      <c r="B55" s="936" t="s">
        <v>26</v>
      </c>
      <c r="D55" s="121">
        <f>SUM(D53,D41,D30)</f>
        <v>110981.56</v>
      </c>
      <c r="E55" s="955"/>
      <c r="F55" s="108"/>
      <c r="G55" s="1866">
        <f>IF(D55=0,"0.00%",(H55-D55)/D55)</f>
        <v>0.26458845956030896</v>
      </c>
      <c r="H55" s="121">
        <f>SUM(H53,H41,H30)</f>
        <v>140346</v>
      </c>
      <c r="I55" s="1292">
        <f>+H55-D55</f>
        <v>29364.440000000002</v>
      </c>
      <c r="J55" s="29"/>
      <c r="K55" s="1866">
        <f>IF(H55=0,"0.00%",(L55-H55)/H55)</f>
        <v>-1</v>
      </c>
      <c r="L55" s="121">
        <f>SUM(L53,L41,L30)</f>
        <v>0</v>
      </c>
      <c r="M55" s="1292">
        <f>+L55-H55</f>
        <v>-140346</v>
      </c>
      <c r="O55" s="83" t="str">
        <f>IF(L55=0,"0.00%",(P55-L55)/L55)</f>
        <v>0.00%</v>
      </c>
      <c r="P55" s="8">
        <f>SUM(P53,P41,P30)</f>
        <v>0</v>
      </c>
      <c r="Q55" s="1292">
        <f>+P55-L55</f>
        <v>0</v>
      </c>
      <c r="S55" s="83" t="str">
        <f>IF(P55=0,"0.00%",(T55-P55)/P55)</f>
        <v>0.00%</v>
      </c>
      <c r="T55" s="8">
        <f>SUM(T53,T41,T30)</f>
        <v>0</v>
      </c>
      <c r="U55" s="73"/>
      <c r="W55" s="83" t="str">
        <f>IF(T55=0,"0.00%",(X55-T55)/T55)</f>
        <v>0.00%</v>
      </c>
      <c r="X55" s="8">
        <f>SUM(X53,X41,X30)</f>
        <v>0</v>
      </c>
      <c r="Y55" s="73"/>
      <c r="AA55" s="83" t="str">
        <f>IF(X55=0,"0.00%",(AB55-X55)/X55)</f>
        <v>0.00%</v>
      </c>
      <c r="AB55" s="8">
        <f>SUM(AB53,AB41,AB30)</f>
        <v>0</v>
      </c>
      <c r="AC55" s="73"/>
    </row>
    <row r="56" spans="1:29" x14ac:dyDescent="0.25">
      <c r="A56" s="155"/>
      <c r="D56" s="108"/>
      <c r="E56" s="955"/>
      <c r="F56" s="108"/>
      <c r="G56" s="1869"/>
      <c r="H56" s="108"/>
      <c r="I56" s="959"/>
      <c r="J56" s="66"/>
      <c r="K56" s="1867"/>
      <c r="L56" s="108"/>
      <c r="M56" s="962"/>
      <c r="Q56" s="948"/>
      <c r="T56" s="2"/>
      <c r="U56" s="73"/>
      <c r="X56" s="2"/>
      <c r="Y56" s="73"/>
      <c r="AB56" s="2"/>
      <c r="AC56" s="73"/>
    </row>
    <row r="57" spans="1:29" x14ac:dyDescent="0.25">
      <c r="A57" s="152"/>
      <c r="D57" s="108"/>
      <c r="E57" s="955"/>
      <c r="F57" s="108"/>
      <c r="G57" s="1869"/>
      <c r="H57" s="108"/>
      <c r="I57" s="959"/>
      <c r="J57" s="66"/>
      <c r="K57" s="1867"/>
      <c r="L57" s="108"/>
      <c r="M57" s="962"/>
      <c r="Q57" s="948"/>
      <c r="T57" s="2"/>
      <c r="U57" s="73"/>
      <c r="X57" s="2"/>
      <c r="Y57" s="73"/>
      <c r="AB57" s="2"/>
      <c r="AC57" s="73"/>
    </row>
    <row r="58" spans="1:29" x14ac:dyDescent="0.25">
      <c r="A58" s="155"/>
      <c r="B58" s="940" t="s">
        <v>25</v>
      </c>
      <c r="C58" s="873"/>
      <c r="D58" s="108"/>
      <c r="E58" s="955"/>
      <c r="F58" s="108"/>
      <c r="G58" s="1869"/>
      <c r="H58" s="108">
        <v>11907.93</v>
      </c>
      <c r="I58" s="959"/>
      <c r="J58" s="66"/>
      <c r="K58" s="1867"/>
      <c r="L58" s="108"/>
      <c r="M58" s="962"/>
      <c r="Q58" s="948"/>
      <c r="T58" s="2"/>
      <c r="U58" s="73"/>
      <c r="X58" s="2"/>
      <c r="Y58" s="73"/>
      <c r="AB58" s="2"/>
      <c r="AC58" s="73"/>
    </row>
    <row r="59" spans="1:29" hidden="1" x14ac:dyDescent="0.25">
      <c r="A59" s="152"/>
      <c r="B59" s="939"/>
      <c r="D59" s="108">
        <v>0</v>
      </c>
      <c r="E59" s="955"/>
      <c r="F59" s="108"/>
      <c r="G59" s="1866" t="str">
        <f t="shared" ref="G59:G66" si="29">IF(D59=0,"0.00%",(H59-D59)/D59)</f>
        <v>0.00%</v>
      </c>
      <c r="H59" s="108">
        <f t="shared" ref="H59:H65" si="30">ROUND(D59*(LEFT(I59,5)+1),0)</f>
        <v>0</v>
      </c>
      <c r="I59" s="957" t="str">
        <f>TEXT('MYP Assumptions'!E75,"0.00%")&amp;", CPI"</f>
        <v>3.42%, CPI</v>
      </c>
      <c r="J59" s="66"/>
      <c r="K59" s="1866" t="str">
        <f t="shared" ref="K59:K66" si="31">IF(H59=0,"0.00%",(L59-H59)/H59)</f>
        <v>0.00%</v>
      </c>
      <c r="L59" s="108">
        <f>ROUND(H59*(LEFT(M59,5)+1),0)</f>
        <v>0</v>
      </c>
      <c r="M59" s="957" t="str">
        <f>TEXT('MYP Assumptions'!F75,"0.00%")&amp;", CPI"</f>
        <v>3.35%, CPI</v>
      </c>
      <c r="O59" s="83" t="str">
        <f t="shared" ref="O59:O66" si="32">IF(L59=0,"0.00%",(P59-L59)/L59)</f>
        <v>0.00%</v>
      </c>
      <c r="P59" s="2">
        <f>ROUND(L59*(LEFT(Q59,5)+1),0)</f>
        <v>0</v>
      </c>
      <c r="Q59" s="854" t="str">
        <f>TEXT('MYP Assumptions'!G75,"0.00%")&amp;", CPI"</f>
        <v>3.02%, CPI</v>
      </c>
      <c r="S59" s="83" t="str">
        <f t="shared" ref="S59:S66" si="33">IF(P59=0,"0.00%",(T59-P59)/P59)</f>
        <v>0.00%</v>
      </c>
      <c r="T59" s="2">
        <f>ROUND(P59*(LEFT(U59,5)+1),0)</f>
        <v>0</v>
      </c>
      <c r="U59" s="81" t="str">
        <f>TEXT('MYP Assumptions'!H75,"0.00%")&amp;", CPI"</f>
        <v>2.73%, CPI</v>
      </c>
      <c r="W59" s="83" t="str">
        <f t="shared" ref="W59:W66" si="34">IF(T59=0,"0.00%",(X59-T59)/T59)</f>
        <v>0.00%</v>
      </c>
      <c r="X59" s="2">
        <f>ROUND(T59*(LEFT(Y59,5)+1),0)</f>
        <v>0</v>
      </c>
      <c r="Y59" s="81" t="str">
        <f>TEXT('MYP Assumptions'!I75,"0.00%")&amp;", CPI"</f>
        <v>2.73%, CPI</v>
      </c>
      <c r="AA59" s="83" t="str">
        <f t="shared" ref="AA59:AA66" si="35">IF(X59=0,"0.00%",(AB59-X59)/X59)</f>
        <v>0.00%</v>
      </c>
      <c r="AB59" s="2">
        <f>ROUND(X59*(LEFT(AC59,5)+1),0)</f>
        <v>0</v>
      </c>
      <c r="AC59" s="81" t="str">
        <f>TEXT('MYP Assumptions'!J75,"0.00%")&amp;", CPI"</f>
        <v>2.73%, CPI</v>
      </c>
    </row>
    <row r="60" spans="1:29" hidden="1" x14ac:dyDescent="0.25">
      <c r="A60" s="152"/>
      <c r="B60" s="939"/>
      <c r="D60" s="108">
        <v>0</v>
      </c>
      <c r="E60" s="955"/>
      <c r="F60" s="108"/>
      <c r="G60" s="1866" t="str">
        <f t="shared" si="29"/>
        <v>0.00%</v>
      </c>
      <c r="H60" s="108">
        <f t="shared" si="30"/>
        <v>0</v>
      </c>
      <c r="I60" s="957" t="str">
        <f>TEXT('MYP Assumptions'!E75,"0.00%")&amp;", CPI"</f>
        <v>3.42%, CPI</v>
      </c>
      <c r="J60" s="66"/>
      <c r="K60" s="1866" t="str">
        <f t="shared" si="31"/>
        <v>0.00%</v>
      </c>
      <c r="L60" s="108">
        <f t="shared" ref="L60:L65" si="36">ROUND(H60*(LEFT(M60,5)+1),0)</f>
        <v>0</v>
      </c>
      <c r="M60" s="957" t="str">
        <f>TEXT('MYP Assumptions'!F75,"0.00%")&amp;", CPI"</f>
        <v>3.35%, CPI</v>
      </c>
      <c r="O60" s="83" t="str">
        <f t="shared" si="32"/>
        <v>0.00%</v>
      </c>
      <c r="P60" s="2">
        <f t="shared" ref="P60:P65" si="37">ROUND(L60*(LEFT(Q60,5)+1),0)</f>
        <v>0</v>
      </c>
      <c r="Q60" s="854" t="str">
        <f>TEXT('MYP Assumptions'!G75,"0.00%")&amp;", CPI"</f>
        <v>3.02%, CPI</v>
      </c>
      <c r="S60" s="83" t="str">
        <f t="shared" si="33"/>
        <v>0.00%</v>
      </c>
      <c r="T60" s="2">
        <f t="shared" ref="T60:T65" si="38">ROUND(P60*(LEFT(U60,5)+1),0)</f>
        <v>0</v>
      </c>
      <c r="U60" s="81" t="str">
        <f>TEXT('MYP Assumptions'!H75,"0.00%")&amp;", CPI"</f>
        <v>2.73%, CPI</v>
      </c>
      <c r="W60" s="83" t="str">
        <f t="shared" si="34"/>
        <v>0.00%</v>
      </c>
      <c r="X60" s="2">
        <f t="shared" ref="X60:X65" si="39">ROUND(T60*(LEFT(Y60,5)+1),0)</f>
        <v>0</v>
      </c>
      <c r="Y60" s="81" t="str">
        <f>TEXT('MYP Assumptions'!I75,"0.00%")&amp;", CPI"</f>
        <v>2.73%, CPI</v>
      </c>
      <c r="AA60" s="83" t="str">
        <f t="shared" si="35"/>
        <v>0.00%</v>
      </c>
      <c r="AB60" s="2">
        <f t="shared" ref="AB60:AB65" si="40">ROUND(X60*(LEFT(AC60,5)+1),0)</f>
        <v>0</v>
      </c>
      <c r="AC60" s="81" t="str">
        <f>TEXT('MYP Assumptions'!J75,"0.00%")&amp;", CPI"</f>
        <v>2.73%, CPI</v>
      </c>
    </row>
    <row r="61" spans="1:29" hidden="1" x14ac:dyDescent="0.25">
      <c r="A61" s="152"/>
      <c r="B61" s="939"/>
      <c r="D61" s="108">
        <v>0</v>
      </c>
      <c r="E61" s="955"/>
      <c r="F61" s="108"/>
      <c r="G61" s="1866" t="str">
        <f t="shared" si="29"/>
        <v>0.00%</v>
      </c>
      <c r="H61" s="108">
        <f t="shared" si="30"/>
        <v>0</v>
      </c>
      <c r="I61" s="957" t="str">
        <f>TEXT('MYP Assumptions'!E75,"0.00%")&amp;", CPI"</f>
        <v>3.42%, CPI</v>
      </c>
      <c r="J61" s="66"/>
      <c r="K61" s="1866" t="str">
        <f t="shared" si="31"/>
        <v>0.00%</v>
      </c>
      <c r="L61" s="108">
        <f t="shared" si="36"/>
        <v>0</v>
      </c>
      <c r="M61" s="957" t="str">
        <f>TEXT('MYP Assumptions'!F75,"0.00%")&amp;", CPI"</f>
        <v>3.35%, CPI</v>
      </c>
      <c r="O61" s="83" t="str">
        <f t="shared" si="32"/>
        <v>0.00%</v>
      </c>
      <c r="P61" s="2">
        <f t="shared" si="37"/>
        <v>0</v>
      </c>
      <c r="Q61" s="854" t="str">
        <f>TEXT('MYP Assumptions'!G75,"0.00%")&amp;", CPI"</f>
        <v>3.02%, CPI</v>
      </c>
      <c r="S61" s="83" t="str">
        <f t="shared" si="33"/>
        <v>0.00%</v>
      </c>
      <c r="T61" s="2">
        <f t="shared" si="38"/>
        <v>0</v>
      </c>
      <c r="U61" s="81" t="str">
        <f>TEXT('MYP Assumptions'!H75,"0.00%")&amp;", CPI"</f>
        <v>2.73%, CPI</v>
      </c>
      <c r="W61" s="83" t="str">
        <f t="shared" si="34"/>
        <v>0.00%</v>
      </c>
      <c r="X61" s="2">
        <f t="shared" si="39"/>
        <v>0</v>
      </c>
      <c r="Y61" s="81" t="str">
        <f>TEXT('MYP Assumptions'!I75,"0.00%")&amp;", CPI"</f>
        <v>2.73%, CPI</v>
      </c>
      <c r="AA61" s="83" t="str">
        <f t="shared" si="35"/>
        <v>0.00%</v>
      </c>
      <c r="AB61" s="2">
        <f t="shared" si="40"/>
        <v>0</v>
      </c>
      <c r="AC61" s="81" t="str">
        <f>TEXT('MYP Assumptions'!J75,"0.00%")&amp;", CPI"</f>
        <v>2.73%, CPI</v>
      </c>
    </row>
    <row r="62" spans="1:29" hidden="1" x14ac:dyDescent="0.25">
      <c r="A62" s="152"/>
      <c r="B62" s="939"/>
      <c r="D62" s="108">
        <v>0</v>
      </c>
      <c r="E62" s="955"/>
      <c r="F62" s="108"/>
      <c r="G62" s="1866" t="str">
        <f t="shared" si="29"/>
        <v>0.00%</v>
      </c>
      <c r="H62" s="108">
        <f t="shared" si="30"/>
        <v>0</v>
      </c>
      <c r="I62" s="957" t="str">
        <f>TEXT('MYP Assumptions'!E75,"0.00%")&amp;", CPI"</f>
        <v>3.42%, CPI</v>
      </c>
      <c r="J62" s="66"/>
      <c r="K62" s="1866" t="str">
        <f t="shared" si="31"/>
        <v>0.00%</v>
      </c>
      <c r="L62" s="108">
        <f t="shared" si="36"/>
        <v>0</v>
      </c>
      <c r="M62" s="957" t="str">
        <f>TEXT('MYP Assumptions'!F75,"0.00%")&amp;", CPI"</f>
        <v>3.35%, CPI</v>
      </c>
      <c r="O62" s="83" t="str">
        <f t="shared" si="32"/>
        <v>0.00%</v>
      </c>
      <c r="P62" s="2">
        <f t="shared" si="37"/>
        <v>0</v>
      </c>
      <c r="Q62" s="854" t="str">
        <f>TEXT('MYP Assumptions'!G75,"0.00%")&amp;", CPI"</f>
        <v>3.02%, CPI</v>
      </c>
      <c r="S62" s="83" t="str">
        <f t="shared" si="33"/>
        <v>0.00%</v>
      </c>
      <c r="T62" s="2">
        <f t="shared" si="38"/>
        <v>0</v>
      </c>
      <c r="U62" s="81" t="str">
        <f>TEXT('MYP Assumptions'!H75,"0.00%")&amp;", CPI"</f>
        <v>2.73%, CPI</v>
      </c>
      <c r="W62" s="83" t="str">
        <f t="shared" si="34"/>
        <v>0.00%</v>
      </c>
      <c r="X62" s="2">
        <f t="shared" si="39"/>
        <v>0</v>
      </c>
      <c r="Y62" s="81" t="str">
        <f>TEXT('MYP Assumptions'!I75,"0.00%")&amp;", CPI"</f>
        <v>2.73%, CPI</v>
      </c>
      <c r="AA62" s="83" t="str">
        <f t="shared" si="35"/>
        <v>0.00%</v>
      </c>
      <c r="AB62" s="2">
        <f t="shared" si="40"/>
        <v>0</v>
      </c>
      <c r="AC62" s="81" t="str">
        <f>TEXT('MYP Assumptions'!J75,"0.00%")&amp;", CPI"</f>
        <v>2.73%, CPI</v>
      </c>
    </row>
    <row r="63" spans="1:29" hidden="1" x14ac:dyDescent="0.25">
      <c r="A63" s="152"/>
      <c r="B63" s="939"/>
      <c r="D63" s="108">
        <v>0</v>
      </c>
      <c r="E63" s="955"/>
      <c r="F63" s="108"/>
      <c r="G63" s="1866" t="str">
        <f t="shared" si="29"/>
        <v>0.00%</v>
      </c>
      <c r="H63" s="108">
        <f t="shared" si="30"/>
        <v>0</v>
      </c>
      <c r="I63" s="957" t="str">
        <f>TEXT('MYP Assumptions'!E75,"0.00%")&amp;", CPI"</f>
        <v>3.42%, CPI</v>
      </c>
      <c r="J63" s="66"/>
      <c r="K63" s="1866" t="str">
        <f t="shared" si="31"/>
        <v>0.00%</v>
      </c>
      <c r="L63" s="108">
        <f t="shared" si="36"/>
        <v>0</v>
      </c>
      <c r="M63" s="957" t="str">
        <f>TEXT('MYP Assumptions'!F75,"0.00%")&amp;", CPI"</f>
        <v>3.35%, CPI</v>
      </c>
      <c r="O63" s="83" t="str">
        <f t="shared" si="32"/>
        <v>0.00%</v>
      </c>
      <c r="P63" s="2">
        <f t="shared" si="37"/>
        <v>0</v>
      </c>
      <c r="Q63" s="854" t="str">
        <f>TEXT('MYP Assumptions'!G75,"0.00%")&amp;", CPI"</f>
        <v>3.02%, CPI</v>
      </c>
      <c r="S63" s="83" t="str">
        <f t="shared" si="33"/>
        <v>0.00%</v>
      </c>
      <c r="T63" s="2">
        <f t="shared" si="38"/>
        <v>0</v>
      </c>
      <c r="U63" s="81" t="str">
        <f>TEXT('MYP Assumptions'!H75,"0.00%")&amp;", CPI"</f>
        <v>2.73%, CPI</v>
      </c>
      <c r="W63" s="83" t="str">
        <f t="shared" si="34"/>
        <v>0.00%</v>
      </c>
      <c r="X63" s="2">
        <f t="shared" si="39"/>
        <v>0</v>
      </c>
      <c r="Y63" s="81" t="str">
        <f>TEXT('MYP Assumptions'!I75,"0.00%")&amp;", CPI"</f>
        <v>2.73%, CPI</v>
      </c>
      <c r="AA63" s="83" t="str">
        <f t="shared" si="35"/>
        <v>0.00%</v>
      </c>
      <c r="AB63" s="2">
        <f t="shared" si="40"/>
        <v>0</v>
      </c>
      <c r="AC63" s="81" t="str">
        <f>TEXT('MYP Assumptions'!J75,"0.00%")&amp;", CPI"</f>
        <v>2.73%, CPI</v>
      </c>
    </row>
    <row r="64" spans="1:29" hidden="1" x14ac:dyDescent="0.25">
      <c r="A64" s="152"/>
      <c r="B64" s="939"/>
      <c r="D64" s="108">
        <v>0</v>
      </c>
      <c r="E64" s="955"/>
      <c r="F64" s="108"/>
      <c r="G64" s="1866" t="str">
        <f t="shared" si="29"/>
        <v>0.00%</v>
      </c>
      <c r="H64" s="108">
        <f t="shared" si="30"/>
        <v>0</v>
      </c>
      <c r="I64" s="957" t="str">
        <f>TEXT('MYP Assumptions'!E75,"0.00%")&amp;", CPI"</f>
        <v>3.42%, CPI</v>
      </c>
      <c r="J64" s="66"/>
      <c r="K64" s="1866" t="str">
        <f t="shared" si="31"/>
        <v>0.00%</v>
      </c>
      <c r="L64" s="108">
        <f t="shared" si="36"/>
        <v>0</v>
      </c>
      <c r="M64" s="957" t="str">
        <f>TEXT('MYP Assumptions'!F75,"0.00%")&amp;", CPI"</f>
        <v>3.35%, CPI</v>
      </c>
      <c r="O64" s="83" t="str">
        <f t="shared" si="32"/>
        <v>0.00%</v>
      </c>
      <c r="P64" s="2">
        <f t="shared" si="37"/>
        <v>0</v>
      </c>
      <c r="Q64" s="854" t="str">
        <f>TEXT('MYP Assumptions'!G75,"0.00%")&amp;", CPI"</f>
        <v>3.02%, CPI</v>
      </c>
      <c r="S64" s="83" t="str">
        <f t="shared" si="33"/>
        <v>0.00%</v>
      </c>
      <c r="T64" s="2">
        <f t="shared" si="38"/>
        <v>0</v>
      </c>
      <c r="U64" s="81" t="str">
        <f>TEXT('MYP Assumptions'!H75,"0.00%")&amp;", CPI"</f>
        <v>2.73%, CPI</v>
      </c>
      <c r="W64" s="83" t="str">
        <f t="shared" si="34"/>
        <v>0.00%</v>
      </c>
      <c r="X64" s="2">
        <f t="shared" si="39"/>
        <v>0</v>
      </c>
      <c r="Y64" s="81" t="str">
        <f>TEXT('MYP Assumptions'!I75,"0.00%")&amp;", CPI"</f>
        <v>2.73%, CPI</v>
      </c>
      <c r="AA64" s="83" t="str">
        <f t="shared" si="35"/>
        <v>0.00%</v>
      </c>
      <c r="AB64" s="2">
        <f t="shared" si="40"/>
        <v>0</v>
      </c>
      <c r="AC64" s="81" t="str">
        <f>TEXT('MYP Assumptions'!J75,"0.00%")&amp;", CPI"</f>
        <v>2.73%, CPI</v>
      </c>
    </row>
    <row r="65" spans="1:29" hidden="1" x14ac:dyDescent="0.25">
      <c r="A65" s="152"/>
      <c r="B65" s="939"/>
      <c r="C65" s="941"/>
      <c r="D65" s="108">
        <v>0</v>
      </c>
      <c r="E65" s="955"/>
      <c r="F65" s="108"/>
      <c r="G65" s="1866" t="str">
        <f t="shared" si="29"/>
        <v>0.00%</v>
      </c>
      <c r="H65" s="108">
        <f t="shared" si="30"/>
        <v>0</v>
      </c>
      <c r="I65" s="957" t="str">
        <f>TEXT('MYP Assumptions'!E75,"0.00%")&amp;", CPI"</f>
        <v>3.42%, CPI</v>
      </c>
      <c r="J65" s="66"/>
      <c r="K65" s="1866" t="str">
        <f t="shared" si="31"/>
        <v>0.00%</v>
      </c>
      <c r="L65" s="108">
        <f t="shared" si="36"/>
        <v>0</v>
      </c>
      <c r="M65" s="957" t="str">
        <f>TEXT('MYP Assumptions'!F75,"0.00%")&amp;", CPI"</f>
        <v>3.35%, CPI</v>
      </c>
      <c r="O65" s="83" t="str">
        <f t="shared" si="32"/>
        <v>0.00%</v>
      </c>
      <c r="P65" s="2">
        <f t="shared" si="37"/>
        <v>0</v>
      </c>
      <c r="Q65" s="854" t="str">
        <f>TEXT('MYP Assumptions'!G75,"0.00%")&amp;", CPI"</f>
        <v>3.02%, CPI</v>
      </c>
      <c r="S65" s="83" t="str">
        <f t="shared" si="33"/>
        <v>0.00%</v>
      </c>
      <c r="T65" s="2">
        <f t="shared" si="38"/>
        <v>0</v>
      </c>
      <c r="U65" s="81" t="str">
        <f>TEXT('MYP Assumptions'!H75,"0.00%")&amp;", CPI"</f>
        <v>2.73%, CPI</v>
      </c>
      <c r="W65" s="83" t="str">
        <f t="shared" si="34"/>
        <v>0.00%</v>
      </c>
      <c r="X65" s="2">
        <f t="shared" si="39"/>
        <v>0</v>
      </c>
      <c r="Y65" s="81" t="str">
        <f>TEXT('MYP Assumptions'!I75,"0.00%")&amp;", CPI"</f>
        <v>2.73%, CPI</v>
      </c>
      <c r="AA65" s="83" t="str">
        <f t="shared" si="35"/>
        <v>0.00%</v>
      </c>
      <c r="AB65" s="2">
        <f t="shared" si="40"/>
        <v>0</v>
      </c>
      <c r="AC65" s="81" t="str">
        <f>TEXT('MYP Assumptions'!J75,"0.00%")&amp;", CPI"</f>
        <v>2.73%, CPI</v>
      </c>
    </row>
    <row r="66" spans="1:29" x14ac:dyDescent="0.25">
      <c r="A66" s="153"/>
      <c r="B66" s="857"/>
      <c r="D66" s="121">
        <f>SUM(D59:D65)</f>
        <v>0</v>
      </c>
      <c r="E66" s="955"/>
      <c r="F66" s="108"/>
      <c r="G66" s="1866" t="str">
        <f t="shared" si="29"/>
        <v>0.00%</v>
      </c>
      <c r="H66" s="121">
        <f>SUM(H58:H65)</f>
        <v>11907.93</v>
      </c>
      <c r="I66" s="960"/>
      <c r="J66" s="29"/>
      <c r="K66" s="1866">
        <f t="shared" si="31"/>
        <v>-1</v>
      </c>
      <c r="L66" s="121">
        <f>SUM(L59:L65)</f>
        <v>0</v>
      </c>
      <c r="M66" s="962"/>
      <c r="O66" s="83" t="str">
        <f t="shared" si="32"/>
        <v>0.00%</v>
      </c>
      <c r="P66" s="8">
        <f>SUM(P59:P65)</f>
        <v>0</v>
      </c>
      <c r="Q66" s="948"/>
      <c r="S66" s="83" t="str">
        <f t="shared" si="33"/>
        <v>0.00%</v>
      </c>
      <c r="T66" s="8">
        <f>SUM(T59:T65)</f>
        <v>0</v>
      </c>
      <c r="U66" s="73"/>
      <c r="W66" s="83" t="str">
        <f t="shared" si="34"/>
        <v>0.00%</v>
      </c>
      <c r="X66" s="8">
        <f>SUM(X59:X65)</f>
        <v>0</v>
      </c>
      <c r="Y66" s="73"/>
      <c r="AA66" s="83" t="str">
        <f t="shared" si="35"/>
        <v>0.00%</v>
      </c>
      <c r="AB66" s="8">
        <f>SUM(AB59:AB65)</f>
        <v>0</v>
      </c>
      <c r="AC66" s="73"/>
    </row>
    <row r="67" spans="1:29" ht="15.75" x14ac:dyDescent="0.25">
      <c r="A67" s="152"/>
      <c r="D67" s="108"/>
      <c r="E67" s="955"/>
      <c r="F67" s="108"/>
      <c r="G67" s="1869"/>
      <c r="H67" s="108"/>
      <c r="I67" s="1016"/>
      <c r="J67" s="66"/>
      <c r="K67" s="1867"/>
      <c r="L67" s="108"/>
      <c r="M67" s="962"/>
      <c r="Q67" s="948"/>
      <c r="T67" s="2"/>
      <c r="U67" s="73"/>
      <c r="X67" s="2"/>
      <c r="Y67" s="73"/>
      <c r="AB67" s="2"/>
      <c r="AC67" s="73"/>
    </row>
    <row r="68" spans="1:29" s="4" customFormat="1" ht="15.75" x14ac:dyDescent="0.25">
      <c r="A68" s="150"/>
      <c r="B68" s="936" t="s">
        <v>16</v>
      </c>
      <c r="C68" s="873"/>
      <c r="D68" s="57"/>
      <c r="E68" s="956"/>
      <c r="F68" s="57"/>
      <c r="G68" s="1870"/>
      <c r="H68" s="449"/>
      <c r="I68" s="1016"/>
      <c r="J68" s="58"/>
      <c r="K68" s="1868"/>
      <c r="L68" s="57"/>
      <c r="M68" s="964"/>
      <c r="O68" s="380"/>
      <c r="P68" s="6"/>
      <c r="Q68" s="950"/>
      <c r="R68" s="111"/>
      <c r="U68" s="71"/>
      <c r="Y68" s="71"/>
      <c r="AC68" s="71"/>
    </row>
    <row r="69" spans="1:29" ht="15.75" x14ac:dyDescent="0.25">
      <c r="A69" s="152"/>
      <c r="B69" s="939">
        <v>5213</v>
      </c>
      <c r="C69" s="857" t="s">
        <v>258</v>
      </c>
      <c r="D69" s="108">
        <f>8415.34+100</f>
        <v>8515.34</v>
      </c>
      <c r="E69" s="955" t="s">
        <v>703</v>
      </c>
      <c r="F69" s="108"/>
      <c r="G69" s="1866">
        <f t="shared" ref="G69:G74" si="41">IF(D69=0,"0.00%",(H69-D69)/D69)</f>
        <v>0.87896196746107613</v>
      </c>
      <c r="H69" s="1058">
        <v>16000</v>
      </c>
      <c r="I69" s="1016"/>
      <c r="J69" s="66"/>
      <c r="K69" s="1866">
        <f t="shared" ref="K69:K82" si="42">IF(H69=0,"0.00%",(L69-H69)/H69)</f>
        <v>-1</v>
      </c>
      <c r="L69" s="383">
        <v>0</v>
      </c>
      <c r="M69" s="958" t="s">
        <v>661</v>
      </c>
      <c r="O69" s="83" t="str">
        <f t="shared" ref="O69:O82" si="43">IF(L69=0,"0.00%",(P69-L69)/L69)</f>
        <v>0.00%</v>
      </c>
      <c r="P69" s="2">
        <v>0</v>
      </c>
      <c r="Q69" s="854" t="str">
        <f>TEXT('MYP Assumptions'!G75,"0.00%")&amp;", CPI"</f>
        <v>3.02%, CPI</v>
      </c>
      <c r="S69" s="83" t="str">
        <f t="shared" ref="S69:S82" si="44">IF(P69=0,"0.00%",(T69-P69)/P69)</f>
        <v>0.00%</v>
      </c>
      <c r="T69" s="2">
        <f>ROUND(P69*(LEFT(U69,5)+1),0)</f>
        <v>0</v>
      </c>
      <c r="U69" s="81" t="str">
        <f>TEXT('MYP Assumptions'!H75,"0.00%")&amp;", CPI"</f>
        <v>2.73%, CPI</v>
      </c>
      <c r="W69" s="83" t="str">
        <f t="shared" ref="W69:W82" si="45">IF(T69=0,"0.00%",(X69-T69)/T69)</f>
        <v>0.00%</v>
      </c>
      <c r="X69" s="2">
        <f>ROUND(T69*(LEFT(Y69,5)+1),0)</f>
        <v>0</v>
      </c>
      <c r="Y69" s="81" t="str">
        <f>TEXT('MYP Assumptions'!I75,"0.00%")&amp;", CPI"</f>
        <v>2.73%, CPI</v>
      </c>
      <c r="AA69" s="83" t="str">
        <f t="shared" ref="AA69:AA82" si="46">IF(X69=0,"0.00%",(AB69-X69)/X69)</f>
        <v>0.00%</v>
      </c>
      <c r="AB69" s="2">
        <f>ROUND(X69*(LEFT(AC69,5)+1),0)</f>
        <v>0</v>
      </c>
      <c r="AC69" s="81" t="str">
        <f>TEXT('MYP Assumptions'!J75,"0.00%")&amp;", CPI"</f>
        <v>2.73%, CPI</v>
      </c>
    </row>
    <row r="70" spans="1:29" ht="15.75" x14ac:dyDescent="0.25">
      <c r="A70" s="152"/>
      <c r="B70" s="939">
        <v>5807</v>
      </c>
      <c r="C70" s="857" t="s">
        <v>8</v>
      </c>
      <c r="D70" s="108">
        <v>18000</v>
      </c>
      <c r="E70" s="955" t="s">
        <v>701</v>
      </c>
      <c r="F70" s="108"/>
      <c r="G70" s="1866">
        <f t="shared" si="41"/>
        <v>1.7055555555555555</v>
      </c>
      <c r="H70" s="1058">
        <v>48700</v>
      </c>
      <c r="I70" s="1016"/>
      <c r="J70" s="66"/>
      <c r="K70" s="1866">
        <f t="shared" si="42"/>
        <v>-1</v>
      </c>
      <c r="L70" s="383">
        <v>0</v>
      </c>
      <c r="M70" s="958" t="s">
        <v>661</v>
      </c>
      <c r="O70" s="83" t="str">
        <f t="shared" si="43"/>
        <v>0.00%</v>
      </c>
      <c r="P70" s="2">
        <f t="shared" ref="P70:P81" si="47">ROUND(L70*(LEFT(Q70,5)+1),0)</f>
        <v>0</v>
      </c>
      <c r="Q70" s="854" t="str">
        <f>TEXT('MYP Assumptions'!G75,"0.00%")&amp;", CPI"</f>
        <v>3.02%, CPI</v>
      </c>
      <c r="S70" s="83" t="str">
        <f t="shared" si="44"/>
        <v>0.00%</v>
      </c>
      <c r="T70" s="2">
        <f t="shared" ref="T70:T81" si="48">ROUND(P70*(LEFT(U70,5)+1),0)</f>
        <v>0</v>
      </c>
      <c r="U70" s="81" t="str">
        <f>TEXT('MYP Assumptions'!H75,"0.00%")&amp;", CPI"</f>
        <v>2.73%, CPI</v>
      </c>
      <c r="W70" s="83" t="str">
        <f t="shared" si="45"/>
        <v>0.00%</v>
      </c>
      <c r="X70" s="2">
        <f t="shared" ref="X70:X81" si="49">ROUND(T70*(LEFT(Y70,5)+1),0)</f>
        <v>0</v>
      </c>
      <c r="Y70" s="81" t="str">
        <f>TEXT('MYP Assumptions'!I75,"0.00%")&amp;", CPI"</f>
        <v>2.73%, CPI</v>
      </c>
      <c r="AA70" s="83" t="str">
        <f t="shared" si="46"/>
        <v>0.00%</v>
      </c>
      <c r="AB70" s="2">
        <f t="shared" ref="AB70:AB81" si="50">ROUND(X70*(LEFT(AC70,5)+1),0)</f>
        <v>0</v>
      </c>
      <c r="AC70" s="81" t="str">
        <f>TEXT('MYP Assumptions'!J75,"0.00%")&amp;", CPI"</f>
        <v>2.73%, CPI</v>
      </c>
    </row>
    <row r="71" spans="1:29" x14ac:dyDescent="0.25">
      <c r="A71" s="152"/>
      <c r="B71" s="939">
        <v>5809</v>
      </c>
      <c r="C71" s="857" t="s">
        <v>123</v>
      </c>
      <c r="D71" s="108">
        <f>51*3000</f>
        <v>153000</v>
      </c>
      <c r="E71" s="955" t="s">
        <v>700</v>
      </c>
      <c r="F71" s="108"/>
      <c r="G71" s="1866">
        <f t="shared" si="41"/>
        <v>-0.15686274509803921</v>
      </c>
      <c r="H71" s="389">
        <v>129000</v>
      </c>
      <c r="J71" s="66"/>
      <c r="K71" s="1866">
        <f t="shared" si="42"/>
        <v>-1</v>
      </c>
      <c r="L71" s="383">
        <v>0</v>
      </c>
      <c r="M71" s="958" t="s">
        <v>661</v>
      </c>
      <c r="O71" s="83" t="str">
        <f t="shared" si="43"/>
        <v>0.00%</v>
      </c>
      <c r="P71" s="2">
        <f t="shared" si="47"/>
        <v>0</v>
      </c>
      <c r="Q71" s="854" t="str">
        <f>TEXT('MYP Assumptions'!G75,"0.00%")&amp;", CPI"</f>
        <v>3.02%, CPI</v>
      </c>
      <c r="S71" s="83" t="str">
        <f t="shared" si="44"/>
        <v>0.00%</v>
      </c>
      <c r="T71" s="2">
        <f t="shared" si="48"/>
        <v>0</v>
      </c>
      <c r="U71" s="81" t="str">
        <f>TEXT('MYP Assumptions'!H75,"0.00%")&amp;", CPI"</f>
        <v>2.73%, CPI</v>
      </c>
      <c r="W71" s="83" t="str">
        <f t="shared" si="45"/>
        <v>0.00%</v>
      </c>
      <c r="X71" s="2">
        <f t="shared" si="49"/>
        <v>0</v>
      </c>
      <c r="Y71" s="81" t="str">
        <f>TEXT('MYP Assumptions'!I75,"0.00%")&amp;", CPI"</f>
        <v>2.73%, CPI</v>
      </c>
      <c r="AA71" s="83" t="str">
        <f t="shared" si="46"/>
        <v>0.00%</v>
      </c>
      <c r="AB71" s="2">
        <f t="shared" si="50"/>
        <v>0</v>
      </c>
      <c r="AC71" s="81" t="str">
        <f>TEXT('MYP Assumptions'!J75,"0.00%")&amp;", CPI"</f>
        <v>2.73%, CPI</v>
      </c>
    </row>
    <row r="72" spans="1:29" hidden="1" x14ac:dyDescent="0.25">
      <c r="A72" s="152"/>
      <c r="B72" s="939"/>
      <c r="D72" s="108">
        <v>0</v>
      </c>
      <c r="E72" s="955"/>
      <c r="F72" s="108"/>
      <c r="G72" s="1866" t="str">
        <f t="shared" si="41"/>
        <v>0.00%</v>
      </c>
      <c r="H72" s="108">
        <f t="shared" ref="H72:H76" si="51">ROUND(D72*(LEFT(I72,5)+1),0)</f>
        <v>0</v>
      </c>
      <c r="I72" s="957" t="str">
        <f>TEXT('MYP Assumptions'!E75,"0.00%")&amp;", CPI"</f>
        <v>3.42%, CPI</v>
      </c>
      <c r="J72" s="66"/>
      <c r="K72" s="1866" t="str">
        <f t="shared" si="42"/>
        <v>0.00%</v>
      </c>
      <c r="L72" s="108">
        <f t="shared" ref="L72:L81" si="52">ROUND(H72*(LEFT(M72,5)+1),0)</f>
        <v>0</v>
      </c>
      <c r="M72" s="957" t="str">
        <f>TEXT('MYP Assumptions'!F75,"0.00%")&amp;", CPI"</f>
        <v>3.35%, CPI</v>
      </c>
      <c r="O72" s="83" t="str">
        <f t="shared" si="43"/>
        <v>0.00%</v>
      </c>
      <c r="P72" s="2">
        <f t="shared" si="47"/>
        <v>0</v>
      </c>
      <c r="Q72" s="854" t="str">
        <f>TEXT('MYP Assumptions'!G75,"0.00%")&amp;", CPI"</f>
        <v>3.02%, CPI</v>
      </c>
      <c r="S72" s="83" t="str">
        <f t="shared" si="44"/>
        <v>0.00%</v>
      </c>
      <c r="T72" s="2">
        <f t="shared" si="48"/>
        <v>0</v>
      </c>
      <c r="U72" s="81" t="str">
        <f>TEXT('MYP Assumptions'!H75,"0.00%")&amp;", CPI"</f>
        <v>2.73%, CPI</v>
      </c>
      <c r="W72" s="83" t="str">
        <f t="shared" si="45"/>
        <v>0.00%</v>
      </c>
      <c r="X72" s="2">
        <f t="shared" si="49"/>
        <v>0</v>
      </c>
      <c r="Y72" s="81" t="str">
        <f>TEXT('MYP Assumptions'!I75,"0.00%")&amp;", CPI"</f>
        <v>2.73%, CPI</v>
      </c>
      <c r="AA72" s="83" t="str">
        <f t="shared" si="46"/>
        <v>0.00%</v>
      </c>
      <c r="AB72" s="2">
        <f t="shared" si="50"/>
        <v>0</v>
      </c>
      <c r="AC72" s="81" t="str">
        <f>TEXT('MYP Assumptions'!J75,"0.00%")&amp;", CPI"</f>
        <v>2.73%, CPI</v>
      </c>
    </row>
    <row r="73" spans="1:29" hidden="1" x14ac:dyDescent="0.25">
      <c r="A73" s="152"/>
      <c r="B73" s="939"/>
      <c r="D73" s="108">
        <v>0</v>
      </c>
      <c r="E73" s="955"/>
      <c r="F73" s="108"/>
      <c r="G73" s="1866" t="str">
        <f t="shared" si="41"/>
        <v>0.00%</v>
      </c>
      <c r="H73" s="108">
        <f t="shared" si="51"/>
        <v>0</v>
      </c>
      <c r="I73" s="957" t="str">
        <f>TEXT('MYP Assumptions'!E75,"0.00%")&amp;", CPI"</f>
        <v>3.42%, CPI</v>
      </c>
      <c r="J73" s="66"/>
      <c r="K73" s="1866" t="str">
        <f t="shared" si="42"/>
        <v>0.00%</v>
      </c>
      <c r="L73" s="108">
        <f t="shared" si="52"/>
        <v>0</v>
      </c>
      <c r="M73" s="957" t="str">
        <f>TEXT('MYP Assumptions'!F75,"0.00%")&amp;", CPI"</f>
        <v>3.35%, CPI</v>
      </c>
      <c r="O73" s="83" t="str">
        <f t="shared" si="43"/>
        <v>0.00%</v>
      </c>
      <c r="P73" s="2">
        <f t="shared" si="47"/>
        <v>0</v>
      </c>
      <c r="Q73" s="854" t="str">
        <f>TEXT('MYP Assumptions'!G75,"0.00%")&amp;", CPI"</f>
        <v>3.02%, CPI</v>
      </c>
      <c r="S73" s="83" t="str">
        <f t="shared" si="44"/>
        <v>0.00%</v>
      </c>
      <c r="T73" s="2">
        <f t="shared" si="48"/>
        <v>0</v>
      </c>
      <c r="U73" s="81" t="str">
        <f>TEXT('MYP Assumptions'!H75,"0.00%")&amp;", CPI"</f>
        <v>2.73%, CPI</v>
      </c>
      <c r="W73" s="83" t="str">
        <f t="shared" si="45"/>
        <v>0.00%</v>
      </c>
      <c r="X73" s="2">
        <f t="shared" si="49"/>
        <v>0</v>
      </c>
      <c r="Y73" s="81" t="str">
        <f>TEXT('MYP Assumptions'!I75,"0.00%")&amp;", CPI"</f>
        <v>2.73%, CPI</v>
      </c>
      <c r="AA73" s="83" t="str">
        <f t="shared" si="46"/>
        <v>0.00%</v>
      </c>
      <c r="AB73" s="2">
        <f t="shared" si="50"/>
        <v>0</v>
      </c>
      <c r="AC73" s="81" t="str">
        <f>TEXT('MYP Assumptions'!J75,"0.00%")&amp;", CPI"</f>
        <v>2.73%, CPI</v>
      </c>
    </row>
    <row r="74" spans="1:29" hidden="1" x14ac:dyDescent="0.25">
      <c r="A74" s="152"/>
      <c r="B74" s="939"/>
      <c r="D74" s="108">
        <v>0</v>
      </c>
      <c r="E74" s="955"/>
      <c r="F74" s="108"/>
      <c r="G74" s="1866" t="str">
        <f t="shared" si="41"/>
        <v>0.00%</v>
      </c>
      <c r="H74" s="108">
        <f t="shared" si="51"/>
        <v>0</v>
      </c>
      <c r="I74" s="957" t="str">
        <f>TEXT('MYP Assumptions'!E75,"0.00%")&amp;", CPI"</f>
        <v>3.42%, CPI</v>
      </c>
      <c r="J74" s="66"/>
      <c r="K74" s="1866" t="str">
        <f t="shared" si="42"/>
        <v>0.00%</v>
      </c>
      <c r="L74" s="108">
        <f t="shared" si="52"/>
        <v>0</v>
      </c>
      <c r="M74" s="957" t="str">
        <f>TEXT('MYP Assumptions'!F75,"0.00%")&amp;", CPI"</f>
        <v>3.35%, CPI</v>
      </c>
      <c r="O74" s="83" t="str">
        <f t="shared" si="43"/>
        <v>0.00%</v>
      </c>
      <c r="P74" s="2">
        <f t="shared" si="47"/>
        <v>0</v>
      </c>
      <c r="Q74" s="854" t="str">
        <f>TEXT('MYP Assumptions'!G75,"0.00%")&amp;", CPI"</f>
        <v>3.02%, CPI</v>
      </c>
      <c r="S74" s="83" t="str">
        <f t="shared" si="44"/>
        <v>0.00%</v>
      </c>
      <c r="T74" s="2">
        <f t="shared" si="48"/>
        <v>0</v>
      </c>
      <c r="U74" s="81" t="str">
        <f>TEXT('MYP Assumptions'!H75,"0.00%")&amp;", CPI"</f>
        <v>2.73%, CPI</v>
      </c>
      <c r="W74" s="83" t="str">
        <f t="shared" si="45"/>
        <v>0.00%</v>
      </c>
      <c r="X74" s="2">
        <f t="shared" si="49"/>
        <v>0</v>
      </c>
      <c r="Y74" s="81" t="str">
        <f>TEXT('MYP Assumptions'!I75,"0.00%")&amp;", CPI"</f>
        <v>2.73%, CPI</v>
      </c>
      <c r="AA74" s="83" t="str">
        <f t="shared" si="46"/>
        <v>0.00%</v>
      </c>
      <c r="AB74" s="2">
        <f t="shared" si="50"/>
        <v>0</v>
      </c>
      <c r="AC74" s="81" t="str">
        <f>TEXT('MYP Assumptions'!J75,"0.00%")&amp;", CPI"</f>
        <v>2.73%, CPI</v>
      </c>
    </row>
    <row r="75" spans="1:29" hidden="1" x14ac:dyDescent="0.25">
      <c r="A75" s="152"/>
      <c r="B75" s="939"/>
      <c r="D75" s="108">
        <v>0</v>
      </c>
      <c r="E75" s="955"/>
      <c r="F75" s="108"/>
      <c r="G75" s="1866" t="str">
        <f>IF(D75=0,"0.00%",(H75-D75)/D75)</f>
        <v>0.00%</v>
      </c>
      <c r="H75" s="108">
        <f t="shared" si="51"/>
        <v>0</v>
      </c>
      <c r="I75" s="957" t="str">
        <f>TEXT('MYP Assumptions'!E75,"0.00%")&amp;", CPI"</f>
        <v>3.42%, CPI</v>
      </c>
      <c r="J75" s="66"/>
      <c r="K75" s="1866" t="str">
        <f t="shared" si="42"/>
        <v>0.00%</v>
      </c>
      <c r="L75" s="108">
        <f t="shared" si="52"/>
        <v>0</v>
      </c>
      <c r="M75" s="957" t="str">
        <f>TEXT('MYP Assumptions'!F75,"0.00%")&amp;", CPI"</f>
        <v>3.35%, CPI</v>
      </c>
      <c r="O75" s="83" t="str">
        <f t="shared" si="43"/>
        <v>0.00%</v>
      </c>
      <c r="P75" s="2">
        <f t="shared" si="47"/>
        <v>0</v>
      </c>
      <c r="Q75" s="854" t="str">
        <f>TEXT('MYP Assumptions'!G75,"0.00%")&amp;", CPI"</f>
        <v>3.02%, CPI</v>
      </c>
      <c r="S75" s="83" t="str">
        <f t="shared" si="44"/>
        <v>0.00%</v>
      </c>
      <c r="T75" s="2">
        <f t="shared" si="48"/>
        <v>0</v>
      </c>
      <c r="U75" s="81" t="str">
        <f>TEXT('MYP Assumptions'!H75,"0.00%")&amp;", CPI"</f>
        <v>2.73%, CPI</v>
      </c>
      <c r="W75" s="83" t="str">
        <f t="shared" si="45"/>
        <v>0.00%</v>
      </c>
      <c r="X75" s="2">
        <f t="shared" si="49"/>
        <v>0</v>
      </c>
      <c r="Y75" s="81" t="str">
        <f>TEXT('MYP Assumptions'!I75,"0.00%")&amp;", CPI"</f>
        <v>2.73%, CPI</v>
      </c>
      <c r="AA75" s="83" t="str">
        <f t="shared" si="46"/>
        <v>0.00%</v>
      </c>
      <c r="AB75" s="2">
        <f t="shared" si="50"/>
        <v>0</v>
      </c>
      <c r="AC75" s="81" t="str">
        <f>TEXT('MYP Assumptions'!J75,"0.00%")&amp;", CPI"</f>
        <v>2.73%, CPI</v>
      </c>
    </row>
    <row r="76" spans="1:29" hidden="1" x14ac:dyDescent="0.25">
      <c r="A76" s="152"/>
      <c r="B76" s="939"/>
      <c r="D76" s="108">
        <v>0</v>
      </c>
      <c r="E76" s="955"/>
      <c r="F76" s="108"/>
      <c r="G76" s="1866" t="str">
        <f t="shared" ref="G76:G82" si="53">IF(D76=0,"0.00%",(H76-D76)/D76)</f>
        <v>0.00%</v>
      </c>
      <c r="H76" s="108">
        <f t="shared" si="51"/>
        <v>0</v>
      </c>
      <c r="I76" s="957" t="str">
        <f>TEXT('MYP Assumptions'!E75,"0.00%")&amp;", CPI"</f>
        <v>3.42%, CPI</v>
      </c>
      <c r="J76" s="66"/>
      <c r="K76" s="1866" t="str">
        <f t="shared" si="42"/>
        <v>0.00%</v>
      </c>
      <c r="L76" s="108">
        <f t="shared" si="52"/>
        <v>0</v>
      </c>
      <c r="M76" s="957" t="str">
        <f>TEXT('MYP Assumptions'!F75,"0.00%")&amp;", CPI"</f>
        <v>3.35%, CPI</v>
      </c>
      <c r="O76" s="83" t="str">
        <f t="shared" si="43"/>
        <v>0.00%</v>
      </c>
      <c r="P76" s="2">
        <f t="shared" si="47"/>
        <v>0</v>
      </c>
      <c r="Q76" s="854" t="str">
        <f>TEXT('MYP Assumptions'!G75,"0.00%")&amp;", CPI"</f>
        <v>3.02%, CPI</v>
      </c>
      <c r="S76" s="83" t="str">
        <f t="shared" si="44"/>
        <v>0.00%</v>
      </c>
      <c r="T76" s="2">
        <f t="shared" si="48"/>
        <v>0</v>
      </c>
      <c r="U76" s="81" t="str">
        <f>TEXT('MYP Assumptions'!H75,"0.00%")&amp;", CPI"</f>
        <v>2.73%, CPI</v>
      </c>
      <c r="W76" s="83" t="str">
        <f t="shared" si="45"/>
        <v>0.00%</v>
      </c>
      <c r="X76" s="2">
        <f t="shared" si="49"/>
        <v>0</v>
      </c>
      <c r="Y76" s="81" t="str">
        <f>TEXT('MYP Assumptions'!I75,"0.00%")&amp;", CPI"</f>
        <v>2.73%, CPI</v>
      </c>
      <c r="AA76" s="83" t="str">
        <f t="shared" si="46"/>
        <v>0.00%</v>
      </c>
      <c r="AB76" s="2">
        <f t="shared" si="50"/>
        <v>0</v>
      </c>
      <c r="AC76" s="81" t="str">
        <f>TEXT('MYP Assumptions'!J75,"0.00%")&amp;", CPI"</f>
        <v>2.73%, CPI</v>
      </c>
    </row>
    <row r="77" spans="1:29" hidden="1" x14ac:dyDescent="0.25">
      <c r="A77" s="152"/>
      <c r="B77" s="939"/>
      <c r="D77" s="108">
        <v>0</v>
      </c>
      <c r="E77" s="955"/>
      <c r="F77" s="108"/>
      <c r="G77" s="1866" t="str">
        <f t="shared" si="53"/>
        <v>0.00%</v>
      </c>
      <c r="H77" s="108">
        <f>ROUND(D77*(LEFT(I77,5)+1),0)</f>
        <v>0</v>
      </c>
      <c r="I77" s="957" t="str">
        <f>TEXT('MYP Assumptions'!E75,"0.00%")&amp;", CPI"</f>
        <v>3.42%, CPI</v>
      </c>
      <c r="J77" s="66"/>
      <c r="K77" s="1866" t="str">
        <f t="shared" si="42"/>
        <v>0.00%</v>
      </c>
      <c r="L77" s="108">
        <f t="shared" si="52"/>
        <v>0</v>
      </c>
      <c r="M77" s="957" t="str">
        <f>TEXT('MYP Assumptions'!F75,"0.00%")&amp;", CPI"</f>
        <v>3.35%, CPI</v>
      </c>
      <c r="O77" s="83" t="str">
        <f t="shared" si="43"/>
        <v>0.00%</v>
      </c>
      <c r="P77" s="2">
        <f t="shared" si="47"/>
        <v>0</v>
      </c>
      <c r="Q77" s="854" t="str">
        <f>TEXT('MYP Assumptions'!G75,"0.00%")&amp;", CPI"</f>
        <v>3.02%, CPI</v>
      </c>
      <c r="S77" s="83" t="str">
        <f t="shared" si="44"/>
        <v>0.00%</v>
      </c>
      <c r="T77" s="2">
        <f t="shared" si="48"/>
        <v>0</v>
      </c>
      <c r="U77" s="81" t="str">
        <f>TEXT('MYP Assumptions'!H75,"0.00%")&amp;", CPI"</f>
        <v>2.73%, CPI</v>
      </c>
      <c r="W77" s="83" t="str">
        <f t="shared" si="45"/>
        <v>0.00%</v>
      </c>
      <c r="X77" s="2">
        <f t="shared" si="49"/>
        <v>0</v>
      </c>
      <c r="Y77" s="81" t="str">
        <f>TEXT('MYP Assumptions'!I75,"0.00%")&amp;", CPI"</f>
        <v>2.73%, CPI</v>
      </c>
      <c r="AA77" s="83" t="str">
        <f t="shared" si="46"/>
        <v>0.00%</v>
      </c>
      <c r="AB77" s="2">
        <f t="shared" si="50"/>
        <v>0</v>
      </c>
      <c r="AC77" s="81" t="str">
        <f>TEXT('MYP Assumptions'!J75,"0.00%")&amp;", CPI"</f>
        <v>2.73%, CPI</v>
      </c>
    </row>
    <row r="78" spans="1:29" hidden="1" x14ac:dyDescent="0.25">
      <c r="A78" s="152"/>
      <c r="B78" s="939"/>
      <c r="D78" s="108">
        <v>0</v>
      </c>
      <c r="E78" s="955"/>
      <c r="F78" s="108"/>
      <c r="G78" s="1866" t="str">
        <f t="shared" si="53"/>
        <v>0.00%</v>
      </c>
      <c r="H78" s="108">
        <f>ROUND(D78*(LEFT(I78,5)+1),0)</f>
        <v>0</v>
      </c>
      <c r="I78" s="957" t="str">
        <f>TEXT('MYP Assumptions'!E75,"0.00%")&amp;", CPI"</f>
        <v>3.42%, CPI</v>
      </c>
      <c r="J78" s="66"/>
      <c r="K78" s="1866" t="str">
        <f t="shared" si="42"/>
        <v>0.00%</v>
      </c>
      <c r="L78" s="108">
        <f t="shared" si="52"/>
        <v>0</v>
      </c>
      <c r="M78" s="957" t="str">
        <f>TEXT('MYP Assumptions'!F75,"0.00%")&amp;", CPI"</f>
        <v>3.35%, CPI</v>
      </c>
      <c r="O78" s="83" t="str">
        <f t="shared" si="43"/>
        <v>0.00%</v>
      </c>
      <c r="P78" s="2">
        <f t="shared" si="47"/>
        <v>0</v>
      </c>
      <c r="Q78" s="854" t="str">
        <f>TEXT('MYP Assumptions'!G75,"0.00%")&amp;", CPI"</f>
        <v>3.02%, CPI</v>
      </c>
      <c r="S78" s="83" t="str">
        <f t="shared" si="44"/>
        <v>0.00%</v>
      </c>
      <c r="T78" s="2">
        <f t="shared" si="48"/>
        <v>0</v>
      </c>
      <c r="U78" s="81" t="str">
        <f>TEXT('MYP Assumptions'!H75,"0.00%")&amp;", CPI"</f>
        <v>2.73%, CPI</v>
      </c>
      <c r="W78" s="83" t="str">
        <f t="shared" si="45"/>
        <v>0.00%</v>
      </c>
      <c r="X78" s="2">
        <f t="shared" si="49"/>
        <v>0</v>
      </c>
      <c r="Y78" s="81" t="str">
        <f>TEXT('MYP Assumptions'!I75,"0.00%")&amp;", CPI"</f>
        <v>2.73%, CPI</v>
      </c>
      <c r="AA78" s="83" t="str">
        <f t="shared" si="46"/>
        <v>0.00%</v>
      </c>
      <c r="AB78" s="2">
        <f t="shared" si="50"/>
        <v>0</v>
      </c>
      <c r="AC78" s="81" t="str">
        <f>TEXT('MYP Assumptions'!J75,"0.00%")&amp;", CPI"</f>
        <v>2.73%, CPI</v>
      </c>
    </row>
    <row r="79" spans="1:29" hidden="1" x14ac:dyDescent="0.25">
      <c r="A79" s="152"/>
      <c r="B79" s="939"/>
      <c r="D79" s="108">
        <v>0</v>
      </c>
      <c r="E79" s="955"/>
      <c r="F79" s="108"/>
      <c r="G79" s="1866" t="str">
        <f t="shared" si="53"/>
        <v>0.00%</v>
      </c>
      <c r="H79" s="108">
        <f>ROUND(D79*(LEFT(I79,5)+1),0)</f>
        <v>0</v>
      </c>
      <c r="I79" s="957" t="str">
        <f>TEXT('MYP Assumptions'!E75,"0.00%")&amp;", CPI"</f>
        <v>3.42%, CPI</v>
      </c>
      <c r="J79" s="66"/>
      <c r="K79" s="1866" t="str">
        <f t="shared" si="42"/>
        <v>0.00%</v>
      </c>
      <c r="L79" s="108">
        <f t="shared" si="52"/>
        <v>0</v>
      </c>
      <c r="M79" s="957" t="str">
        <f>TEXT('MYP Assumptions'!F75,"0.00%")&amp;", CPI"</f>
        <v>3.35%, CPI</v>
      </c>
      <c r="O79" s="83" t="str">
        <f t="shared" si="43"/>
        <v>0.00%</v>
      </c>
      <c r="P79" s="2">
        <f t="shared" si="47"/>
        <v>0</v>
      </c>
      <c r="Q79" s="854" t="str">
        <f>TEXT('MYP Assumptions'!G75,"0.00%")&amp;", CPI"</f>
        <v>3.02%, CPI</v>
      </c>
      <c r="S79" s="83" t="str">
        <f t="shared" si="44"/>
        <v>0.00%</v>
      </c>
      <c r="T79" s="2">
        <f t="shared" si="48"/>
        <v>0</v>
      </c>
      <c r="U79" s="81" t="str">
        <f>TEXT('MYP Assumptions'!H75,"0.00%")&amp;", CPI"</f>
        <v>2.73%, CPI</v>
      </c>
      <c r="W79" s="83" t="str">
        <f t="shared" si="45"/>
        <v>0.00%</v>
      </c>
      <c r="X79" s="2">
        <f t="shared" si="49"/>
        <v>0</v>
      </c>
      <c r="Y79" s="81" t="str">
        <f>TEXT('MYP Assumptions'!I75,"0.00%")&amp;", CPI"</f>
        <v>2.73%, CPI</v>
      </c>
      <c r="AA79" s="83" t="str">
        <f t="shared" si="46"/>
        <v>0.00%</v>
      </c>
      <c r="AB79" s="2">
        <f t="shared" si="50"/>
        <v>0</v>
      </c>
      <c r="AC79" s="81" t="str">
        <f>TEXT('MYP Assumptions'!J75,"0.00%")&amp;", CPI"</f>
        <v>2.73%, CPI</v>
      </c>
    </row>
    <row r="80" spans="1:29" hidden="1" x14ac:dyDescent="0.25">
      <c r="A80" s="152"/>
      <c r="B80" s="939"/>
      <c r="D80" s="108">
        <v>0</v>
      </c>
      <c r="E80" s="955"/>
      <c r="F80" s="108"/>
      <c r="G80" s="1866" t="str">
        <f t="shared" si="53"/>
        <v>0.00%</v>
      </c>
      <c r="H80" s="108">
        <f>ROUND(D80*(LEFT(I80,5)+1),0)</f>
        <v>0</v>
      </c>
      <c r="I80" s="957" t="str">
        <f>TEXT('MYP Assumptions'!E75,"0.00%")&amp;", CPI"</f>
        <v>3.42%, CPI</v>
      </c>
      <c r="J80" s="66"/>
      <c r="K80" s="1866" t="str">
        <f t="shared" si="42"/>
        <v>0.00%</v>
      </c>
      <c r="L80" s="108">
        <f t="shared" si="52"/>
        <v>0</v>
      </c>
      <c r="M80" s="957" t="str">
        <f>TEXT('MYP Assumptions'!F75,"0.00%")&amp;", CPI"</f>
        <v>3.35%, CPI</v>
      </c>
      <c r="O80" s="83" t="str">
        <f t="shared" si="43"/>
        <v>0.00%</v>
      </c>
      <c r="P80" s="2">
        <f t="shared" si="47"/>
        <v>0</v>
      </c>
      <c r="Q80" s="854" t="str">
        <f>TEXT('MYP Assumptions'!G75,"0.00%")&amp;", CPI"</f>
        <v>3.02%, CPI</v>
      </c>
      <c r="S80" s="83" t="str">
        <f t="shared" si="44"/>
        <v>0.00%</v>
      </c>
      <c r="T80" s="2">
        <f t="shared" si="48"/>
        <v>0</v>
      </c>
      <c r="U80" s="81" t="str">
        <f>TEXT('MYP Assumptions'!H75,"0.00%")&amp;", CPI"</f>
        <v>2.73%, CPI</v>
      </c>
      <c r="W80" s="83" t="str">
        <f t="shared" si="45"/>
        <v>0.00%</v>
      </c>
      <c r="X80" s="2">
        <f t="shared" si="49"/>
        <v>0</v>
      </c>
      <c r="Y80" s="81" t="str">
        <f>TEXT('MYP Assumptions'!I75,"0.00%")&amp;", CPI"</f>
        <v>2.73%, CPI</v>
      </c>
      <c r="AA80" s="83" t="str">
        <f t="shared" si="46"/>
        <v>0.00%</v>
      </c>
      <c r="AB80" s="2">
        <f t="shared" si="50"/>
        <v>0</v>
      </c>
      <c r="AC80" s="81" t="str">
        <f>TEXT('MYP Assumptions'!J75,"0.00%")&amp;", CPI"</f>
        <v>2.73%, CPI</v>
      </c>
    </row>
    <row r="81" spans="1:29" hidden="1" x14ac:dyDescent="0.25">
      <c r="A81" s="152"/>
      <c r="B81" s="939"/>
      <c r="D81" s="108">
        <f>'RS 3010-ALL'!AF80</f>
        <v>0</v>
      </c>
      <c r="E81" s="955"/>
      <c r="F81" s="108"/>
      <c r="G81" s="1866" t="str">
        <f t="shared" si="53"/>
        <v>0.00%</v>
      </c>
      <c r="H81" s="108">
        <f>ROUND(D81*(LEFT(I81,5)+1),0)</f>
        <v>0</v>
      </c>
      <c r="I81" s="957" t="str">
        <f>TEXT('MYP Assumptions'!E75,"0.00%")&amp;", CPI"</f>
        <v>3.42%, CPI</v>
      </c>
      <c r="J81" s="66"/>
      <c r="K81" s="1866" t="str">
        <f t="shared" si="42"/>
        <v>0.00%</v>
      </c>
      <c r="L81" s="108">
        <f t="shared" si="52"/>
        <v>0</v>
      </c>
      <c r="M81" s="957" t="str">
        <f>TEXT('MYP Assumptions'!F75,"0.00%")&amp;", CPI"</f>
        <v>3.35%, CPI</v>
      </c>
      <c r="O81" s="83" t="str">
        <f t="shared" si="43"/>
        <v>0.00%</v>
      </c>
      <c r="P81" s="2">
        <f t="shared" si="47"/>
        <v>0</v>
      </c>
      <c r="Q81" s="854" t="str">
        <f>TEXT('MYP Assumptions'!G75,"0.00%")&amp;", CPI"</f>
        <v>3.02%, CPI</v>
      </c>
      <c r="S81" s="83" t="str">
        <f t="shared" si="44"/>
        <v>0.00%</v>
      </c>
      <c r="T81" s="2">
        <f t="shared" si="48"/>
        <v>0</v>
      </c>
      <c r="U81" s="81" t="str">
        <f>TEXT('MYP Assumptions'!H75,"0.00%")&amp;", CPI"</f>
        <v>2.73%, CPI</v>
      </c>
      <c r="W81" s="83" t="str">
        <f t="shared" si="45"/>
        <v>0.00%</v>
      </c>
      <c r="X81" s="2">
        <f t="shared" si="49"/>
        <v>0</v>
      </c>
      <c r="Y81" s="81" t="str">
        <f>TEXT('MYP Assumptions'!I75,"0.00%")&amp;", CPI"</f>
        <v>2.73%, CPI</v>
      </c>
      <c r="AA81" s="83" t="str">
        <f t="shared" si="46"/>
        <v>0.00%</v>
      </c>
      <c r="AB81" s="2">
        <f t="shared" si="50"/>
        <v>0</v>
      </c>
      <c r="AC81" s="81" t="str">
        <f>TEXT('MYP Assumptions'!J75,"0.00%")&amp;", CPI"</f>
        <v>2.73%, CPI</v>
      </c>
    </row>
    <row r="82" spans="1:29" x14ac:dyDescent="0.25">
      <c r="A82" s="153"/>
      <c r="D82" s="121">
        <f>SUM(D69:D81)</f>
        <v>179515.34</v>
      </c>
      <c r="E82" s="955"/>
      <c r="F82" s="108"/>
      <c r="G82" s="1866">
        <f t="shared" si="53"/>
        <v>7.9016422774789069E-2</v>
      </c>
      <c r="H82" s="2035">
        <f>SUM(H69:H81)</f>
        <v>193700</v>
      </c>
      <c r="I82" s="2036" t="s">
        <v>1011</v>
      </c>
      <c r="J82" s="29"/>
      <c r="K82" s="1866">
        <f t="shared" si="42"/>
        <v>-1</v>
      </c>
      <c r="L82" s="121">
        <f>SUM(L69:L81)</f>
        <v>0</v>
      </c>
      <c r="M82" s="962"/>
      <c r="O82" s="83" t="str">
        <f t="shared" si="43"/>
        <v>0.00%</v>
      </c>
      <c r="P82" s="8">
        <f>SUM(P69:P81)</f>
        <v>0</v>
      </c>
      <c r="Q82" s="948"/>
      <c r="S82" s="83" t="str">
        <f t="shared" si="44"/>
        <v>0.00%</v>
      </c>
      <c r="T82" s="8">
        <f>SUM(T69:T81)</f>
        <v>0</v>
      </c>
      <c r="U82" s="73"/>
      <c r="W82" s="83" t="str">
        <f t="shared" si="45"/>
        <v>0.00%</v>
      </c>
      <c r="X82" s="8">
        <f>SUM(X69:X81)</f>
        <v>0</v>
      </c>
      <c r="Y82" s="73"/>
      <c r="AA82" s="83" t="str">
        <f t="shared" si="46"/>
        <v>0.00%</v>
      </c>
      <c r="AB82" s="8">
        <f>SUM(AB69:AB81)</f>
        <v>0</v>
      </c>
      <c r="AC82" s="73"/>
    </row>
    <row r="83" spans="1:29" x14ac:dyDescent="0.25">
      <c r="A83" s="152"/>
      <c r="B83" s="936"/>
      <c r="E83" s="863"/>
      <c r="F83" s="2"/>
      <c r="G83" s="83"/>
      <c r="H83" s="2"/>
      <c r="I83" s="1899"/>
      <c r="J83" s="66"/>
      <c r="L83" s="2"/>
      <c r="M83" s="948"/>
      <c r="Q83" s="948"/>
      <c r="T83" s="2"/>
      <c r="U83" s="73"/>
      <c r="X83" s="2"/>
      <c r="Y83" s="73"/>
      <c r="AB83" s="2"/>
      <c r="AC83" s="73"/>
    </row>
    <row r="84" spans="1:29" x14ac:dyDescent="0.25">
      <c r="A84" s="152"/>
      <c r="E84" s="863"/>
      <c r="F84" s="2"/>
      <c r="H84" s="2"/>
      <c r="I84" s="871"/>
      <c r="J84" s="66"/>
      <c r="L84" s="2"/>
      <c r="M84" s="948"/>
      <c r="Q84" s="948"/>
      <c r="T84" s="2"/>
      <c r="U84" s="73"/>
      <c r="X84" s="2"/>
      <c r="Y84" s="73"/>
      <c r="AB84" s="2"/>
      <c r="AC84" s="73"/>
    </row>
    <row r="85" spans="1:29" x14ac:dyDescent="0.25">
      <c r="A85" s="153"/>
      <c r="B85" s="936" t="s">
        <v>0</v>
      </c>
      <c r="D85" s="8">
        <f>SUM(D82,D66,D55,D13)</f>
        <v>290496.90000000002</v>
      </c>
      <c r="E85" s="863"/>
      <c r="F85" s="2"/>
      <c r="G85" s="83">
        <f>IF(D85=0,"0.00%",(H85-D85)/D85)</f>
        <v>0.19090403374356135</v>
      </c>
      <c r="H85" s="8">
        <f>SUM(H82,H66,H55,H13)</f>
        <v>345953.93</v>
      </c>
      <c r="I85" s="1292">
        <f>+H85-D85</f>
        <v>55457.02999999997</v>
      </c>
      <c r="J85" s="29"/>
      <c r="K85" s="83">
        <f>IF(H85=0,"0.00%",(L85-H85)/H85)</f>
        <v>-1</v>
      </c>
      <c r="L85" s="8">
        <f>SUM(L82,L66,L55,L13)</f>
        <v>0</v>
      </c>
      <c r="M85" s="1292">
        <f>+L85-H85</f>
        <v>-345953.93</v>
      </c>
      <c r="O85" s="83" t="str">
        <f>IF(L85=0,"0.00%",(P85-L85)/L85)</f>
        <v>0.00%</v>
      </c>
      <c r="P85" s="8">
        <f>SUM(P82,P66,P55,P13)</f>
        <v>0</v>
      </c>
      <c r="Q85" s="1292">
        <f>+P85-L85</f>
        <v>0</v>
      </c>
      <c r="S85" s="83" t="str">
        <f>IF(P85=0,"0.00%",(T85-P85)/P85)</f>
        <v>0.00%</v>
      </c>
      <c r="T85" s="8" t="e">
        <f>SUM(T82,T66,T55,T13)</f>
        <v>#VALUE!</v>
      </c>
      <c r="U85" s="73"/>
      <c r="W85" s="83" t="e">
        <f>IF(T85=0,"0.00%",(X85-T85)/T85)</f>
        <v>#VALUE!</v>
      </c>
      <c r="X85" s="8" t="e">
        <f>SUM(X82,X66,X55,X13)</f>
        <v>#VALUE!</v>
      </c>
      <c r="Y85" s="73"/>
      <c r="AA85" s="83" t="e">
        <f>IF(X85=0,"0.00%",(AB85-X85)/X85)</f>
        <v>#VALUE!</v>
      </c>
      <c r="AB85" s="8">
        <f>SUM(AB82,AB66,AB55,AB13)</f>
        <v>0</v>
      </c>
      <c r="AC85" s="73"/>
    </row>
    <row r="86" spans="1:29" x14ac:dyDescent="0.25">
      <c r="A86" s="152"/>
      <c r="E86" s="863"/>
      <c r="F86" s="2"/>
      <c r="H86" s="2"/>
      <c r="I86" s="871"/>
      <c r="J86" s="66"/>
      <c r="L86" s="2"/>
      <c r="M86" s="948"/>
      <c r="Q86" s="948"/>
      <c r="T86" s="2"/>
      <c r="U86" s="73"/>
      <c r="X86" s="2"/>
      <c r="Y86" s="73"/>
      <c r="AB86" s="2"/>
      <c r="AC86" s="73"/>
    </row>
    <row r="87" spans="1:29" x14ac:dyDescent="0.25">
      <c r="A87" s="152"/>
      <c r="B87" s="936" t="s">
        <v>138</v>
      </c>
      <c r="D87" s="3">
        <f>D11-D85</f>
        <v>-290496.90000000002</v>
      </c>
      <c r="G87" s="83">
        <f>IF(D87=0,"0.00%",(H87-D87)/D87)</f>
        <v>0.19090403374356135</v>
      </c>
      <c r="H87" s="3">
        <f>H11-H85</f>
        <v>-345953.93</v>
      </c>
      <c r="I87" s="871"/>
      <c r="J87" s="66"/>
      <c r="K87" s="83">
        <f>IF(H87=0,"0.00%",(L87-H87)/H87)</f>
        <v>-1</v>
      </c>
      <c r="L87" s="3">
        <f>L11-L85</f>
        <v>0</v>
      </c>
      <c r="M87" s="948"/>
      <c r="O87" s="83" t="str">
        <f>IF(L87=0,"0.00%",(P87-L87)/L87)</f>
        <v>0.00%</v>
      </c>
      <c r="P87" s="3">
        <f>P11-P85</f>
        <v>0</v>
      </c>
      <c r="Q87" s="948"/>
      <c r="S87" s="83" t="str">
        <f>IF(P87=0,"0.00%",(T87-P87)/P87)</f>
        <v>0.00%</v>
      </c>
      <c r="T87" s="3" t="e">
        <f>T11-T85</f>
        <v>#VALUE!</v>
      </c>
      <c r="U87" s="73"/>
      <c r="W87" s="83" t="e">
        <f>IF(T87=0,"0.00%",(X87-T87)/T87)</f>
        <v>#VALUE!</v>
      </c>
      <c r="X87" s="3" t="e">
        <f>X11-X85</f>
        <v>#VALUE!</v>
      </c>
      <c r="Y87" s="73"/>
      <c r="AA87" s="83" t="e">
        <f>IF(X87=0,"0.00%",(AB87-X87)/X87)</f>
        <v>#VALUE!</v>
      </c>
      <c r="AB87" s="3">
        <f>AB11-AB85</f>
        <v>0</v>
      </c>
      <c r="AC87" s="73"/>
    </row>
    <row r="88" spans="1:29" x14ac:dyDescent="0.25">
      <c r="B88" s="936"/>
      <c r="C88" s="930"/>
      <c r="D88" s="3"/>
      <c r="H88" s="3"/>
      <c r="I88" s="871"/>
      <c r="J88" s="66"/>
      <c r="L88" s="3"/>
      <c r="M88" s="948"/>
      <c r="P88" s="3"/>
      <c r="Q88" s="948"/>
      <c r="T88" s="44"/>
      <c r="U88" s="73"/>
      <c r="X88" s="44"/>
      <c r="Y88" s="73"/>
      <c r="AB88" s="44"/>
      <c r="AC88" s="73"/>
    </row>
    <row r="89" spans="1:29" x14ac:dyDescent="0.25">
      <c r="B89" s="936" t="s">
        <v>136</v>
      </c>
      <c r="C89" s="932"/>
      <c r="D89" s="3">
        <f>D7+D87</f>
        <v>345953.92999999993</v>
      </c>
      <c r="G89" s="83">
        <f>IF(D89=0,"0.00%",(H89-D89)/D89)</f>
        <v>-1</v>
      </c>
      <c r="H89" s="3">
        <f>H7+H87</f>
        <v>0</v>
      </c>
      <c r="I89" s="871"/>
      <c r="J89" s="66"/>
      <c r="K89" s="83" t="str">
        <f>IF(H89=0,"0.00%",(L89-H89)/H89)</f>
        <v>0.00%</v>
      </c>
      <c r="L89" s="3">
        <f>ROUND(L7+L87,0)</f>
        <v>0</v>
      </c>
      <c r="M89" s="948"/>
      <c r="O89" s="83" t="str">
        <f>IF(L89=0,"0.00%",(P89-L89)/L89)</f>
        <v>0.00%</v>
      </c>
      <c r="P89" s="3">
        <f>P7+P87</f>
        <v>0</v>
      </c>
      <c r="Q89" s="948"/>
      <c r="S89" s="83" t="str">
        <f>IF(P89=0,"0.00%",(T89-P89)/P89)</f>
        <v>0.00%</v>
      </c>
      <c r="T89" s="49" t="e">
        <f>T7+T87</f>
        <v>#VALUE!</v>
      </c>
      <c r="U89" s="73"/>
      <c r="W89" s="83" t="e">
        <f>IF(T89=0,"0.00%",(X89-T89)/T89)</f>
        <v>#VALUE!</v>
      </c>
      <c r="X89" s="49" t="e">
        <f>X7+X87</f>
        <v>#VALUE!</v>
      </c>
      <c r="Y89" s="73"/>
      <c r="AA89" s="83" t="e">
        <f>IF(X89=0,"0.00%",(AB89-X89)/X89)</f>
        <v>#VALUE!</v>
      </c>
      <c r="AB89" s="49" t="e">
        <f>AB7+AB87</f>
        <v>#VALUE!</v>
      </c>
      <c r="AC89" s="73"/>
    </row>
    <row r="90" spans="1:29" x14ac:dyDescent="0.25">
      <c r="C90" s="873"/>
      <c r="G90" s="374"/>
      <c r="H90" s="5"/>
      <c r="I90" s="872"/>
      <c r="J90" s="29"/>
      <c r="L90" s="5"/>
      <c r="M90" s="948"/>
      <c r="P90" s="5"/>
      <c r="Q90" s="948"/>
      <c r="T90" s="5"/>
      <c r="U90" s="73"/>
      <c r="X90" s="5"/>
      <c r="Y90" s="73"/>
      <c r="AB90" s="5"/>
      <c r="AC90" s="73"/>
    </row>
    <row r="91" spans="1:29" x14ac:dyDescent="0.25">
      <c r="C91" s="868"/>
      <c r="G91" s="374"/>
      <c r="H91" s="36"/>
      <c r="I91" s="871"/>
      <c r="J91" s="66"/>
      <c r="L91" s="2"/>
      <c r="M91" s="948"/>
      <c r="Q91" s="948"/>
      <c r="T91" s="2"/>
      <c r="U91" s="73"/>
      <c r="X91" s="2"/>
      <c r="Y91" s="73"/>
      <c r="AB91" s="2"/>
      <c r="AC91" s="73"/>
    </row>
    <row r="92" spans="1:29" x14ac:dyDescent="0.25">
      <c r="C92" s="868"/>
      <c r="G92" s="374"/>
      <c r="H92" s="36"/>
      <c r="I92" s="871"/>
      <c r="J92" s="66"/>
      <c r="L92" s="2"/>
      <c r="M92" s="948"/>
      <c r="Q92" s="948"/>
      <c r="T92" s="2"/>
      <c r="U92" s="73"/>
      <c r="X92" s="2"/>
      <c r="Y92" s="73"/>
      <c r="AB92" s="2"/>
      <c r="AC92" s="73"/>
    </row>
    <row r="93" spans="1:29" x14ac:dyDescent="0.25">
      <c r="C93" s="868"/>
      <c r="G93" s="374"/>
      <c r="H93" s="36"/>
      <c r="I93" s="871"/>
      <c r="J93" s="66"/>
      <c r="L93" s="2"/>
      <c r="M93" s="948"/>
      <c r="Q93" s="948"/>
      <c r="T93" s="2"/>
      <c r="U93" s="73"/>
      <c r="X93" s="2"/>
      <c r="Y93" s="73"/>
      <c r="AB93" s="2"/>
      <c r="AC93" s="73"/>
    </row>
    <row r="94" spans="1:29" x14ac:dyDescent="0.25">
      <c r="C94" s="868"/>
      <c r="G94" s="374"/>
      <c r="H94" s="36"/>
      <c r="I94" s="871"/>
      <c r="J94" s="66"/>
      <c r="L94" s="2"/>
      <c r="M94" s="948"/>
      <c r="Q94" s="948"/>
      <c r="T94" s="2"/>
      <c r="U94" s="73"/>
      <c r="X94" s="2"/>
      <c r="Y94" s="73"/>
      <c r="AB94" s="2"/>
      <c r="AC94" s="73"/>
    </row>
    <row r="95" spans="1:29" s="137" customFormat="1" ht="11.25" hidden="1" x14ac:dyDescent="0.2">
      <c r="A95" s="156"/>
      <c r="B95" s="942"/>
      <c r="C95" s="943" t="s">
        <v>223</v>
      </c>
      <c r="D95" s="134">
        <f>+D82+D66+D53+D41+D30</f>
        <v>290496.90000000002</v>
      </c>
      <c r="E95" s="865"/>
      <c r="G95" s="133" t="s">
        <v>223</v>
      </c>
      <c r="H95" s="134">
        <f>+H82+H66+H53+H41+H30</f>
        <v>345953.93</v>
      </c>
      <c r="I95" s="874"/>
      <c r="J95" s="135"/>
      <c r="K95" s="133" t="s">
        <v>223</v>
      </c>
      <c r="L95" s="134">
        <f>+L82+L66+L53+L41+L30</f>
        <v>0</v>
      </c>
      <c r="M95" s="951"/>
      <c r="O95" s="133" t="s">
        <v>223</v>
      </c>
      <c r="P95" s="134">
        <f>+P82+P66+P53+P41+P30</f>
        <v>0</v>
      </c>
      <c r="Q95" s="951"/>
      <c r="R95" s="139"/>
      <c r="S95" s="133" t="s">
        <v>223</v>
      </c>
      <c r="T95" s="134">
        <f>+T82+T66+T53+T41+T30</f>
        <v>0</v>
      </c>
      <c r="U95" s="138"/>
      <c r="W95" s="133" t="s">
        <v>223</v>
      </c>
      <c r="X95" s="134">
        <f>+X82+X66+X53+X41+X30</f>
        <v>0</v>
      </c>
      <c r="Y95" s="138"/>
      <c r="AA95" s="133" t="s">
        <v>223</v>
      </c>
      <c r="AB95" s="134">
        <f>+AB82+AB66+AB53+AB41+AB30</f>
        <v>0</v>
      </c>
      <c r="AC95" s="138"/>
    </row>
    <row r="96" spans="1:29" s="137" customFormat="1" ht="11.25" hidden="1" x14ac:dyDescent="0.2">
      <c r="A96" s="158"/>
      <c r="B96" s="942"/>
      <c r="C96" s="944" t="s">
        <v>224</v>
      </c>
      <c r="D96" s="142">
        <f>+D13</f>
        <v>0</v>
      </c>
      <c r="E96" s="866"/>
      <c r="F96" s="144"/>
      <c r="G96" s="375" t="s">
        <v>224</v>
      </c>
      <c r="H96" s="142">
        <f>+H13</f>
        <v>0</v>
      </c>
      <c r="I96" s="875"/>
      <c r="J96" s="143"/>
      <c r="K96" s="375" t="s">
        <v>224</v>
      </c>
      <c r="L96" s="142">
        <f>+L13</f>
        <v>0</v>
      </c>
      <c r="M96" s="951"/>
      <c r="O96" s="375" t="s">
        <v>224</v>
      </c>
      <c r="P96" s="142">
        <f>+P13</f>
        <v>0</v>
      </c>
      <c r="Q96" s="865"/>
      <c r="R96" s="139"/>
      <c r="S96" s="141" t="s">
        <v>224</v>
      </c>
      <c r="T96" s="142" t="e">
        <f>+T13</f>
        <v>#VALUE!</v>
      </c>
      <c r="W96" s="141" t="s">
        <v>224</v>
      </c>
      <c r="X96" s="142" t="e">
        <f>+X13</f>
        <v>#VALUE!</v>
      </c>
      <c r="AA96" s="141" t="s">
        <v>224</v>
      </c>
      <c r="AB96" s="142">
        <f>+AB13</f>
        <v>0</v>
      </c>
    </row>
    <row r="97" spans="1:28" s="137" customFormat="1" ht="11.25" hidden="1" x14ac:dyDescent="0.2">
      <c r="A97" s="158"/>
      <c r="B97" s="942"/>
      <c r="C97" s="944"/>
      <c r="D97" s="145">
        <f>+D95+D96</f>
        <v>290496.90000000002</v>
      </c>
      <c r="E97" s="866"/>
      <c r="F97" s="144"/>
      <c r="G97" s="375"/>
      <c r="H97" s="145">
        <f>+H95+H96</f>
        <v>345953.93</v>
      </c>
      <c r="I97" s="875"/>
      <c r="J97" s="143"/>
      <c r="K97" s="375"/>
      <c r="L97" s="145">
        <f>+L95+L96</f>
        <v>0</v>
      </c>
      <c r="M97" s="865"/>
      <c r="O97" s="375"/>
      <c r="P97" s="145">
        <f>+P95+P96</f>
        <v>0</v>
      </c>
      <c r="Q97" s="865"/>
      <c r="R97" s="139"/>
      <c r="S97" s="141"/>
      <c r="T97" s="145" t="e">
        <f>+T95+T96</f>
        <v>#VALUE!</v>
      </c>
      <c r="W97" s="141"/>
      <c r="X97" s="145" t="e">
        <f>+X95+X96</f>
        <v>#VALUE!</v>
      </c>
      <c r="AA97" s="141"/>
      <c r="AB97" s="145">
        <f>+AB95+AB96</f>
        <v>0</v>
      </c>
    </row>
    <row r="98" spans="1:28" ht="15" hidden="1" customHeight="1" x14ac:dyDescent="0.25">
      <c r="A98" s="152"/>
      <c r="B98" s="945"/>
      <c r="C98" s="945"/>
      <c r="D98" s="5">
        <f>+D85-D97</f>
        <v>0</v>
      </c>
      <c r="E98" s="863"/>
      <c r="F98" s="2"/>
      <c r="G98" s="376"/>
      <c r="H98" s="5">
        <f>+H85-H97</f>
        <v>0</v>
      </c>
      <c r="K98" s="376"/>
      <c r="L98" s="5">
        <f>+L85-L97</f>
        <v>0</v>
      </c>
      <c r="O98" s="376"/>
      <c r="P98" s="5">
        <f>+P85-P97</f>
        <v>0</v>
      </c>
      <c r="S98" s="103"/>
      <c r="T98" s="5" t="e">
        <f>+T85-T97</f>
        <v>#VALUE!</v>
      </c>
      <c r="W98" s="103"/>
      <c r="X98" s="5" t="e">
        <f>+X85-X97</f>
        <v>#VALUE!</v>
      </c>
      <c r="AA98" s="103"/>
      <c r="AB98" s="5">
        <f>+AB85-AB97</f>
        <v>0</v>
      </c>
    </row>
    <row r="99" spans="1:28" x14ac:dyDescent="0.25">
      <c r="A99" s="152"/>
      <c r="B99" s="945"/>
      <c r="C99" s="945"/>
      <c r="D99" s="36"/>
      <c r="E99" s="863"/>
      <c r="F99" s="2"/>
    </row>
    <row r="100" spans="1:28" x14ac:dyDescent="0.25">
      <c r="A100" s="152"/>
      <c r="B100" s="932"/>
      <c r="C100" s="868"/>
      <c r="D100" s="25"/>
      <c r="E100" s="863"/>
      <c r="F100" s="2"/>
    </row>
    <row r="101" spans="1:28" x14ac:dyDescent="0.25">
      <c r="B101" s="932"/>
      <c r="C101" s="868"/>
      <c r="D101" s="36"/>
    </row>
    <row r="102" spans="1:28" x14ac:dyDescent="0.25">
      <c r="B102" s="932"/>
      <c r="C102" s="868"/>
      <c r="D102" s="36"/>
    </row>
    <row r="103" spans="1:28" ht="15" customHeight="1" x14ac:dyDescent="0.25">
      <c r="B103" s="932"/>
      <c r="C103" s="868"/>
      <c r="D103" s="36"/>
    </row>
    <row r="104" spans="1:28" x14ac:dyDescent="0.25">
      <c r="B104" s="932"/>
      <c r="C104" s="868"/>
      <c r="D104" s="36"/>
    </row>
    <row r="105" spans="1:28" x14ac:dyDescent="0.25">
      <c r="B105" s="932"/>
      <c r="C105" s="868"/>
      <c r="D105" s="36"/>
    </row>
    <row r="106" spans="1:28" ht="15" customHeight="1" x14ac:dyDescent="0.25">
      <c r="B106" s="2209"/>
      <c r="C106" s="2209"/>
      <c r="D106" s="36"/>
    </row>
    <row r="107" spans="1:28" x14ac:dyDescent="0.25">
      <c r="B107" s="2209"/>
      <c r="C107" s="2209"/>
      <c r="D107" s="36"/>
    </row>
    <row r="108" spans="1:28" x14ac:dyDescent="0.25">
      <c r="B108" s="932"/>
      <c r="C108" s="868"/>
      <c r="D108" s="6"/>
    </row>
    <row r="109" spans="1:28" x14ac:dyDescent="0.25">
      <c r="B109" s="932"/>
      <c r="C109" s="868"/>
      <c r="D109" s="36"/>
    </row>
    <row r="110" spans="1:28" x14ac:dyDescent="0.25">
      <c r="B110" s="932"/>
      <c r="C110" s="868"/>
      <c r="D110" s="36"/>
    </row>
    <row r="111" spans="1:28" ht="28.5" customHeight="1" x14ac:dyDescent="0.25">
      <c r="B111" s="932"/>
      <c r="C111" s="868"/>
      <c r="D111" s="25"/>
    </row>
    <row r="112" spans="1:28" x14ac:dyDescent="0.25">
      <c r="B112" s="932"/>
      <c r="C112" s="868"/>
      <c r="D112" s="36"/>
    </row>
    <row r="113" spans="2:4" x14ac:dyDescent="0.25">
      <c r="B113" s="932"/>
      <c r="C113" s="868"/>
      <c r="D113" s="36"/>
    </row>
    <row r="114" spans="2:4" x14ac:dyDescent="0.25">
      <c r="B114" s="932"/>
      <c r="C114" s="868"/>
      <c r="D114" s="36"/>
    </row>
    <row r="115" spans="2:4" x14ac:dyDescent="0.25">
      <c r="B115" s="932"/>
      <c r="C115" s="868"/>
      <c r="D115" s="36"/>
    </row>
    <row r="116" spans="2:4" x14ac:dyDescent="0.25">
      <c r="B116" s="932"/>
      <c r="C116" s="868"/>
      <c r="D116" s="36"/>
    </row>
    <row r="117" spans="2:4" x14ac:dyDescent="0.25">
      <c r="B117" s="932"/>
      <c r="C117" s="868"/>
      <c r="D117" s="36"/>
    </row>
    <row r="118" spans="2:4" x14ac:dyDescent="0.25">
      <c r="B118" s="932"/>
      <c r="C118" s="868"/>
      <c r="D118" s="36"/>
    </row>
    <row r="119" spans="2:4" x14ac:dyDescent="0.25">
      <c r="B119" s="932"/>
      <c r="C119" s="868"/>
      <c r="D119" s="36"/>
    </row>
    <row r="120" spans="2:4" x14ac:dyDescent="0.25">
      <c r="B120" s="932"/>
      <c r="C120" s="868"/>
      <c r="D120" s="36"/>
    </row>
    <row r="121" spans="2:4" x14ac:dyDescent="0.25">
      <c r="B121" s="932"/>
      <c r="C121" s="868"/>
      <c r="D121" s="36"/>
    </row>
    <row r="122" spans="2:4" x14ac:dyDescent="0.25">
      <c r="B122" s="932"/>
      <c r="C122" s="868"/>
      <c r="D122" s="36"/>
    </row>
    <row r="123" spans="2:4" x14ac:dyDescent="0.25">
      <c r="B123" s="932"/>
      <c r="C123" s="868"/>
      <c r="D123" s="36"/>
    </row>
    <row r="124" spans="2:4" x14ac:dyDescent="0.25">
      <c r="B124" s="932"/>
      <c r="C124" s="868"/>
      <c r="D124" s="36"/>
    </row>
    <row r="125" spans="2:4" x14ac:dyDescent="0.25">
      <c r="B125" s="932"/>
      <c r="C125" s="868"/>
      <c r="D125" s="36"/>
    </row>
    <row r="126" spans="2:4" x14ac:dyDescent="0.25">
      <c r="B126" s="932"/>
      <c r="C126" s="868"/>
      <c r="D126" s="36"/>
    </row>
  </sheetData>
  <sheetProtection password="B79F" sheet="1" objects="1" scenarios="1"/>
  <mergeCells count="1">
    <mergeCell ref="B106:C107"/>
  </mergeCells>
  <pageMargins left="0.25" right="0.25" top="0.5" bottom="0.5" header="0.25" footer="0.25"/>
  <pageSetup paperSize="5" scale="68" orientation="portrait" r:id="rId1"/>
  <headerFooter>
    <oddHeader>&amp;L&amp;F</oddHeader>
    <oddFooter>&amp;R&amp;A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C122"/>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1.7109375" style="146" customWidth="1"/>
    <col min="2" max="2" width="8.5703125" style="930" customWidth="1"/>
    <col min="3" max="3" width="18.28515625" style="857" customWidth="1"/>
    <col min="4" max="4" width="16" style="2" customWidth="1"/>
    <col min="5" max="5" width="17.7109375" style="857" hidden="1" customWidth="1"/>
    <col min="6" max="6" width="6" style="39" customWidth="1"/>
    <col min="7" max="7" width="9.42578125" style="52" bestFit="1" customWidth="1"/>
    <col min="8" max="8" width="16.42578125" style="122" customWidth="1"/>
    <col min="9" max="9" width="26" style="868" hidden="1" customWidth="1"/>
    <col min="10" max="10" width="5.7109375" style="59" customWidth="1"/>
    <col min="11" max="11" width="9.42578125" style="377" customWidth="1"/>
    <col min="12" max="12" width="14" style="123" bestFit="1" customWidth="1"/>
    <col min="13" max="13" width="26" style="857" hidden="1" customWidth="1"/>
    <col min="14" max="14" width="5.7109375" style="39" customWidth="1"/>
    <col min="15" max="15" width="9.42578125" style="377" bestFit="1" customWidth="1"/>
    <col min="16" max="16" width="14" style="2" bestFit="1" customWidth="1"/>
    <col min="17" max="17" width="24.85546875" style="857"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930" t="s">
        <v>61</v>
      </c>
      <c r="C1" s="931" t="s">
        <v>281</v>
      </c>
      <c r="D1" s="1044"/>
      <c r="E1" s="855"/>
      <c r="F1" s="98"/>
      <c r="G1" s="369"/>
      <c r="H1" s="1045"/>
      <c r="I1" s="855"/>
      <c r="K1" s="382"/>
      <c r="L1" s="122"/>
      <c r="M1" s="855"/>
      <c r="N1" s="51"/>
      <c r="O1" s="382"/>
      <c r="P1" s="122"/>
      <c r="Q1" s="855"/>
      <c r="T1" s="86">
        <v>0</v>
      </c>
      <c r="U1" s="98"/>
      <c r="X1" s="86">
        <v>0</v>
      </c>
      <c r="Y1" s="98"/>
      <c r="AB1" s="86">
        <v>0</v>
      </c>
      <c r="AC1" s="98"/>
    </row>
    <row r="2" spans="1:29" ht="17.25" x14ac:dyDescent="0.4">
      <c r="B2" s="932" t="s">
        <v>59</v>
      </c>
      <c r="C2" s="933">
        <v>6300</v>
      </c>
      <c r="D2" s="1045"/>
      <c r="E2" s="855"/>
      <c r="F2" s="98"/>
      <c r="G2" s="1863"/>
      <c r="H2" s="1045"/>
      <c r="I2" s="855"/>
      <c r="K2" s="382"/>
      <c r="L2" s="87"/>
      <c r="M2" s="855"/>
      <c r="N2" s="51"/>
      <c r="O2" s="382"/>
      <c r="P2" s="87"/>
      <c r="Q2" s="855"/>
      <c r="T2" s="87">
        <v>0</v>
      </c>
      <c r="U2" s="98"/>
      <c r="X2" s="87">
        <v>0</v>
      </c>
      <c r="Y2" s="98"/>
      <c r="AB2" s="87">
        <v>0</v>
      </c>
      <c r="AC2" s="98"/>
    </row>
    <row r="3" spans="1:29" x14ac:dyDescent="0.25">
      <c r="D3" s="1046"/>
      <c r="E3" s="867"/>
      <c r="F3" s="1047"/>
      <c r="G3" s="1864"/>
      <c r="H3" s="1046"/>
      <c r="I3" s="867"/>
      <c r="K3" s="382"/>
      <c r="L3" s="122"/>
      <c r="M3" s="868"/>
      <c r="N3" s="51"/>
      <c r="O3" s="382"/>
      <c r="P3" s="122"/>
      <c r="Q3" s="868"/>
      <c r="T3" s="86">
        <f>SUM(T1:T2)</f>
        <v>0</v>
      </c>
      <c r="U3" s="51"/>
      <c r="X3" s="86">
        <f>SUM(X1:X2)</f>
        <v>0</v>
      </c>
      <c r="Y3" s="51"/>
      <c r="AB3" s="86">
        <f>SUM(AB1:AB2)</f>
        <v>0</v>
      </c>
      <c r="AC3" s="51"/>
    </row>
    <row r="4" spans="1:29" x14ac:dyDescent="0.25">
      <c r="L4" s="122"/>
      <c r="M4" s="868"/>
      <c r="P4" s="122"/>
      <c r="Q4" s="868"/>
      <c r="T4" s="86"/>
      <c r="U4" s="51"/>
      <c r="X4" s="86"/>
      <c r="Y4" s="51"/>
      <c r="AB4" s="86"/>
      <c r="AC4" s="51"/>
    </row>
    <row r="5" spans="1:29" ht="15.75" x14ac:dyDescent="0.25">
      <c r="B5" s="934" t="s">
        <v>56</v>
      </c>
      <c r="P5" s="123"/>
      <c r="T5" s="73"/>
      <c r="X5" s="73"/>
      <c r="AB5" s="73"/>
    </row>
    <row r="6" spans="1:29" s="89" customFormat="1" ht="15.75" x14ac:dyDescent="0.25">
      <c r="A6" s="147"/>
      <c r="B6" s="935"/>
      <c r="C6" s="935"/>
      <c r="D6" s="284" t="s">
        <v>55</v>
      </c>
      <c r="E6" s="858"/>
      <c r="G6" s="371"/>
      <c r="H6" s="324" t="str">
        <f>LEFT(D6,4)+1&amp;"-"&amp;RIGHT(D6,4)+1</f>
        <v>2017-2018</v>
      </c>
      <c r="I6" s="869"/>
      <c r="J6" s="93"/>
      <c r="K6" s="378"/>
      <c r="L6" s="124" t="str">
        <f>LEFT(H6,4)+1&amp;"-"&amp;RIGHT(H6,4)+1</f>
        <v>2018-2019</v>
      </c>
      <c r="M6" s="946"/>
      <c r="N6" s="96"/>
      <c r="O6" s="381"/>
      <c r="P6" s="124" t="str">
        <f>LEFT(L6,4)+1&amp;"-"&amp;RIGHT(L6,4)+1</f>
        <v>2019-2020</v>
      </c>
      <c r="Q6" s="94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936" t="s">
        <v>54</v>
      </c>
      <c r="D7" s="2">
        <v>1626106.08</v>
      </c>
      <c r="E7" s="928"/>
      <c r="H7" s="2">
        <f>D85</f>
        <v>1379641.85</v>
      </c>
      <c r="I7" s="928"/>
      <c r="J7" s="60"/>
      <c r="L7" s="2">
        <f>H85</f>
        <v>175795.85000000009</v>
      </c>
      <c r="M7" s="928"/>
      <c r="P7" s="2">
        <f>L85</f>
        <v>175795.85000000009</v>
      </c>
      <c r="Q7" s="928"/>
      <c r="T7" s="2">
        <f>P85</f>
        <v>175795.85000000009</v>
      </c>
      <c r="U7" s="105"/>
      <c r="X7" s="2" t="e">
        <f>T85</f>
        <v>#VALUE!</v>
      </c>
      <c r="Y7" s="105"/>
      <c r="AB7" s="2" t="e">
        <f>X85</f>
        <v>#VALUE!</v>
      </c>
      <c r="AC7" s="105"/>
    </row>
    <row r="8" spans="1:29" x14ac:dyDescent="0.25">
      <c r="E8" s="928"/>
      <c r="H8" s="2"/>
      <c r="I8" s="928"/>
      <c r="L8" s="2"/>
      <c r="M8" s="928"/>
      <c r="Q8" s="928"/>
      <c r="U8" s="105"/>
      <c r="Y8" s="105"/>
      <c r="AC8" s="105"/>
    </row>
    <row r="9" spans="1:29" x14ac:dyDescent="0.25">
      <c r="B9" s="930" t="s">
        <v>52</v>
      </c>
      <c r="C9" s="857" t="s">
        <v>53</v>
      </c>
      <c r="D9" s="2">
        <v>393579.91</v>
      </c>
      <c r="E9" s="928"/>
      <c r="G9" s="83">
        <f>IF(D9=0,"0.00%",(H9-D9)/D9)</f>
        <v>3.9163813010679401E-2</v>
      </c>
      <c r="H9" s="2">
        <v>408994</v>
      </c>
      <c r="I9" s="928"/>
      <c r="J9" s="61"/>
      <c r="K9" s="83">
        <f>IF(H9=0,"0.00%",(L9-H9)/H9)</f>
        <v>2.1499092896228308E-2</v>
      </c>
      <c r="L9" s="2">
        <f>ROUND(H9*(+LEFT(M9,5)+1),0)</f>
        <v>417787</v>
      </c>
      <c r="M9" s="854" t="str">
        <f>TEXT('MYP Assumptions'!$F$47,"0.00%")&amp;", COLA"</f>
        <v>2.15%, COLA</v>
      </c>
      <c r="O9" s="83">
        <f>IF(L9=0,"0.00%",(P9-L9)/L9)</f>
        <v>2.3500013164603015E-2</v>
      </c>
      <c r="P9" s="2">
        <f>ROUND(L9*(+LEFT(Q9,5)+1),0)</f>
        <v>427605</v>
      </c>
      <c r="Q9" s="854" t="str">
        <f>TEXT('MYP Assumptions'!$G$47,"0.00%")&amp;", COLA"</f>
        <v>2.35%, COLA</v>
      </c>
      <c r="S9" s="83">
        <f>IF(P9=0,"0.00%",(T9-P9)/P9)</f>
        <v>2.6599314788180679E-2</v>
      </c>
      <c r="T9" s="2">
        <f>ROUND(P9*(+LEFT(U9,5)+1),0)</f>
        <v>438979</v>
      </c>
      <c r="U9" s="105" t="s">
        <v>285</v>
      </c>
      <c r="W9" s="83">
        <f>IF(T9=0,"0.00%",(X9-T9)/T9)</f>
        <v>2.6600361292909228E-2</v>
      </c>
      <c r="X9" s="2">
        <f>ROUND(T9*(+LEFT(Y9,5)+1),0)</f>
        <v>450656</v>
      </c>
      <c r="Y9" s="105" t="s">
        <v>285</v>
      </c>
      <c r="AA9" s="83">
        <f>IF(X9=0,"0.00%",(AB9-X9)/X9)</f>
        <v>2.6599002343250727E-2</v>
      </c>
      <c r="AB9" s="2">
        <f>ROUND(X9*(+LEFT(AC9,5)+1),0)</f>
        <v>462643</v>
      </c>
      <c r="AC9" s="105" t="s">
        <v>285</v>
      </c>
    </row>
    <row r="10" spans="1:29" x14ac:dyDescent="0.25">
      <c r="C10" s="857" t="s">
        <v>51</v>
      </c>
      <c r="D10" s="2">
        <v>0</v>
      </c>
      <c r="E10" s="928"/>
      <c r="G10" s="83" t="str">
        <f t="shared" ref="G10:G15" si="0">IF(D10=0,"0.00%",(H10-D10)/D10)</f>
        <v>0.00%</v>
      </c>
      <c r="H10" s="3">
        <v>0</v>
      </c>
      <c r="J10" s="61"/>
      <c r="K10" s="83">
        <v>2.3999216991289027E-2</v>
      </c>
      <c r="L10" s="3">
        <v>0</v>
      </c>
      <c r="O10" s="83">
        <v>2.5299543966745892E-2</v>
      </c>
      <c r="P10" s="3">
        <v>0</v>
      </c>
      <c r="S10" s="83"/>
      <c r="T10" s="3">
        <v>0</v>
      </c>
      <c r="W10" s="83"/>
      <c r="X10" s="3">
        <v>0</v>
      </c>
      <c r="AA10" s="83"/>
      <c r="AB10" s="3">
        <v>0</v>
      </c>
    </row>
    <row r="11" spans="1:29" x14ac:dyDescent="0.25">
      <c r="B11" s="936" t="s">
        <v>137</v>
      </c>
      <c r="D11" s="8">
        <f>SUM(D9:D10)</f>
        <v>393579.91</v>
      </c>
      <c r="E11" s="928"/>
      <c r="G11" s="83">
        <f t="shared" si="0"/>
        <v>3.9163813010679401E-2</v>
      </c>
      <c r="H11" s="8">
        <f>SUM(H9:H10)</f>
        <v>408994</v>
      </c>
      <c r="I11" s="1292">
        <f>+H11-D11</f>
        <v>15414.090000000026</v>
      </c>
      <c r="J11" s="62"/>
      <c r="K11" s="83">
        <f>IF(H11=0,"0.00%",(L11-H11)/H11)</f>
        <v>2.1499092896228308E-2</v>
      </c>
      <c r="L11" s="8">
        <f>SUM(L9:L10)</f>
        <v>417787</v>
      </c>
      <c r="M11" s="1292">
        <f>+L11-H11</f>
        <v>8793</v>
      </c>
      <c r="O11" s="83">
        <f>IF(L11=0,"0.00%",(P11-L11)/L11)</f>
        <v>2.3500013164603015E-2</v>
      </c>
      <c r="P11" s="8">
        <f>SUM(P9:P10)</f>
        <v>427605</v>
      </c>
      <c r="Q11" s="1292">
        <f>+P11-L11</f>
        <v>9818</v>
      </c>
      <c r="S11" s="83">
        <f>IF(P11=0,"0.00%",(T11-P11)/P11)</f>
        <v>2.6599314788180679E-2</v>
      </c>
      <c r="T11" s="78">
        <f>SUM(T9:T10)</f>
        <v>438979</v>
      </c>
      <c r="U11" s="105"/>
      <c r="W11" s="83">
        <f>IF(T11=0,"0.00%",(X11-T11)/T11)</f>
        <v>2.6600361292909228E-2</v>
      </c>
      <c r="X11" s="78">
        <f>SUM(X9:X10)</f>
        <v>450656</v>
      </c>
      <c r="Y11" s="105"/>
      <c r="AA11" s="83">
        <f>IF(X11=0,"0.00%",(AB11-X11)/X11)</f>
        <v>2.6599002343250727E-2</v>
      </c>
      <c r="AB11" s="78">
        <f>SUM(AB9:AB10)</f>
        <v>462643</v>
      </c>
      <c r="AC11" s="105"/>
    </row>
    <row r="12" spans="1:29" x14ac:dyDescent="0.25">
      <c r="E12" s="928"/>
      <c r="H12" s="3"/>
      <c r="I12" s="928"/>
      <c r="J12" s="63"/>
      <c r="K12" s="52"/>
      <c r="L12" s="3"/>
      <c r="M12" s="928"/>
      <c r="O12" s="52"/>
      <c r="P12" s="3"/>
      <c r="Q12" s="928"/>
      <c r="S12" s="46"/>
      <c r="T12" s="44"/>
      <c r="U12" s="105"/>
      <c r="W12" s="46"/>
      <c r="X12" s="44"/>
      <c r="Y12" s="105"/>
      <c r="AA12" s="46"/>
      <c r="AB12" s="44"/>
      <c r="AC12" s="105"/>
    </row>
    <row r="13" spans="1:29" x14ac:dyDescent="0.25">
      <c r="B13" s="937"/>
      <c r="C13" s="938" t="s">
        <v>64</v>
      </c>
      <c r="D13" s="9">
        <f>ROUND(D11-(D11/(1+B13)),0)</f>
        <v>0</v>
      </c>
      <c r="E13" s="928"/>
      <c r="G13" s="83" t="str">
        <f t="shared" si="0"/>
        <v>0.00%</v>
      </c>
      <c r="H13" s="9">
        <f>ROUND(H11-(H11/(1+B13)),0)</f>
        <v>0</v>
      </c>
      <c r="I13" s="928"/>
      <c r="J13" s="64"/>
      <c r="K13" s="83" t="str">
        <f>IF(H13=0,"0.00%",(L13-H13)/H13)</f>
        <v>0.00%</v>
      </c>
      <c r="L13" s="9">
        <f>ROUND(L11-(L11/(1+B13)),0)</f>
        <v>0</v>
      </c>
      <c r="M13" s="928"/>
      <c r="O13" s="83" t="str">
        <f>IF(L13=0,"0.00%",(P13-L13)/L13)</f>
        <v>0.00%</v>
      </c>
      <c r="P13" s="9">
        <f>ROUND(P11-(P11/(1+B13)),0)</f>
        <v>0</v>
      </c>
      <c r="Q13" s="928"/>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928"/>
      <c r="H14" s="3"/>
      <c r="I14" s="928"/>
      <c r="J14" s="63"/>
      <c r="K14" s="52"/>
      <c r="L14" s="3"/>
      <c r="M14" s="928"/>
      <c r="O14" s="52"/>
      <c r="P14" s="3"/>
      <c r="Q14" s="928"/>
      <c r="S14" s="46"/>
      <c r="T14" s="44"/>
      <c r="U14" s="105"/>
      <c r="W14" s="46"/>
      <c r="X14" s="44"/>
      <c r="Y14" s="105"/>
      <c r="AA14" s="46"/>
      <c r="AB14" s="44"/>
      <c r="AC14" s="105"/>
    </row>
    <row r="15" spans="1:29" x14ac:dyDescent="0.25">
      <c r="B15" s="936" t="s">
        <v>50</v>
      </c>
      <c r="D15" s="10">
        <f>+D11+D7-D13</f>
        <v>2019685.99</v>
      </c>
      <c r="E15" s="928"/>
      <c r="G15" s="83">
        <f t="shared" si="0"/>
        <v>-0.11439904081327014</v>
      </c>
      <c r="H15" s="10">
        <f>+H11+H7-H13</f>
        <v>1788635.85</v>
      </c>
      <c r="I15" s="928"/>
      <c r="J15" s="62"/>
      <c r="K15" s="83">
        <f>IF(H15=0,"0.00%",(L15-H15)/H15)</f>
        <v>-0.66813655781303949</v>
      </c>
      <c r="L15" s="10">
        <f>+L11+L7-L13</f>
        <v>593582.85000000009</v>
      </c>
      <c r="M15" s="928"/>
      <c r="O15" s="83">
        <f>IF(L15=0,"0.00%",(P15-L15)/L15)</f>
        <v>1.6540235284762689E-2</v>
      </c>
      <c r="P15" s="10">
        <f>+P11+P7-P13</f>
        <v>603400.85000000009</v>
      </c>
      <c r="Q15" s="928"/>
      <c r="S15" s="83">
        <f>IF(P15=0,"0.00%",(T15-P15)/P15)</f>
        <v>-0.27249190981418087</v>
      </c>
      <c r="T15" s="19">
        <f>T11-T13</f>
        <v>438979</v>
      </c>
      <c r="U15" s="105"/>
      <c r="W15" s="83">
        <f>IF(T15=0,"0.00%",(X15-T15)/T15)</f>
        <v>2.6600361292909228E-2</v>
      </c>
      <c r="X15" s="19">
        <f>X11-X13</f>
        <v>450656</v>
      </c>
      <c r="Y15" s="105"/>
      <c r="AA15" s="83">
        <f>IF(X15=0,"0.00%",(AB15-X15)/X15)</f>
        <v>2.6599002343250727E-2</v>
      </c>
      <c r="AB15" s="19">
        <f>AB11-AB13</f>
        <v>462643</v>
      </c>
      <c r="AC15" s="105"/>
    </row>
    <row r="16" spans="1:29" x14ac:dyDescent="0.25">
      <c r="E16" s="928"/>
      <c r="H16" s="3"/>
      <c r="I16" s="928"/>
      <c r="J16" s="62"/>
      <c r="L16" s="3"/>
      <c r="M16" s="928"/>
      <c r="P16" s="3"/>
      <c r="Q16" s="928"/>
      <c r="T16" s="49"/>
      <c r="U16" s="105"/>
      <c r="X16" s="49"/>
      <c r="Y16" s="105"/>
      <c r="AB16" s="49"/>
      <c r="AC16" s="105"/>
    </row>
    <row r="17" spans="1:29" x14ac:dyDescent="0.25">
      <c r="C17" s="930"/>
      <c r="E17" s="928"/>
      <c r="H17" s="3"/>
      <c r="I17" s="928"/>
      <c r="J17" s="63"/>
      <c r="L17" s="3"/>
      <c r="M17" s="928"/>
      <c r="P17" s="3"/>
      <c r="Q17" s="928"/>
      <c r="T17" s="44"/>
      <c r="U17" s="105"/>
      <c r="X17" s="44"/>
      <c r="Y17" s="105"/>
      <c r="AB17" s="44"/>
      <c r="AC17" s="105"/>
    </row>
    <row r="18" spans="1:29" x14ac:dyDescent="0.25">
      <c r="A18" s="148"/>
      <c r="D18" s="29" t="s">
        <v>826</v>
      </c>
      <c r="E18" s="929"/>
      <c r="F18" s="32"/>
      <c r="H18" s="29" t="s">
        <v>177</v>
      </c>
      <c r="I18" s="929"/>
      <c r="J18" s="65"/>
      <c r="M18" s="929"/>
      <c r="Q18" s="929"/>
      <c r="U18" s="106"/>
      <c r="Y18" s="106"/>
      <c r="AC18" s="106"/>
    </row>
    <row r="19" spans="1:29" ht="17.25" x14ac:dyDescent="0.4">
      <c r="A19" s="149"/>
      <c r="D19" s="35" t="s">
        <v>827</v>
      </c>
      <c r="E19" s="860"/>
      <c r="F19" s="34"/>
      <c r="H19" s="35" t="s">
        <v>48</v>
      </c>
      <c r="I19" s="870"/>
      <c r="J19" s="29"/>
      <c r="L19" s="14" t="s">
        <v>48</v>
      </c>
      <c r="M19" s="870"/>
      <c r="P19" s="14" t="s">
        <v>48</v>
      </c>
      <c r="Q19" s="870"/>
      <c r="T19" s="14" t="s">
        <v>48</v>
      </c>
      <c r="U19" s="104">
        <v>0.02</v>
      </c>
      <c r="X19" s="14" t="s">
        <v>48</v>
      </c>
      <c r="Y19" s="104">
        <v>0.02</v>
      </c>
      <c r="AB19" s="14" t="s">
        <v>48</v>
      </c>
      <c r="AC19" s="104">
        <v>0.02</v>
      </c>
    </row>
    <row r="20" spans="1:29" s="13" customFormat="1" hidden="1" x14ac:dyDescent="0.25">
      <c r="A20" s="150"/>
      <c r="B20" s="936" t="s">
        <v>46</v>
      </c>
      <c r="C20" s="938"/>
      <c r="D20" s="10"/>
      <c r="E20" s="861"/>
      <c r="F20" s="10"/>
      <c r="G20" s="372"/>
      <c r="H20" s="10"/>
      <c r="I20" s="864"/>
      <c r="J20" s="57"/>
      <c r="K20" s="379"/>
      <c r="L20" s="10"/>
      <c r="M20" s="947"/>
      <c r="O20" s="379"/>
      <c r="P20" s="10"/>
      <c r="Q20" s="947"/>
      <c r="R20" s="111"/>
      <c r="T20" s="10"/>
      <c r="U20" s="74"/>
      <c r="X20" s="10"/>
      <c r="Y20" s="74"/>
      <c r="AB20" s="10"/>
      <c r="AC20" s="74"/>
    </row>
    <row r="21" spans="1:29" hidden="1" x14ac:dyDescent="0.25">
      <c r="A21" s="151"/>
      <c r="B21" s="939"/>
      <c r="D21" s="2">
        <v>0</v>
      </c>
      <c r="E21" s="863"/>
      <c r="F21" s="2"/>
      <c r="G21" s="83" t="str">
        <f t="shared" ref="G21:G30" si="1">IF(D21=0,"0.00%",(H21-D21)/D21)</f>
        <v>0.00%</v>
      </c>
      <c r="H21" s="2">
        <f t="shared" ref="H21:H27" si="2">ROUND(D21*(1+$I$19),0)</f>
        <v>0</v>
      </c>
      <c r="I21" s="854" t="str">
        <f t="shared" ref="I21:I28" si="3">TEXT($I$19,"0.0%")&amp;" = Est. S &amp; C"</f>
        <v>0.0% = Est. S &amp; C</v>
      </c>
      <c r="J21" s="66"/>
      <c r="K21" s="83" t="str">
        <f t="shared" ref="K21:K27" si="4">IF(H21=0,"0.00%",(L21-H21)/H21)</f>
        <v>0.00%</v>
      </c>
      <c r="L21" s="2">
        <f>ROUND(H21*(1+M19),0)</f>
        <v>0</v>
      </c>
      <c r="M21" s="871" t="str">
        <f>TEXT(M19,"0.0%")&amp;" = Est. S &amp; C"</f>
        <v>0.0% = Est. S &amp; C</v>
      </c>
      <c r="O21" s="83" t="str">
        <f t="shared" ref="O21:O27" si="5">IF(L21=0,"0.00%",(P21-L21)/L21)</f>
        <v>0.00%</v>
      </c>
      <c r="P21" s="2">
        <f>ROUND(L21*(1+Q19),0)</f>
        <v>0</v>
      </c>
      <c r="Q21" s="871" t="str">
        <f>TEXT(Q19,"0.0%")&amp;" = Est. S &amp; C"</f>
        <v>0.0%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2"/>
      <c r="B22" s="939"/>
      <c r="D22" s="2">
        <v>0</v>
      </c>
      <c r="E22" s="863"/>
      <c r="F22" s="2"/>
      <c r="G22" s="83" t="str">
        <f t="shared" si="1"/>
        <v>0.00%</v>
      </c>
      <c r="H22" s="2">
        <f t="shared" si="2"/>
        <v>0</v>
      </c>
      <c r="I22" s="871" t="str">
        <f t="shared" si="3"/>
        <v>0.0% = Est. S &amp; C</v>
      </c>
      <c r="J22" s="66"/>
      <c r="K22" s="83" t="str">
        <f t="shared" si="4"/>
        <v>0.00%</v>
      </c>
      <c r="L22" s="2">
        <f>ROUND(H22*(1+M19),0)</f>
        <v>0</v>
      </c>
      <c r="M22" s="871" t="str">
        <f>TEXT(M19,"0.0%")&amp;" = Est. S &amp; C"</f>
        <v>0.0% = Est. S &amp; C</v>
      </c>
      <c r="O22" s="83" t="str">
        <f t="shared" si="5"/>
        <v>0.00%</v>
      </c>
      <c r="P22" s="2">
        <f>ROUND(L22*(1+Q19),0)</f>
        <v>0</v>
      </c>
      <c r="Q22" s="871" t="str">
        <f>TEXT(Q19,"0.0%")&amp;" = Est. S &amp; C"</f>
        <v>0.0%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2"/>
      <c r="B23" s="939"/>
      <c r="D23" s="2">
        <v>0</v>
      </c>
      <c r="E23" s="863"/>
      <c r="F23" s="2"/>
      <c r="G23" s="83" t="str">
        <f t="shared" si="1"/>
        <v>0.00%</v>
      </c>
      <c r="H23" s="2">
        <f t="shared" si="2"/>
        <v>0</v>
      </c>
      <c r="I23" s="871" t="str">
        <f t="shared" si="3"/>
        <v>0.0% = Est. S &amp; C</v>
      </c>
      <c r="J23" s="66"/>
      <c r="K23" s="83" t="str">
        <f t="shared" si="4"/>
        <v>0.00%</v>
      </c>
      <c r="L23" s="2">
        <f>ROUND(H23*(1+M19),0)</f>
        <v>0</v>
      </c>
      <c r="M23" s="871" t="str">
        <f>TEXT(M19,"0.0%")&amp;" = Est. S &amp; C"</f>
        <v>0.0% = Est. S &amp; C</v>
      </c>
      <c r="O23" s="83" t="str">
        <f t="shared" si="5"/>
        <v>0.00%</v>
      </c>
      <c r="P23" s="2">
        <f>ROUND(L23*(1+Q19),0)</f>
        <v>0</v>
      </c>
      <c r="Q23" s="871" t="str">
        <f>TEXT(Q19,"0.0%")&amp;" = Est. S &amp; C"</f>
        <v>0.0%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2"/>
      <c r="B24" s="939"/>
      <c r="D24" s="2">
        <v>0</v>
      </c>
      <c r="E24" s="863"/>
      <c r="F24" s="2"/>
      <c r="G24" s="83" t="str">
        <f t="shared" si="1"/>
        <v>0.00%</v>
      </c>
      <c r="H24" s="2">
        <f t="shared" si="2"/>
        <v>0</v>
      </c>
      <c r="I24" s="871" t="str">
        <f t="shared" si="3"/>
        <v>0.0% = Est. S &amp; C</v>
      </c>
      <c r="J24" s="66"/>
      <c r="K24" s="83" t="str">
        <f t="shared" si="4"/>
        <v>0.00%</v>
      </c>
      <c r="L24" s="2">
        <f>ROUND(H24*(1+M19),0)</f>
        <v>0</v>
      </c>
      <c r="M24" s="871" t="str">
        <f>TEXT(M19,"0.0%")&amp;" = Est. S &amp; C"</f>
        <v>0.0% = Est. S &amp; C</v>
      </c>
      <c r="O24" s="83" t="str">
        <f t="shared" si="5"/>
        <v>0.00%</v>
      </c>
      <c r="P24" s="2">
        <f>ROUND(L24*(1+Q19),0)</f>
        <v>0</v>
      </c>
      <c r="Q24" s="871" t="str">
        <f>TEXT(Q19,"0.0%")&amp;" = Est. S &amp; C"</f>
        <v>0.0%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2"/>
      <c r="B25" s="939"/>
      <c r="D25" s="2">
        <v>0</v>
      </c>
      <c r="E25" s="863"/>
      <c r="F25" s="2"/>
      <c r="G25" s="83" t="str">
        <f t="shared" si="1"/>
        <v>0.00%</v>
      </c>
      <c r="H25" s="2">
        <f t="shared" si="2"/>
        <v>0</v>
      </c>
      <c r="I25" s="871" t="str">
        <f t="shared" si="3"/>
        <v>0.0% = Est. S &amp; C</v>
      </c>
      <c r="J25" s="66"/>
      <c r="K25" s="83" t="str">
        <f t="shared" si="4"/>
        <v>0.00%</v>
      </c>
      <c r="L25" s="2">
        <f>ROUND(H25*(1+M19),0)</f>
        <v>0</v>
      </c>
      <c r="M25" s="871" t="str">
        <f>TEXT(M19,"0.0%")&amp;" = Est. S &amp; C"</f>
        <v>0.0% = Est. S &amp; C</v>
      </c>
      <c r="O25" s="83" t="str">
        <f t="shared" si="5"/>
        <v>0.00%</v>
      </c>
      <c r="P25" s="2">
        <f>ROUND(L25*(1+Q19),0)</f>
        <v>0</v>
      </c>
      <c r="Q25" s="871" t="str">
        <f>TEXT(Q19,"0.0%")&amp;" = Est. S &amp; C"</f>
        <v>0.0%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2"/>
      <c r="B26" s="939"/>
      <c r="D26" s="2">
        <v>0</v>
      </c>
      <c r="E26" s="863"/>
      <c r="F26" s="2"/>
      <c r="G26" s="83" t="str">
        <f t="shared" si="1"/>
        <v>0.00%</v>
      </c>
      <c r="H26" s="2">
        <f t="shared" si="2"/>
        <v>0</v>
      </c>
      <c r="I26" s="871" t="str">
        <f t="shared" si="3"/>
        <v>0.0% = Est. S &amp; C</v>
      </c>
      <c r="J26" s="66"/>
      <c r="K26" s="83" t="str">
        <f t="shared" si="4"/>
        <v>0.00%</v>
      </c>
      <c r="L26" s="2">
        <f>ROUND(H26*(1+M19),0)</f>
        <v>0</v>
      </c>
      <c r="M26" s="382" t="str">
        <f>TEXT(M19,"0.0%")&amp;" = Est. S &amp; C"</f>
        <v>0.0% = Est. S &amp; C</v>
      </c>
      <c r="O26" s="83" t="str">
        <f t="shared" si="5"/>
        <v>0.00%</v>
      </c>
      <c r="P26" s="2">
        <f>ROUND(L26*(1+Q19),0)</f>
        <v>0</v>
      </c>
      <c r="Q26" s="871" t="str">
        <f>TEXT(Q19,"0.0%")&amp;" = Est. S &amp; C"</f>
        <v>0.0%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2"/>
      <c r="B27" s="939"/>
      <c r="D27" s="2">
        <v>0</v>
      </c>
      <c r="E27" s="863"/>
      <c r="F27" s="2"/>
      <c r="G27" s="83" t="str">
        <f t="shared" si="1"/>
        <v>0.00%</v>
      </c>
      <c r="H27" s="2">
        <f t="shared" si="2"/>
        <v>0</v>
      </c>
      <c r="I27" s="871" t="str">
        <f t="shared" si="3"/>
        <v>0.0% = Est. S &amp; C</v>
      </c>
      <c r="J27" s="66"/>
      <c r="K27" s="83" t="str">
        <f t="shared" si="4"/>
        <v>0.00%</v>
      </c>
      <c r="L27" s="2">
        <f>ROUND(H27*(1+M19),0)</f>
        <v>0</v>
      </c>
      <c r="M27" s="871" t="str">
        <f>TEXT(M19,"0.0%")&amp;" = Est. S &amp; C"</f>
        <v>0.0% = Est. S &amp; C</v>
      </c>
      <c r="O27" s="83" t="str">
        <f t="shared" si="5"/>
        <v>0.00%</v>
      </c>
      <c r="P27" s="2">
        <f>ROUND(L27*(1+Q19),0)</f>
        <v>0</v>
      </c>
      <c r="Q27" s="871" t="str">
        <f>TEXT(Q19,"0.0%")&amp;" = Est. S &amp; C"</f>
        <v>0.0%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2"/>
      <c r="B28" s="939"/>
      <c r="D28" s="2">
        <v>0</v>
      </c>
      <c r="E28" s="863"/>
      <c r="F28" s="2"/>
      <c r="G28" s="83" t="str">
        <f>IF(D28=0,"0.00%",(H28-D28)/D28)</f>
        <v>0.00%</v>
      </c>
      <c r="H28" s="2">
        <f>ROUND(D28*(1+$I$19),0)</f>
        <v>0</v>
      </c>
      <c r="I28" s="871" t="str">
        <f t="shared" si="3"/>
        <v>0.0% = Est. S &amp; C</v>
      </c>
      <c r="J28" s="66"/>
      <c r="K28" s="83" t="str">
        <f>IF(H28=0,"0.00%",(L28-H28)/H28)</f>
        <v>0.00%</v>
      </c>
      <c r="L28" s="2">
        <f>ROUND(H28*(1+M20),0)</f>
        <v>0</v>
      </c>
      <c r="M28" s="871" t="str">
        <f>TEXT(M20,"0.0%")&amp;" = Est. S &amp; C"</f>
        <v>0.0% = Est. S &amp; C</v>
      </c>
      <c r="O28" s="83" t="str">
        <f>IF(L28=0,"0.00%",(P28-L28)/L28)</f>
        <v>0.00%</v>
      </c>
      <c r="P28" s="2">
        <f>ROUND(L28*(1+Q20),0)</f>
        <v>0</v>
      </c>
      <c r="Q28" s="871"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939"/>
      <c r="E29" s="863"/>
      <c r="F29" s="2"/>
      <c r="G29" s="83"/>
      <c r="H29" s="2"/>
      <c r="I29" s="871"/>
      <c r="J29" s="66"/>
      <c r="L29" s="2"/>
      <c r="M29" s="948"/>
      <c r="Q29" s="948"/>
      <c r="T29" s="2"/>
      <c r="U29" s="73"/>
      <c r="X29" s="2"/>
      <c r="Y29" s="73"/>
      <c r="AB29" s="2"/>
      <c r="AC29" s="73"/>
    </row>
    <row r="30" spans="1:29" hidden="1" x14ac:dyDescent="0.25">
      <c r="A30" s="153"/>
      <c r="B30" s="939"/>
      <c r="D30" s="8">
        <f>SUM(D21:D29)</f>
        <v>0</v>
      </c>
      <c r="E30" s="863"/>
      <c r="F30" s="2"/>
      <c r="G30" s="83" t="str">
        <f t="shared" si="1"/>
        <v>0.00%</v>
      </c>
      <c r="H30" s="8">
        <f>SUM(H21:H29)</f>
        <v>0</v>
      </c>
      <c r="I30" s="872"/>
      <c r="J30" s="29"/>
      <c r="K30" s="83" t="str">
        <f>IF(H30=0,"0.00%",(L30-H30)/H30)</f>
        <v>0.00%</v>
      </c>
      <c r="L30" s="8">
        <f>SUM(L21:L29)</f>
        <v>0</v>
      </c>
      <c r="M30" s="948"/>
      <c r="O30" s="83" t="str">
        <f>IF(L30=0,"0.00%",(P30-L30)/L30)</f>
        <v>0.00%</v>
      </c>
      <c r="P30" s="8">
        <f>SUM(P21:P29)</f>
        <v>0</v>
      </c>
      <c r="Q30" s="948"/>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2"/>
      <c r="E31" s="863"/>
      <c r="F31" s="2"/>
      <c r="H31" s="2"/>
      <c r="I31" s="854"/>
      <c r="J31" s="66"/>
      <c r="L31" s="2"/>
      <c r="M31" s="949"/>
      <c r="Q31" s="949"/>
      <c r="T31" s="2"/>
      <c r="U31" s="73"/>
      <c r="X31" s="2"/>
      <c r="Y31" s="73"/>
      <c r="AB31" s="2"/>
      <c r="AC31" s="73"/>
    </row>
    <row r="32" spans="1:29" s="4" customFormat="1" hidden="1" x14ac:dyDescent="0.25">
      <c r="A32" s="150"/>
      <c r="B32" s="940" t="s">
        <v>35</v>
      </c>
      <c r="C32" s="873"/>
      <c r="D32" s="6"/>
      <c r="E32" s="864"/>
      <c r="F32" s="6"/>
      <c r="G32" s="373"/>
      <c r="H32" s="6"/>
      <c r="I32" s="864"/>
      <c r="J32" s="57"/>
      <c r="K32" s="380"/>
      <c r="L32" s="6"/>
      <c r="M32" s="950"/>
      <c r="O32" s="380"/>
      <c r="P32" s="6"/>
      <c r="Q32" s="950"/>
      <c r="R32" s="111"/>
      <c r="T32" s="6"/>
      <c r="U32" s="71"/>
      <c r="X32" s="6"/>
      <c r="Y32" s="71"/>
      <c r="AB32" s="6"/>
      <c r="AC32" s="71"/>
    </row>
    <row r="33" spans="1:29" hidden="1" x14ac:dyDescent="0.25">
      <c r="A33" s="152"/>
      <c r="B33" s="939"/>
      <c r="D33" s="2">
        <v>0</v>
      </c>
      <c r="E33" s="863"/>
      <c r="F33" s="2"/>
      <c r="G33" s="83" t="str">
        <f t="shared" ref="G33:G39" si="9">IF(D33=0,"0.00%",(H33-D33)/D33)</f>
        <v>0.00%</v>
      </c>
      <c r="H33" s="2">
        <f t="shared" ref="H33:H39" si="10">ROUND(D33*(1+$I$19),0)</f>
        <v>0</v>
      </c>
      <c r="I33" s="871" t="str">
        <f t="shared" ref="I33:I39" si="11">TEXT($I$19,"0.0%")&amp;" = Est. S &amp; C"</f>
        <v>0.0% = Est. S &amp; C</v>
      </c>
      <c r="J33" s="66"/>
      <c r="K33" s="83" t="str">
        <f t="shared" ref="K33:K39" si="12">IF(H33=0,"0.00%",(L33-H33)/H33)</f>
        <v>0.00%</v>
      </c>
      <c r="L33" s="2">
        <f>ROUND(H33*(1+M19),0)</f>
        <v>0</v>
      </c>
      <c r="M33" s="871" t="str">
        <f>TEXT(M19,"0.0%")&amp;" = Est. S &amp; C"</f>
        <v>0.0% = Est. S &amp; C</v>
      </c>
      <c r="O33" s="83" t="str">
        <f t="shared" ref="O33:O39" si="13">IF(L33=0,"0.00%",(P33-L33)/L33)</f>
        <v>0.00%</v>
      </c>
      <c r="P33" s="2">
        <f>ROUND(L33*(1+Q19),0)</f>
        <v>0</v>
      </c>
      <c r="Q33" s="871" t="str">
        <f>TEXT(Q19,"0.0%")&amp;" = Est. S &amp; C"</f>
        <v>0.0%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2"/>
      <c r="B34" s="939"/>
      <c r="D34" s="2">
        <v>0</v>
      </c>
      <c r="E34" s="863"/>
      <c r="F34" s="2"/>
      <c r="G34" s="83" t="str">
        <f t="shared" si="9"/>
        <v>0.00%</v>
      </c>
      <c r="H34" s="2">
        <f t="shared" si="10"/>
        <v>0</v>
      </c>
      <c r="I34" s="871" t="str">
        <f t="shared" si="11"/>
        <v>0.0% = Est. S &amp; C</v>
      </c>
      <c r="J34" s="66"/>
      <c r="K34" s="83" t="str">
        <f t="shared" si="12"/>
        <v>0.00%</v>
      </c>
      <c r="L34" s="2">
        <f>ROUND(H34*(1+M19),0)</f>
        <v>0</v>
      </c>
      <c r="M34" s="871" t="str">
        <f>TEXT(M19,"0.0%")&amp;" = Est. S &amp; C"</f>
        <v>0.0% = Est. S &amp; C</v>
      </c>
      <c r="O34" s="83" t="str">
        <f t="shared" si="13"/>
        <v>0.00%</v>
      </c>
      <c r="P34" s="2">
        <f>ROUND(L34*(1+Q19),0)</f>
        <v>0</v>
      </c>
      <c r="Q34" s="871" t="str">
        <f>TEXT(Q19,"0.0%")&amp;" = Est. S &amp; C"</f>
        <v>0.0%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2"/>
      <c r="B35" s="939"/>
      <c r="D35" s="2">
        <v>0</v>
      </c>
      <c r="E35" s="863"/>
      <c r="F35" s="2"/>
      <c r="G35" s="83" t="str">
        <f t="shared" si="9"/>
        <v>0.00%</v>
      </c>
      <c r="H35" s="2">
        <f t="shared" si="10"/>
        <v>0</v>
      </c>
      <c r="I35" s="871" t="str">
        <f t="shared" si="11"/>
        <v>0.0% = Est. S &amp; C</v>
      </c>
      <c r="J35" s="66"/>
      <c r="K35" s="83" t="str">
        <f t="shared" si="12"/>
        <v>0.00%</v>
      </c>
      <c r="L35" s="2">
        <f>ROUND(H35*(1+M19),0)</f>
        <v>0</v>
      </c>
      <c r="M35" s="871" t="str">
        <f>TEXT(M19,"0.0%")&amp;" = Est. S &amp; C"</f>
        <v>0.0% = Est. S &amp; C</v>
      </c>
      <c r="O35" s="83" t="str">
        <f t="shared" si="13"/>
        <v>0.00%</v>
      </c>
      <c r="P35" s="2">
        <f>ROUND(L35*(1+Q19),0)</f>
        <v>0</v>
      </c>
      <c r="Q35" s="871" t="str">
        <f>TEXT(Q19,"0.0%")&amp;" = Est. S &amp; C"</f>
        <v>0.0%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2"/>
      <c r="B36" s="939"/>
      <c r="D36" s="2">
        <v>0</v>
      </c>
      <c r="E36" s="863"/>
      <c r="F36" s="2"/>
      <c r="G36" s="83" t="str">
        <f t="shared" si="9"/>
        <v>0.00%</v>
      </c>
      <c r="H36" s="2">
        <f t="shared" si="10"/>
        <v>0</v>
      </c>
      <c r="I36" s="871" t="str">
        <f t="shared" si="11"/>
        <v>0.0% = Est. S &amp; C</v>
      </c>
      <c r="J36" s="66"/>
      <c r="K36" s="83" t="str">
        <f t="shared" si="12"/>
        <v>0.00%</v>
      </c>
      <c r="L36" s="2">
        <f>ROUND(H36*(1+M19),0)</f>
        <v>0</v>
      </c>
      <c r="M36" s="871" t="str">
        <f>TEXT(M19,"0.0%")&amp;" = Est. S &amp; C"</f>
        <v>0.0% = Est. S &amp; C</v>
      </c>
      <c r="O36" s="83" t="str">
        <f t="shared" si="13"/>
        <v>0.00%</v>
      </c>
      <c r="P36" s="2">
        <f>ROUND(L36*(1+Q19),0)</f>
        <v>0</v>
      </c>
      <c r="Q36" s="871" t="str">
        <f>TEXT(Q19,"0.0%")&amp;" = Est. S &amp; C"</f>
        <v>0.0%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2"/>
      <c r="B37" s="939"/>
      <c r="D37" s="2">
        <v>0</v>
      </c>
      <c r="E37" s="863"/>
      <c r="F37" s="2"/>
      <c r="G37" s="83" t="str">
        <f t="shared" si="9"/>
        <v>0.00%</v>
      </c>
      <c r="H37" s="2">
        <f t="shared" si="10"/>
        <v>0</v>
      </c>
      <c r="I37" s="871" t="str">
        <f t="shared" si="11"/>
        <v>0.0% = Est. S &amp; C</v>
      </c>
      <c r="J37" s="66"/>
      <c r="K37" s="83" t="str">
        <f t="shared" si="12"/>
        <v>0.00%</v>
      </c>
      <c r="L37" s="2">
        <f>ROUND(H37*(1+M19),0)</f>
        <v>0</v>
      </c>
      <c r="M37" s="871" t="str">
        <f>TEXT(M19,"0.0%")&amp;" = Est. S &amp; C"</f>
        <v>0.0% = Est. S &amp; C</v>
      </c>
      <c r="O37" s="83" t="str">
        <f t="shared" si="13"/>
        <v>0.00%</v>
      </c>
      <c r="P37" s="2">
        <f>ROUND(L37*(1+Q19),0)</f>
        <v>0</v>
      </c>
      <c r="Q37" s="871" t="str">
        <f>TEXT(Q19,"0.0%")&amp;" = Est. S &amp; C"</f>
        <v>0.0%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2"/>
      <c r="B38" s="939"/>
      <c r="D38" s="2">
        <v>0</v>
      </c>
      <c r="E38" s="863"/>
      <c r="F38" s="2"/>
      <c r="G38" s="83" t="str">
        <f t="shared" si="9"/>
        <v>0.00%</v>
      </c>
      <c r="H38" s="2">
        <f t="shared" si="10"/>
        <v>0</v>
      </c>
      <c r="I38" s="871" t="str">
        <f t="shared" si="11"/>
        <v>0.0% = Est. S &amp; C</v>
      </c>
      <c r="J38" s="66"/>
      <c r="K38" s="83" t="str">
        <f t="shared" si="12"/>
        <v>0.00%</v>
      </c>
      <c r="L38" s="2">
        <f>ROUND(H38*(1+M19),0)</f>
        <v>0</v>
      </c>
      <c r="M38" s="871" t="str">
        <f>TEXT(M19,"0.0%")&amp;" = Est. S &amp; C"</f>
        <v>0.0% = Est. S &amp; C</v>
      </c>
      <c r="O38" s="83" t="str">
        <f t="shared" si="13"/>
        <v>0.00%</v>
      </c>
      <c r="P38" s="2">
        <f>ROUND(L38*(1+Q19),0)</f>
        <v>0</v>
      </c>
      <c r="Q38" s="871" t="str">
        <f>TEXT(Q19,"0.0%")&amp;" = Est. S &amp; C"</f>
        <v>0.0%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2"/>
      <c r="B39" s="939"/>
      <c r="D39" s="2">
        <v>0</v>
      </c>
      <c r="E39" s="863"/>
      <c r="F39" s="2"/>
      <c r="G39" s="83" t="str">
        <f t="shared" si="9"/>
        <v>0.00%</v>
      </c>
      <c r="H39" s="2">
        <f t="shared" si="10"/>
        <v>0</v>
      </c>
      <c r="I39" s="871" t="str">
        <f t="shared" si="11"/>
        <v>0.0% = Est. S &amp; C</v>
      </c>
      <c r="J39" s="66"/>
      <c r="K39" s="83" t="str">
        <f t="shared" si="12"/>
        <v>0.00%</v>
      </c>
      <c r="L39" s="2">
        <f>ROUND(H39*(1+M19),0)</f>
        <v>0</v>
      </c>
      <c r="M39" s="871" t="str">
        <f>TEXT(M19,"0.0%")&amp;" = Est. S &amp; C"</f>
        <v>0.0% = Est. S &amp; C</v>
      </c>
      <c r="O39" s="83" t="str">
        <f t="shared" si="13"/>
        <v>0.00%</v>
      </c>
      <c r="P39" s="2">
        <f>ROUND(L39*(1+Q19),0)</f>
        <v>0</v>
      </c>
      <c r="Q39" s="871" t="str">
        <f>TEXT(Q19,"0.0%")&amp;" = Est. S &amp; C"</f>
        <v>0.0%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2"/>
      <c r="B40" s="939"/>
      <c r="E40" s="863"/>
      <c r="F40" s="2"/>
      <c r="H40" s="2"/>
      <c r="I40" s="871"/>
      <c r="J40" s="66"/>
      <c r="L40" s="2"/>
      <c r="M40" s="948"/>
      <c r="Q40" s="948"/>
      <c r="T40" s="2"/>
      <c r="U40" s="73"/>
      <c r="X40" s="2"/>
      <c r="Y40" s="73"/>
      <c r="AB40" s="2"/>
      <c r="AC40" s="73"/>
    </row>
    <row r="41" spans="1:29" hidden="1" x14ac:dyDescent="0.25">
      <c r="A41" s="153"/>
      <c r="B41" s="939"/>
      <c r="D41" s="8">
        <f>SUM(D33:D40)</f>
        <v>0</v>
      </c>
      <c r="E41" s="863"/>
      <c r="F41" s="2"/>
      <c r="G41" s="83" t="str">
        <f>IF(D41=0,"0.00%",(H41-D41)/D41)</f>
        <v>0.00%</v>
      </c>
      <c r="H41" s="8">
        <f>SUM(H33:H40)</f>
        <v>0</v>
      </c>
      <c r="I41" s="872"/>
      <c r="J41" s="29"/>
      <c r="K41" s="83" t="str">
        <f>IF(H41=0,"0.00%",(L41-H41)/H41)</f>
        <v>0.00%</v>
      </c>
      <c r="L41" s="8">
        <f>SUM(L33:L40)</f>
        <v>0</v>
      </c>
      <c r="M41" s="948"/>
      <c r="O41" s="83" t="str">
        <f>IF(L41=0,"0.00%",(P41-L41)/L41)</f>
        <v>0.00%</v>
      </c>
      <c r="P41" s="8">
        <f>SUM(P33:P40)</f>
        <v>0</v>
      </c>
      <c r="Q41" s="948"/>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52"/>
      <c r="B42" s="930" t="s">
        <v>28</v>
      </c>
      <c r="E42" s="863"/>
      <c r="F42" s="2"/>
      <c r="H42" s="2"/>
      <c r="I42" s="871"/>
      <c r="J42" s="66"/>
      <c r="L42" s="2"/>
      <c r="M42" s="948"/>
      <c r="Q42" s="948"/>
      <c r="T42" s="2"/>
      <c r="U42" s="73"/>
      <c r="X42" s="2"/>
      <c r="Y42" s="73"/>
      <c r="AB42" s="2"/>
      <c r="AC42" s="73"/>
    </row>
    <row r="43" spans="1:29" hidden="1" x14ac:dyDescent="0.25">
      <c r="A43" s="154"/>
      <c r="B43" s="936" t="s">
        <v>27</v>
      </c>
      <c r="E43" s="863"/>
      <c r="F43" s="2"/>
      <c r="H43" s="2"/>
      <c r="I43" s="871"/>
      <c r="J43" s="66"/>
      <c r="L43" s="2"/>
      <c r="M43" s="948"/>
      <c r="Q43" s="948"/>
      <c r="T43" s="2"/>
      <c r="U43" s="73"/>
      <c r="X43" s="2"/>
      <c r="Y43" s="73"/>
      <c r="AB43" s="2"/>
      <c r="AC43" s="73"/>
    </row>
    <row r="44" spans="1:29" hidden="1" x14ac:dyDescent="0.25">
      <c r="A44" s="152"/>
      <c r="B44" s="939" t="s">
        <v>83</v>
      </c>
      <c r="C44" s="857" t="s">
        <v>76</v>
      </c>
      <c r="D44" s="2">
        <v>0</v>
      </c>
      <c r="E44" s="854" t="str">
        <f>TEXT('MYP Assumptions'!$D$55,"0.00%")&amp;", STRS rate"</f>
        <v>12.58%, STRS rate</v>
      </c>
      <c r="F44" s="2"/>
      <c r="G44" s="83" t="str">
        <f t="shared" ref="G44:G53" si="17">IF(D44=0,"0.00%",(H44-D44)/D44)</f>
        <v>0.00%</v>
      </c>
      <c r="H44" s="2">
        <f>ROUND(H30*LEFT(I44,6),0)</f>
        <v>0</v>
      </c>
      <c r="I44" s="854" t="str">
        <f>TEXT('MYP Assumptions'!E55,"0.00%")&amp;", projected STRS rate"</f>
        <v>14.43%, projected STRS rate</v>
      </c>
      <c r="J44" s="66"/>
      <c r="K44" s="83" t="str">
        <f t="shared" ref="K44:K53" si="18">IF(H44=0,"0.00%",(L44-H44)/H44)</f>
        <v>0.00%</v>
      </c>
      <c r="L44" s="2">
        <f>ROUND(L30*LEFT(M44,6),0)</f>
        <v>0</v>
      </c>
      <c r="M44" s="854" t="str">
        <f>TEXT('MYP Assumptions'!F55,"0.00%")&amp;", projected STRS rate"</f>
        <v>16.28%, projected STRS rate</v>
      </c>
      <c r="O44" s="83" t="str">
        <f t="shared" ref="O44:O53" si="19">IF(L44=0,"0.00%",(P44-L44)/L44)</f>
        <v>0.00%</v>
      </c>
      <c r="P44" s="2">
        <f>ROUND(P30*LEFT(Q44,6),0)</f>
        <v>0</v>
      </c>
      <c r="Q44" s="854" t="str">
        <f>TEXT('MYP Assumptions'!G55,"0.00%")&amp;", projected STRS rate"</f>
        <v>18.13%, projected STRS rate</v>
      </c>
      <c r="S44" s="83" t="str">
        <f t="shared" ref="S44:S53" si="20">IF(P44=0,"0.00%",(T44-P44)/P44)</f>
        <v>0.00%</v>
      </c>
      <c r="T44" s="2">
        <f>ROUND(T30*LEFT(U44,6),0)</f>
        <v>0</v>
      </c>
      <c r="U44" s="81" t="str">
        <f>TEXT('MYP Assumptions'!H55,"0.00%")&amp;", projected STRS rate"</f>
        <v>19.10%, projected STRS rate</v>
      </c>
      <c r="W44" s="83" t="str">
        <f t="shared" ref="W44:W53" si="21">IF(T44=0,"0.00%",(X44-T44)/T44)</f>
        <v>0.00%</v>
      </c>
      <c r="X44" s="2">
        <f>ROUND(X30*LEFT(Y44,6),0)</f>
        <v>0</v>
      </c>
      <c r="Y44" s="81" t="str">
        <f>TEXT('MYP Assumptions'!I55,"0.00%")&amp;", projected STRS rate"</f>
        <v>19.10%, projected STRS rate</v>
      </c>
      <c r="AA44" s="83" t="str">
        <f t="shared" ref="AA44:AA53" si="22">IF(X44=0,"0.00%",(AB44-X44)/X44)</f>
        <v>0.00%</v>
      </c>
      <c r="AB44" s="2">
        <f>ROUND(AB30*LEFT(AC44,6),0)</f>
        <v>0</v>
      </c>
      <c r="AC44" s="81" t="str">
        <f>TEXT('MYP Assumptions'!J55,"0.00%")&amp;", projected STRS rate"</f>
        <v>19.10%, projected STRS rate</v>
      </c>
    </row>
    <row r="45" spans="1:29" hidden="1" x14ac:dyDescent="0.25">
      <c r="A45" s="152"/>
      <c r="B45" s="939" t="s">
        <v>84</v>
      </c>
      <c r="C45" s="857" t="s">
        <v>77</v>
      </c>
      <c r="D45" s="2">
        <v>0</v>
      </c>
      <c r="E45" s="854" t="str">
        <f>TEXT('MYP Assumptions'!$D$56,"0.00%")&amp;", PERS rate"</f>
        <v>13.89%, PERS rate</v>
      </c>
      <c r="F45" s="2"/>
      <c r="G45" s="83" t="str">
        <f t="shared" si="17"/>
        <v>0.00%</v>
      </c>
      <c r="H45" s="2">
        <f>ROUND(H41*LEFT(I45,6),0)</f>
        <v>0</v>
      </c>
      <c r="I45" s="854" t="str">
        <f>TEXT('MYP Assumptions'!E56,"0.00%")&amp;", projected PERS rate"</f>
        <v>15.53%, projected PERS rate</v>
      </c>
      <c r="J45" s="66"/>
      <c r="K45" s="83" t="str">
        <f t="shared" si="18"/>
        <v>0.00%</v>
      </c>
      <c r="L45" s="2">
        <f>ROUND(L41*LEFT(M45,6),0)</f>
        <v>0</v>
      </c>
      <c r="M45" s="854" t="str">
        <f>TEXT('MYP Assumptions'!F56,"0.00%")&amp;", projected PERS rate"</f>
        <v>18.10%, projected PERS rate</v>
      </c>
      <c r="O45" s="83" t="str">
        <f t="shared" si="19"/>
        <v>0.00%</v>
      </c>
      <c r="P45" s="2">
        <f>ROUND(P41*LEFT(Q45,6),0)</f>
        <v>0</v>
      </c>
      <c r="Q45" s="854" t="str">
        <f>TEXT('MYP Assumptions'!G56,"0.00%")&amp;", projected PERS rate"</f>
        <v>20.80%, projected PERS rate</v>
      </c>
      <c r="S45" s="83" t="str">
        <f t="shared" si="20"/>
        <v>0.00%</v>
      </c>
      <c r="T45" s="2">
        <f>ROUND(T41*LEFT(U45,6),0)</f>
        <v>0</v>
      </c>
      <c r="U45" s="81" t="str">
        <f>TEXT('MYP Assumptions'!H56,"0.00%")&amp;", projected PERS rate"</f>
        <v>23.80%, projected PERS rate</v>
      </c>
      <c r="W45" s="83" t="str">
        <f t="shared" si="21"/>
        <v>0.00%</v>
      </c>
      <c r="X45" s="2">
        <f>ROUND(X41*LEFT(Y45,6),0)</f>
        <v>0</v>
      </c>
      <c r="Y45" s="81" t="str">
        <f>TEXT('MYP Assumptions'!I56,"0.00%")&amp;", projected PERS rate"</f>
        <v>25.20%, projected PERS rate</v>
      </c>
      <c r="AA45" s="83" t="str">
        <f t="shared" si="22"/>
        <v>0.00%</v>
      </c>
      <c r="AB45" s="2">
        <f>ROUND(AB41*LEFT(AC45,6),0)</f>
        <v>0</v>
      </c>
      <c r="AC45" s="81" t="str">
        <f>TEXT('MYP Assumptions'!J56,"0.00%")&amp;", projected PERS rate"</f>
        <v>26.10%, projected PERS rate</v>
      </c>
    </row>
    <row r="46" spans="1:29" hidden="1" x14ac:dyDescent="0.25">
      <c r="A46" s="152"/>
      <c r="B46" s="939" t="s">
        <v>85</v>
      </c>
      <c r="C46" s="857" t="s">
        <v>78</v>
      </c>
      <c r="D46" s="2">
        <v>0</v>
      </c>
      <c r="E46" s="854" t="str">
        <f>TEXT('MYP Assumptions'!$D$57,"0.00%")&amp;", SS rate"</f>
        <v>6.20%, SS rate</v>
      </c>
      <c r="F46" s="2"/>
      <c r="G46" s="83" t="str">
        <f t="shared" si="17"/>
        <v>0.00%</v>
      </c>
      <c r="H46" s="2">
        <f>ROUND(H41*LEFT(I46,5),0)</f>
        <v>0</v>
      </c>
      <c r="I46" s="854" t="str">
        <f>TEXT('MYP Assumptions'!E57,"0.00%")&amp;", no rate change"</f>
        <v>6.20%, no rate change</v>
      </c>
      <c r="J46" s="66"/>
      <c r="K46" s="83" t="str">
        <f t="shared" si="18"/>
        <v>0.00%</v>
      </c>
      <c r="L46" s="2">
        <f>ROUND(L41*LEFT(M46,5),0)</f>
        <v>0</v>
      </c>
      <c r="M46" s="854" t="str">
        <f>TEXT('MYP Assumptions'!F57,"0.00%")&amp;", no rate change"</f>
        <v>6.20%, no rate change</v>
      </c>
      <c r="O46" s="83" t="str">
        <f t="shared" si="19"/>
        <v>0.00%</v>
      </c>
      <c r="P46" s="2">
        <f>ROUND(P41*LEFT(Q46,5),0)</f>
        <v>0</v>
      </c>
      <c r="Q46" s="854" t="str">
        <f>TEXT('MYP Assumptions'!G57,"0.00%")&amp;", no rate change"</f>
        <v>6.20%, no rate change</v>
      </c>
      <c r="S46" s="83" t="str">
        <f t="shared" si="20"/>
        <v>0.00%</v>
      </c>
      <c r="T46" s="2">
        <f>ROUND(T41*LEFT(U46,5),0)</f>
        <v>0</v>
      </c>
      <c r="U46" s="81" t="str">
        <f>TEXT('MYP Assumptions'!H57,"0.00%")&amp;", no rate change"</f>
        <v>6.20%, no rate change</v>
      </c>
      <c r="W46" s="83" t="str">
        <f t="shared" si="21"/>
        <v>0.00%</v>
      </c>
      <c r="X46" s="2">
        <f>ROUND(X41*LEFT(Y46,5),0)</f>
        <v>0</v>
      </c>
      <c r="Y46" s="81" t="str">
        <f>TEXT('MYP Assumptions'!I57,"0.00%")&amp;", no rate change"</f>
        <v>6.20%, no rate change</v>
      </c>
      <c r="AA46" s="83" t="str">
        <f t="shared" si="22"/>
        <v>0.00%</v>
      </c>
      <c r="AB46" s="2">
        <f>ROUND(AB41*LEFT(AC46,5),0)</f>
        <v>0</v>
      </c>
      <c r="AC46" s="81" t="str">
        <f>TEXT('MYP Assumptions'!J57,"0.00%")&amp;", no rate change"</f>
        <v>6.20%, no rate change</v>
      </c>
    </row>
    <row r="47" spans="1:29" hidden="1" x14ac:dyDescent="0.25">
      <c r="A47" s="152"/>
      <c r="B47" s="939" t="s">
        <v>86</v>
      </c>
      <c r="C47" s="857" t="s">
        <v>79</v>
      </c>
      <c r="D47" s="2">
        <v>0</v>
      </c>
      <c r="E47" s="854" t="str">
        <f>TEXT('MYP Assumptions'!$D$58,"0.00%")&amp;", Medicare rate"</f>
        <v>1.45%, Medicare rate</v>
      </c>
      <c r="F47" s="2"/>
      <c r="G47" s="83" t="str">
        <f t="shared" si="17"/>
        <v>0.00%</v>
      </c>
      <c r="H47" s="2">
        <f>ROUND((H41+H30)*LEFT(I47,5),0)</f>
        <v>0</v>
      </c>
      <c r="I47" s="854" t="str">
        <f>TEXT('MYP Assumptions'!E58,"0.00%")&amp;", no rate change"</f>
        <v>1.45%, no rate change</v>
      </c>
      <c r="J47" s="66"/>
      <c r="K47" s="83" t="str">
        <f t="shared" si="18"/>
        <v>0.00%</v>
      </c>
      <c r="L47" s="2">
        <f>ROUND((L41+L30)*LEFT(M47,5),0)</f>
        <v>0</v>
      </c>
      <c r="M47" s="854" t="str">
        <f>TEXT('MYP Assumptions'!F58,"0.00%")&amp;", no rate change"</f>
        <v>1.45%, no rate change</v>
      </c>
      <c r="O47" s="83" t="str">
        <f t="shared" si="19"/>
        <v>0.00%</v>
      </c>
      <c r="P47" s="2">
        <f>ROUND((P41+P30)*LEFT(Q47,5),0)</f>
        <v>0</v>
      </c>
      <c r="Q47" s="854" t="str">
        <f>TEXT('MYP Assumptions'!G58,"0.00%")&amp;", no rate change"</f>
        <v>1.45%, no rate change</v>
      </c>
      <c r="S47" s="83" t="str">
        <f t="shared" si="20"/>
        <v>0.00%</v>
      </c>
      <c r="T47" s="2">
        <f>ROUND((T41+T30)*LEFT(U47,5),0)</f>
        <v>0</v>
      </c>
      <c r="U47" s="81" t="str">
        <f>TEXT('MYP Assumptions'!H58,"0.00%")&amp;", no rate change"</f>
        <v>1.45%, no rate change</v>
      </c>
      <c r="W47" s="83" t="str">
        <f t="shared" si="21"/>
        <v>0.00%</v>
      </c>
      <c r="X47" s="2">
        <f>ROUND((X41+X30)*LEFT(Y47,5),0)</f>
        <v>0</v>
      </c>
      <c r="Y47" s="81" t="str">
        <f>TEXT('MYP Assumptions'!I58,"0.00%")&amp;", no rate change"</f>
        <v>1.45%, no rate change</v>
      </c>
      <c r="AA47" s="83" t="str">
        <f t="shared" si="22"/>
        <v>0.00%</v>
      </c>
      <c r="AB47" s="2">
        <f>ROUND((AB41+AB30)*LEFT(AC47,5),0)</f>
        <v>0</v>
      </c>
      <c r="AC47" s="81" t="str">
        <f>TEXT('MYP Assumptions'!J58,"0.00%")&amp;", no rate change"</f>
        <v>1.45%, no rate change</v>
      </c>
    </row>
    <row r="48" spans="1:29" hidden="1" x14ac:dyDescent="0.25">
      <c r="A48" s="152"/>
      <c r="B48" s="939" t="s">
        <v>87</v>
      </c>
      <c r="C48" s="857" t="s">
        <v>80</v>
      </c>
      <c r="D48" s="2">
        <v>0</v>
      </c>
      <c r="E48" s="854"/>
      <c r="F48" s="2"/>
      <c r="G48" s="83" t="str">
        <f t="shared" si="17"/>
        <v>0.00%</v>
      </c>
      <c r="H48" s="2">
        <f>ROUND((D48)*(LEFT(I48,5)+1),0)</f>
        <v>0</v>
      </c>
      <c r="I48" s="854" t="str">
        <f>TEXT('MYP Assumptions'!$M$65,"0.00%")&amp;", projected increase"</f>
        <v>7.00%, projected increase</v>
      </c>
      <c r="J48" s="66"/>
      <c r="K48" s="83" t="str">
        <f t="shared" si="18"/>
        <v>0.00%</v>
      </c>
      <c r="L48" s="2">
        <f>ROUND((H48)*(LEFT(M48,5)+1),0)</f>
        <v>0</v>
      </c>
      <c r="M48" s="854" t="str">
        <f>TEXT('MYP Assumptions'!$M$65,"0.00%")&amp;", projected increase"</f>
        <v>7.00%, projected increase</v>
      </c>
      <c r="O48" s="83" t="str">
        <f t="shared" si="19"/>
        <v>0.00%</v>
      </c>
      <c r="P48" s="2">
        <f>ROUND((L48)*(LEFT(Q48,5)+1),0)</f>
        <v>0</v>
      </c>
      <c r="Q48" s="854" t="str">
        <f>TEXT('MYP Assumptions'!$M$65,"0.00%")&amp;", projected increase"</f>
        <v>7.00%, projected increase</v>
      </c>
      <c r="S48" s="83" t="str">
        <f t="shared" si="20"/>
        <v>0.00%</v>
      </c>
      <c r="T48" s="2">
        <f>ROUND((P48)*(LEFT(U48,5)+1),0)</f>
        <v>0</v>
      </c>
      <c r="U48" s="81" t="str">
        <f>TEXT('MYP Assumptions'!$M$65,"0.00%")&amp;", projected increase"</f>
        <v>7.00%, projected increase</v>
      </c>
      <c r="W48" s="83" t="str">
        <f t="shared" si="21"/>
        <v>0.00%</v>
      </c>
      <c r="X48" s="2">
        <f>ROUND((T48)*(LEFT(Y48,5)+1),0)</f>
        <v>0</v>
      </c>
      <c r="Y48" s="81" t="str">
        <f>TEXT('MYP Assumptions'!$M$65,"0.00%")&amp;", projected increase"</f>
        <v>7.00%, projected increase</v>
      </c>
      <c r="AA48" s="83" t="str">
        <f t="shared" si="22"/>
        <v>0.00%</v>
      </c>
      <c r="AB48" s="2">
        <f>ROUND((X48)*(LEFT(AC48,5)+1),0)</f>
        <v>0</v>
      </c>
      <c r="AC48" s="81" t="str">
        <f>TEXT('MYP Assumptions'!$M$65,"0.00%")&amp;", projected increase"</f>
        <v>7.00%, projected increase</v>
      </c>
    </row>
    <row r="49" spans="1:29" hidden="1" x14ac:dyDescent="0.25">
      <c r="A49" s="152"/>
      <c r="B49" s="939" t="s">
        <v>88</v>
      </c>
      <c r="C49" s="857" t="s">
        <v>81</v>
      </c>
      <c r="D49" s="2">
        <v>0</v>
      </c>
      <c r="E49" s="854" t="str">
        <f>TEXT('MYP Assumptions'!$D$59,"0.00%")&amp;", SUI rate"</f>
        <v>0.05%, SUI rate</v>
      </c>
      <c r="F49" s="2"/>
      <c r="G49" s="83" t="str">
        <f t="shared" si="17"/>
        <v>0.00%</v>
      </c>
      <c r="H49" s="2">
        <f>ROUND((H41+H30)*LEFT(I49,5),0)</f>
        <v>0</v>
      </c>
      <c r="I49" s="854" t="str">
        <f>TEXT('MYP Assumptions'!E59,"0.00%")&amp;", no rate change"</f>
        <v>0.05%, no rate change</v>
      </c>
      <c r="J49" s="66"/>
      <c r="K49" s="83" t="str">
        <f t="shared" si="18"/>
        <v>0.00%</v>
      </c>
      <c r="L49" s="2">
        <f>ROUND((L41+L30)*LEFT(M49,5),0)</f>
        <v>0</v>
      </c>
      <c r="M49" s="854" t="str">
        <f>TEXT('MYP Assumptions'!F59,"0.00%")&amp;", no rate change"</f>
        <v>0.05%, no rate change</v>
      </c>
      <c r="O49" s="83" t="str">
        <f t="shared" si="19"/>
        <v>0.00%</v>
      </c>
      <c r="P49" s="2">
        <f>ROUND((P41+P30)*LEFT(Q49,5),0)</f>
        <v>0</v>
      </c>
      <c r="Q49" s="854" t="str">
        <f>TEXT('MYP Assumptions'!G59,"0.00%")&amp;", no rate change"</f>
        <v>0.05%, no rate change</v>
      </c>
      <c r="S49" s="83" t="str">
        <f t="shared" si="20"/>
        <v>0.00%</v>
      </c>
      <c r="T49" s="2">
        <f>ROUND((T41+T30)*LEFT(U49,5),0)</f>
        <v>0</v>
      </c>
      <c r="U49" s="81" t="str">
        <f>TEXT('MYP Assumptions'!H59,"0.00%")&amp;", no rate change"</f>
        <v>0.05%, no rate change</v>
      </c>
      <c r="W49" s="83" t="str">
        <f t="shared" si="21"/>
        <v>0.00%</v>
      </c>
      <c r="X49" s="2">
        <f>ROUND((X41+X30)*LEFT(Y49,5),0)</f>
        <v>0</v>
      </c>
      <c r="Y49" s="81" t="str">
        <f>TEXT('MYP Assumptions'!I59,"0.00%")&amp;", no rate change"</f>
        <v>0.05%, no rate change</v>
      </c>
      <c r="AA49" s="83" t="str">
        <f t="shared" si="22"/>
        <v>0.00%</v>
      </c>
      <c r="AB49" s="2">
        <f>ROUND((AB41+AB30)*LEFT(AC49,5),0)</f>
        <v>0</v>
      </c>
      <c r="AC49" s="81" t="str">
        <f>TEXT('MYP Assumptions'!J59,"0.00%")&amp;", no rate change"</f>
        <v>0.05%, no rate change</v>
      </c>
    </row>
    <row r="50" spans="1:29" hidden="1" x14ac:dyDescent="0.25">
      <c r="A50" s="152"/>
      <c r="B50" s="939" t="s">
        <v>89</v>
      </c>
      <c r="C50" s="857" t="s">
        <v>82</v>
      </c>
      <c r="D50" s="2">
        <v>0</v>
      </c>
      <c r="E50" s="854" t="str">
        <f>TEXT('MYP Assumptions'!$D$60,"0.00%")&amp;", W/C rate"</f>
        <v>1.10%, W/C rate</v>
      </c>
      <c r="F50" s="2"/>
      <c r="G50" s="83" t="str">
        <f t="shared" si="17"/>
        <v>0.00%</v>
      </c>
      <c r="H50" s="2">
        <f>ROUND((H41+H30)*LEFT(I50,5),0)</f>
        <v>0</v>
      </c>
      <c r="I50" s="854" t="str">
        <f>TEXT('MYP Assumptions'!E60,"0.00%")&amp;", no rate change"</f>
        <v>0.80%, no rate change</v>
      </c>
      <c r="J50" s="66"/>
      <c r="K50" s="83" t="str">
        <f t="shared" si="18"/>
        <v>0.00%</v>
      </c>
      <c r="L50" s="2">
        <f>ROUND((L41+L30)*LEFT(M50,5),0)</f>
        <v>0</v>
      </c>
      <c r="M50" s="854" t="str">
        <f>TEXT('MYP Assumptions'!F60,"0.00%")&amp;", no rate change"</f>
        <v>0.80%, no rate change</v>
      </c>
      <c r="O50" s="83" t="str">
        <f t="shared" si="19"/>
        <v>0.00%</v>
      </c>
      <c r="P50" s="2">
        <f>ROUND((P41+P30)*LEFT(Q50,5),0)</f>
        <v>0</v>
      </c>
      <c r="Q50" s="854" t="str">
        <f>TEXT('MYP Assumptions'!G60,"0.00%")&amp;", no rate change"</f>
        <v>0.80%, no rate change</v>
      </c>
      <c r="S50" s="83" t="str">
        <f t="shared" si="20"/>
        <v>0.00%</v>
      </c>
      <c r="T50" s="2">
        <f>ROUND((T41+T30)*LEFT(U50,5),0)</f>
        <v>0</v>
      </c>
      <c r="U50" s="81" t="str">
        <f>TEXT('MYP Assumptions'!H60,"0.00%")&amp;", no rate change"</f>
        <v>0.80%, no rate change</v>
      </c>
      <c r="W50" s="83" t="str">
        <f t="shared" si="21"/>
        <v>0.00%</v>
      </c>
      <c r="X50" s="2">
        <f>ROUND((X41+X30)*LEFT(Y50,5),0)</f>
        <v>0</v>
      </c>
      <c r="Y50" s="81" t="str">
        <f>TEXT('MYP Assumptions'!I60,"0.00%")&amp;", no rate change"</f>
        <v>0.80%, no rate change</v>
      </c>
      <c r="AA50" s="83" t="str">
        <f t="shared" si="22"/>
        <v>0.00%</v>
      </c>
      <c r="AB50" s="2">
        <f>ROUND((AB41+AB30)*LEFT(AC50,5),0)</f>
        <v>0</v>
      </c>
      <c r="AC50" s="81" t="str">
        <f>TEXT('MYP Assumptions'!J60,"0.00%")&amp;", no rate change"</f>
        <v>0.80%, no rate change</v>
      </c>
    </row>
    <row r="51" spans="1:29" hidden="1" x14ac:dyDescent="0.25">
      <c r="A51" s="152"/>
      <c r="B51" s="939" t="s">
        <v>90</v>
      </c>
      <c r="C51" s="857" t="s">
        <v>92</v>
      </c>
      <c r="D51" s="2">
        <v>0</v>
      </c>
      <c r="E51" s="863"/>
      <c r="F51" s="2"/>
      <c r="G51" s="83" t="str">
        <f t="shared" si="17"/>
        <v>0.00%</v>
      </c>
      <c r="H51" s="2">
        <f>D51</f>
        <v>0</v>
      </c>
      <c r="I51" s="854" t="s">
        <v>166</v>
      </c>
      <c r="J51" s="66"/>
      <c r="K51" s="83" t="str">
        <f t="shared" si="18"/>
        <v>0.00%</v>
      </c>
      <c r="L51" s="2">
        <f>H51</f>
        <v>0</v>
      </c>
      <c r="M51" s="854" t="s">
        <v>166</v>
      </c>
      <c r="O51" s="83" t="str">
        <f t="shared" si="19"/>
        <v>0.00%</v>
      </c>
      <c r="P51" s="2">
        <f>L51</f>
        <v>0</v>
      </c>
      <c r="Q51" s="854" t="s">
        <v>166</v>
      </c>
      <c r="S51" s="83" t="str">
        <f t="shared" si="20"/>
        <v>0.00%</v>
      </c>
      <c r="T51" s="2">
        <f>P51</f>
        <v>0</v>
      </c>
      <c r="U51" s="81" t="s">
        <v>166</v>
      </c>
      <c r="W51" s="83" t="str">
        <f t="shared" si="21"/>
        <v>0.00%</v>
      </c>
      <c r="X51" s="2">
        <f>T51</f>
        <v>0</v>
      </c>
      <c r="Y51" s="81" t="s">
        <v>166</v>
      </c>
      <c r="AA51" s="83" t="str">
        <f t="shared" si="22"/>
        <v>0.00%</v>
      </c>
      <c r="AB51" s="2">
        <f>X51</f>
        <v>0</v>
      </c>
      <c r="AC51" s="81" t="s">
        <v>166</v>
      </c>
    </row>
    <row r="52" spans="1:29" hidden="1" x14ac:dyDescent="0.25">
      <c r="A52" s="152"/>
      <c r="B52" s="939" t="s">
        <v>91</v>
      </c>
      <c r="C52" s="857" t="s">
        <v>93</v>
      </c>
      <c r="D52" s="2">
        <v>0</v>
      </c>
      <c r="E52" s="863"/>
      <c r="F52" s="2"/>
      <c r="G52" s="83" t="str">
        <f t="shared" si="17"/>
        <v>0.00%</v>
      </c>
      <c r="H52" s="2">
        <f>D52</f>
        <v>0</v>
      </c>
      <c r="I52" s="854" t="s">
        <v>166</v>
      </c>
      <c r="J52" s="66"/>
      <c r="K52" s="83" t="str">
        <f t="shared" si="18"/>
        <v>0.00%</v>
      </c>
      <c r="L52" s="2">
        <f>H52</f>
        <v>0</v>
      </c>
      <c r="M52" s="854" t="s">
        <v>166</v>
      </c>
      <c r="O52" s="83" t="str">
        <f t="shared" si="19"/>
        <v>0.00%</v>
      </c>
      <c r="P52" s="2">
        <f>L52</f>
        <v>0</v>
      </c>
      <c r="Q52" s="854" t="s">
        <v>166</v>
      </c>
      <c r="S52" s="83" t="str">
        <f t="shared" si="20"/>
        <v>0.00%</v>
      </c>
      <c r="T52" s="2">
        <f>P52</f>
        <v>0</v>
      </c>
      <c r="U52" s="81" t="s">
        <v>166</v>
      </c>
      <c r="W52" s="83" t="str">
        <f t="shared" si="21"/>
        <v>0.00%</v>
      </c>
      <c r="X52" s="2">
        <f>T52</f>
        <v>0</v>
      </c>
      <c r="Y52" s="81" t="s">
        <v>166</v>
      </c>
      <c r="AA52" s="83" t="str">
        <f t="shared" si="22"/>
        <v>0.00%</v>
      </c>
      <c r="AB52" s="2">
        <f>X52</f>
        <v>0</v>
      </c>
      <c r="AC52" s="81" t="s">
        <v>166</v>
      </c>
    </row>
    <row r="53" spans="1:29" hidden="1" x14ac:dyDescent="0.25">
      <c r="A53" s="153"/>
      <c r="B53" s="939"/>
      <c r="D53" s="8">
        <f>SUM(D44:D52)</f>
        <v>0</v>
      </c>
      <c r="E53" s="863"/>
      <c r="F53" s="2"/>
      <c r="G53" s="83" t="str">
        <f t="shared" si="17"/>
        <v>0.00%</v>
      </c>
      <c r="H53" s="8">
        <f>SUM(H44:H52)</f>
        <v>0</v>
      </c>
      <c r="I53" s="872"/>
      <c r="J53" s="29"/>
      <c r="K53" s="83" t="str">
        <f t="shared" si="18"/>
        <v>0.00%</v>
      </c>
      <c r="L53" s="8">
        <f>SUM(L44:L52)</f>
        <v>0</v>
      </c>
      <c r="M53" s="948"/>
      <c r="O53" s="83" t="str">
        <f t="shared" si="19"/>
        <v>0.00%</v>
      </c>
      <c r="P53" s="8">
        <f>SUM(P44:P52)</f>
        <v>0</v>
      </c>
      <c r="Q53" s="948"/>
      <c r="S53" s="83" t="str">
        <f t="shared" si="20"/>
        <v>0.00%</v>
      </c>
      <c r="T53" s="8">
        <f>SUM(T44:T52)</f>
        <v>0</v>
      </c>
      <c r="U53" s="73"/>
      <c r="W53" s="83" t="str">
        <f t="shared" si="21"/>
        <v>0.00%</v>
      </c>
      <c r="X53" s="8">
        <f>SUM(X44:X52)</f>
        <v>0</v>
      </c>
      <c r="Y53" s="73"/>
      <c r="AA53" s="83" t="str">
        <f t="shared" si="22"/>
        <v>0.00%</v>
      </c>
      <c r="AB53" s="8">
        <f>SUM(AB44:AB52)</f>
        <v>0</v>
      </c>
      <c r="AC53" s="73"/>
    </row>
    <row r="54" spans="1:29" hidden="1" x14ac:dyDescent="0.25">
      <c r="A54" s="154"/>
      <c r="B54" s="939"/>
      <c r="E54" s="863"/>
      <c r="F54" s="2"/>
      <c r="H54" s="2"/>
      <c r="I54" s="871"/>
      <c r="J54" s="66"/>
      <c r="L54" s="2"/>
      <c r="M54" s="948"/>
      <c r="Q54" s="948"/>
      <c r="T54" s="2"/>
      <c r="U54" s="73"/>
      <c r="X54" s="2"/>
      <c r="Y54" s="73"/>
      <c r="AB54" s="2"/>
      <c r="AC54" s="73"/>
    </row>
    <row r="55" spans="1:29" hidden="1" x14ac:dyDescent="0.25">
      <c r="A55" s="153"/>
      <c r="B55" s="936" t="s">
        <v>26</v>
      </c>
      <c r="D55" s="8">
        <f>SUM(D53,D41,D30)</f>
        <v>0</v>
      </c>
      <c r="E55" s="863"/>
      <c r="F55" s="2"/>
      <c r="G55" s="83" t="str">
        <f>IF(D55=0,"0.00%",(H55-D55)/D55)</f>
        <v>0.00%</v>
      </c>
      <c r="H55" s="8">
        <f>SUM(H53,H41,H30)</f>
        <v>0</v>
      </c>
      <c r="I55" s="872"/>
      <c r="J55" s="29"/>
      <c r="K55" s="83" t="str">
        <f>IF(H55=0,"0.00%",(L55-H55)/H55)</f>
        <v>0.00%</v>
      </c>
      <c r="L55" s="8">
        <f>SUM(L53,L41,L30)</f>
        <v>0</v>
      </c>
      <c r="M55" s="948"/>
      <c r="O55" s="83" t="str">
        <f>IF(L55=0,"0.00%",(P55-L55)/L55)</f>
        <v>0.00%</v>
      </c>
      <c r="P55" s="8">
        <f>SUM(P53,P41,P30)</f>
        <v>0</v>
      </c>
      <c r="Q55" s="948"/>
      <c r="S55" s="83" t="str">
        <f>IF(P55=0,"0.00%",(T55-P55)/P55)</f>
        <v>0.00%</v>
      </c>
      <c r="T55" s="8">
        <f>SUM(T53,T41,T30)</f>
        <v>0</v>
      </c>
      <c r="U55" s="73"/>
      <c r="W55" s="83" t="str">
        <f>IF(T55=0,"0.00%",(X55-T55)/T55)</f>
        <v>0.00%</v>
      </c>
      <c r="X55" s="8">
        <f>SUM(X53,X41,X30)</f>
        <v>0</v>
      </c>
      <c r="Y55" s="73"/>
      <c r="AA55" s="83" t="str">
        <f>IF(X55=0,"0.00%",(AB55-X55)/X55)</f>
        <v>0.00%</v>
      </c>
      <c r="AB55" s="8">
        <f>SUM(AB53,AB41,AB30)</f>
        <v>0</v>
      </c>
      <c r="AC55" s="73"/>
    </row>
    <row r="56" spans="1:29" hidden="1" x14ac:dyDescent="0.25">
      <c r="A56" s="155"/>
      <c r="E56" s="863"/>
      <c r="F56" s="2"/>
      <c r="H56" s="2"/>
      <c r="I56" s="871"/>
      <c r="J56" s="66"/>
      <c r="L56" s="2"/>
      <c r="M56" s="948"/>
      <c r="Q56" s="948"/>
      <c r="T56" s="2"/>
      <c r="U56" s="73"/>
      <c r="X56" s="2"/>
      <c r="Y56" s="73"/>
      <c r="AB56" s="2"/>
      <c r="AC56" s="73"/>
    </row>
    <row r="57" spans="1:29" x14ac:dyDescent="0.25">
      <c r="A57" s="152"/>
      <c r="E57" s="863"/>
      <c r="F57" s="2"/>
      <c r="H57" s="2"/>
      <c r="I57" s="871"/>
      <c r="J57" s="66"/>
      <c r="L57" s="2"/>
      <c r="M57" s="948"/>
      <c r="Q57" s="948"/>
      <c r="T57" s="2"/>
      <c r="U57" s="73"/>
      <c r="X57" s="2"/>
      <c r="Y57" s="73"/>
      <c r="AB57" s="2"/>
      <c r="AC57" s="73"/>
    </row>
    <row r="58" spans="1:29" x14ac:dyDescent="0.25">
      <c r="A58" s="155"/>
      <c r="B58" s="940" t="s">
        <v>25</v>
      </c>
      <c r="C58" s="873"/>
      <c r="E58" s="863"/>
      <c r="F58" s="2"/>
      <c r="H58" s="2"/>
      <c r="I58" s="871"/>
      <c r="J58" s="66"/>
      <c r="L58" s="2"/>
      <c r="M58" s="948"/>
      <c r="Q58" s="948"/>
      <c r="T58" s="2"/>
      <c r="U58" s="73"/>
      <c r="X58" s="2"/>
      <c r="Y58" s="73"/>
      <c r="AB58" s="2"/>
      <c r="AC58" s="73"/>
    </row>
    <row r="59" spans="1:29" x14ac:dyDescent="0.25">
      <c r="A59" s="152"/>
      <c r="B59" s="939">
        <v>4110</v>
      </c>
      <c r="C59" s="857" t="s">
        <v>283</v>
      </c>
      <c r="D59" s="2">
        <v>587918.12</v>
      </c>
      <c r="E59" s="863"/>
      <c r="F59" s="2"/>
      <c r="G59" s="83">
        <f t="shared" ref="G59:G62" si="23">IF(D59=0,"0.00%",(H59-D59)/D59)</f>
        <v>1.6553357464131231</v>
      </c>
      <c r="H59" s="2">
        <v>1561120</v>
      </c>
      <c r="I59" s="854" t="s">
        <v>779</v>
      </c>
      <c r="J59" s="66"/>
      <c r="K59" s="83">
        <f t="shared" ref="K59:K62" si="24">IF(H59=0,"0.00%",(L59-H59)/H59)</f>
        <v>-0.76440824536230401</v>
      </c>
      <c r="L59" s="2">
        <v>367787</v>
      </c>
      <c r="M59" s="854"/>
      <c r="O59" s="83">
        <f t="shared" ref="O59:O62" si="25">IF(L59=0,"0.00%",(P59-L59)/L59)</f>
        <v>2.6694798891749843E-2</v>
      </c>
      <c r="P59" s="2">
        <v>377605</v>
      </c>
      <c r="Q59" s="854"/>
      <c r="S59" s="83" t="e">
        <f t="shared" ref="S59:S62" si="26">IF(P59=0,"0.00%",(T59-P59)/P59)</f>
        <v>#VALUE!</v>
      </c>
      <c r="T59" s="2" t="e">
        <f>ROUND(P59*(LEFT(U59,5)+1),0)</f>
        <v>#VALUE!</v>
      </c>
      <c r="U59" s="81" t="s">
        <v>284</v>
      </c>
      <c r="W59" s="83" t="e">
        <f t="shared" ref="W59:W62" si="27">IF(T59=0,"0.00%",(X59-T59)/T59)</f>
        <v>#VALUE!</v>
      </c>
      <c r="X59" s="2" t="e">
        <f>ROUND(T59*(LEFT(Y59,5)+1),0)</f>
        <v>#VALUE!</v>
      </c>
      <c r="Y59" s="81" t="s">
        <v>284</v>
      </c>
      <c r="AA59" s="83" t="e">
        <f t="shared" ref="AA59:AA62" si="28">IF(X59=0,"0.00%",(AB59-X59)/X59)</f>
        <v>#VALUE!</v>
      </c>
      <c r="AB59" s="2" t="e">
        <f>ROUND(X59*(LEFT(AC59,5)+1),0)</f>
        <v>#VALUE!</v>
      </c>
      <c r="AC59" s="81" t="s">
        <v>284</v>
      </c>
    </row>
    <row r="60" spans="1:29" x14ac:dyDescent="0.25">
      <c r="A60" s="152"/>
      <c r="B60" s="939">
        <v>4310</v>
      </c>
      <c r="C60" s="857" t="s">
        <v>282</v>
      </c>
      <c r="D60" s="2">
        <v>52126.02</v>
      </c>
      <c r="E60" s="863"/>
      <c r="F60" s="2"/>
      <c r="G60" s="83">
        <f t="shared" si="23"/>
        <v>-7.7892000962282715E-3</v>
      </c>
      <c r="H60" s="2">
        <v>51720</v>
      </c>
      <c r="I60" s="854" t="s">
        <v>174</v>
      </c>
      <c r="J60" s="66"/>
      <c r="K60" s="83">
        <f t="shared" si="24"/>
        <v>-3.3255993812838364E-2</v>
      </c>
      <c r="L60" s="2">
        <v>50000</v>
      </c>
      <c r="M60" s="854" t="s">
        <v>174</v>
      </c>
      <c r="O60" s="83">
        <f t="shared" si="25"/>
        <v>0</v>
      </c>
      <c r="P60" s="2">
        <f>+L60</f>
        <v>50000</v>
      </c>
      <c r="Q60" s="854" t="s">
        <v>174</v>
      </c>
      <c r="S60" s="83">
        <f t="shared" si="26"/>
        <v>0</v>
      </c>
      <c r="T60" s="2">
        <f>+P60</f>
        <v>50000</v>
      </c>
      <c r="U60" s="81" t="s">
        <v>174</v>
      </c>
      <c r="W60" s="83">
        <f t="shared" si="27"/>
        <v>0</v>
      </c>
      <c r="X60" s="2">
        <f>+T60</f>
        <v>50000</v>
      </c>
      <c r="Y60" s="81" t="s">
        <v>174</v>
      </c>
      <c r="AA60" s="83">
        <f t="shared" si="28"/>
        <v>0</v>
      </c>
      <c r="AB60" s="2">
        <f>+X60</f>
        <v>50000</v>
      </c>
      <c r="AC60" s="81" t="s">
        <v>174</v>
      </c>
    </row>
    <row r="61" spans="1:29" x14ac:dyDescent="0.25">
      <c r="A61" s="152"/>
      <c r="B61" s="939"/>
      <c r="C61" s="941"/>
      <c r="E61" s="863"/>
      <c r="F61" s="2"/>
      <c r="G61" s="83"/>
      <c r="H61" s="2"/>
      <c r="I61" s="854"/>
      <c r="J61" s="66"/>
      <c r="K61" s="83"/>
      <c r="L61" s="2"/>
      <c r="M61" s="854"/>
      <c r="O61" s="83"/>
      <c r="Q61" s="854"/>
      <c r="S61" s="83"/>
      <c r="T61" s="2"/>
      <c r="U61" s="81"/>
      <c r="W61" s="83"/>
      <c r="X61" s="2"/>
      <c r="Y61" s="81"/>
      <c r="AA61" s="83"/>
      <c r="AB61" s="2"/>
      <c r="AC61" s="81"/>
    </row>
    <row r="62" spans="1:29" x14ac:dyDescent="0.25">
      <c r="A62" s="153"/>
      <c r="B62" s="857"/>
      <c r="D62" s="8">
        <f>SUM(D59:D61)</f>
        <v>640044.14</v>
      </c>
      <c r="E62" s="863"/>
      <c r="F62" s="2"/>
      <c r="G62" s="83">
        <f t="shared" si="23"/>
        <v>1.5198887064257787</v>
      </c>
      <c r="H62" s="8">
        <f>SUM(H59:H61)</f>
        <v>1612840</v>
      </c>
      <c r="I62" s="1292">
        <f>+H62-D62</f>
        <v>972795.86</v>
      </c>
      <c r="J62" s="29"/>
      <c r="K62" s="83">
        <f t="shared" si="24"/>
        <v>-0.74096190570670373</v>
      </c>
      <c r="L62" s="8">
        <f>SUM(L59:L61)</f>
        <v>417787</v>
      </c>
      <c r="M62" s="1292">
        <f>+L62-H62</f>
        <v>-1195053</v>
      </c>
      <c r="O62" s="83">
        <f t="shared" si="25"/>
        <v>2.3500013164603015E-2</v>
      </c>
      <c r="P62" s="8">
        <f>SUM(P59:P61)</f>
        <v>427605</v>
      </c>
      <c r="Q62" s="1292">
        <f>+P62-L62</f>
        <v>9818</v>
      </c>
      <c r="S62" s="83" t="e">
        <f t="shared" si="26"/>
        <v>#VALUE!</v>
      </c>
      <c r="T62" s="8" t="e">
        <f>SUM(T59:T61)</f>
        <v>#VALUE!</v>
      </c>
      <c r="U62" s="73"/>
      <c r="W62" s="83" t="e">
        <f t="shared" si="27"/>
        <v>#VALUE!</v>
      </c>
      <c r="X62" s="8" t="e">
        <f>SUM(X59:X61)</f>
        <v>#VALUE!</v>
      </c>
      <c r="Y62" s="73"/>
      <c r="AA62" s="83" t="e">
        <f t="shared" si="28"/>
        <v>#VALUE!</v>
      </c>
      <c r="AB62" s="8" t="e">
        <f>SUM(AB59:AB61)</f>
        <v>#VALUE!</v>
      </c>
      <c r="AC62" s="73"/>
    </row>
    <row r="63" spans="1:29" x14ac:dyDescent="0.25">
      <c r="A63" s="152"/>
      <c r="E63" s="863"/>
      <c r="F63" s="2"/>
      <c r="H63" s="2"/>
      <c r="I63" s="871"/>
      <c r="J63" s="66"/>
      <c r="L63" s="2"/>
      <c r="M63" s="948"/>
      <c r="Q63" s="948"/>
      <c r="T63" s="2"/>
      <c r="U63" s="73"/>
      <c r="X63" s="2"/>
      <c r="Y63" s="73"/>
      <c r="AB63" s="2"/>
      <c r="AC63" s="73"/>
    </row>
    <row r="64" spans="1:29" s="4" customFormat="1" x14ac:dyDescent="0.25">
      <c r="A64" s="150"/>
      <c r="B64" s="936" t="s">
        <v>16</v>
      </c>
      <c r="C64" s="873"/>
      <c r="D64" s="6"/>
      <c r="E64" s="864"/>
      <c r="F64" s="6"/>
      <c r="G64" s="373"/>
      <c r="H64" s="6"/>
      <c r="I64" s="873"/>
      <c r="J64" s="58"/>
      <c r="K64" s="380"/>
      <c r="L64" s="6"/>
      <c r="M64" s="950"/>
      <c r="O64" s="380"/>
      <c r="P64" s="6"/>
      <c r="Q64" s="950"/>
      <c r="R64" s="111"/>
      <c r="U64" s="71"/>
      <c r="Y64" s="71"/>
      <c r="AC64" s="71"/>
    </row>
    <row r="65" spans="1:29" hidden="1" x14ac:dyDescent="0.25">
      <c r="A65" s="152"/>
      <c r="B65" s="939"/>
      <c r="D65" s="2">
        <v>0</v>
      </c>
      <c r="E65" s="863"/>
      <c r="F65" s="2"/>
      <c r="G65" s="83" t="str">
        <f t="shared" ref="G65:G70" si="29">IF(D65=0,"0.00%",(H65-D65)/D65)</f>
        <v>0.00%</v>
      </c>
      <c r="H65" s="2">
        <f>ROUND(D65*(LEFT(I65,5)+1),0)</f>
        <v>0</v>
      </c>
      <c r="I65" s="854" t="str">
        <f>TEXT('MYP Assumptions'!E75,"0.00%")&amp;", CPI"</f>
        <v>3.42%, CPI</v>
      </c>
      <c r="J65" s="66"/>
      <c r="K65" s="83" t="str">
        <f t="shared" ref="K65:K78" si="30">IF(H65=0,"0.00%",(L65-H65)/H65)</f>
        <v>0.00%</v>
      </c>
      <c r="L65" s="2">
        <f>ROUND(H65*(LEFT(M65,5)+1),0)</f>
        <v>0</v>
      </c>
      <c r="M65" s="854" t="str">
        <f>TEXT('MYP Assumptions'!F75,"0.00%")&amp;", CPI"</f>
        <v>3.35%, CPI</v>
      </c>
      <c r="O65" s="83" t="str">
        <f t="shared" ref="O65:O78" si="31">IF(L65=0,"0.00%",(P65-L65)/L65)</f>
        <v>0.00%</v>
      </c>
      <c r="P65" s="2">
        <f>ROUND(L65*(LEFT(Q65,5)+1),0)</f>
        <v>0</v>
      </c>
      <c r="Q65" s="854" t="str">
        <f>TEXT('MYP Assumptions'!G75,"0.00%")&amp;", CPI"</f>
        <v>3.02%, CPI</v>
      </c>
      <c r="S65" s="83" t="str">
        <f t="shared" ref="S65:S78" si="32">IF(P65=0,"0.00%",(T65-P65)/P65)</f>
        <v>0.00%</v>
      </c>
      <c r="T65" s="2">
        <f>ROUND(P65*(LEFT(U65,5)+1),0)</f>
        <v>0</v>
      </c>
      <c r="U65" s="81" t="str">
        <f>TEXT('MYP Assumptions'!H75,"0.00%")&amp;", CPI"</f>
        <v>2.73%, CPI</v>
      </c>
      <c r="W65" s="83" t="str">
        <f t="shared" ref="W65:W78" si="33">IF(T65=0,"0.00%",(X65-T65)/T65)</f>
        <v>0.00%</v>
      </c>
      <c r="X65" s="2">
        <f>ROUND(T65*(LEFT(Y65,5)+1),0)</f>
        <v>0</v>
      </c>
      <c r="Y65" s="81" t="str">
        <f>TEXT('MYP Assumptions'!I75,"0.00%")&amp;", CPI"</f>
        <v>2.73%, CPI</v>
      </c>
      <c r="AA65" s="83" t="str">
        <f t="shared" ref="AA65:AA78" si="34">IF(X65=0,"0.00%",(AB65-X65)/X65)</f>
        <v>0.00%</v>
      </c>
      <c r="AB65" s="2">
        <f>ROUND(X65*(LEFT(AC65,5)+1),0)</f>
        <v>0</v>
      </c>
      <c r="AC65" s="81" t="str">
        <f>TEXT('MYP Assumptions'!J75,"0.00%")&amp;", CPI"</f>
        <v>2.73%, CPI</v>
      </c>
    </row>
    <row r="66" spans="1:29" hidden="1" x14ac:dyDescent="0.25">
      <c r="A66" s="152"/>
      <c r="B66" s="939"/>
      <c r="D66" s="2">
        <v>0</v>
      </c>
      <c r="E66" s="863"/>
      <c r="F66" s="2"/>
      <c r="G66" s="83" t="str">
        <f t="shared" si="29"/>
        <v>0.00%</v>
      </c>
      <c r="H66" s="2">
        <f>ROUND(D66*(LEFT(I66,5)+1),0)</f>
        <v>0</v>
      </c>
      <c r="I66" s="854" t="str">
        <f>TEXT('MYP Assumptions'!E75,"0.00%")&amp;", CPI"</f>
        <v>3.42%, CPI</v>
      </c>
      <c r="J66" s="66"/>
      <c r="K66" s="83" t="str">
        <f t="shared" si="30"/>
        <v>0.00%</v>
      </c>
      <c r="L66" s="2">
        <f t="shared" ref="L66:L77" si="35">ROUND(H66*(LEFT(M66,5)+1),0)</f>
        <v>0</v>
      </c>
      <c r="M66" s="854" t="str">
        <f>TEXT('MYP Assumptions'!F75,"0.00%")&amp;", CPI"</f>
        <v>3.35%, CPI</v>
      </c>
      <c r="O66" s="83" t="str">
        <f t="shared" si="31"/>
        <v>0.00%</v>
      </c>
      <c r="P66" s="2">
        <f t="shared" ref="P66:P77" si="36">ROUND(L66*(LEFT(Q66,5)+1),0)</f>
        <v>0</v>
      </c>
      <c r="Q66" s="854" t="str">
        <f>TEXT('MYP Assumptions'!G75,"0.00%")&amp;", CPI"</f>
        <v>3.02%, CPI</v>
      </c>
      <c r="S66" s="83" t="str">
        <f t="shared" si="32"/>
        <v>0.00%</v>
      </c>
      <c r="T66" s="2">
        <f t="shared" ref="T66:T77" si="37">ROUND(P66*(LEFT(U66,5)+1),0)</f>
        <v>0</v>
      </c>
      <c r="U66" s="81" t="str">
        <f>TEXT('MYP Assumptions'!H75,"0.00%")&amp;", CPI"</f>
        <v>2.73%, CPI</v>
      </c>
      <c r="W66" s="83" t="str">
        <f t="shared" si="33"/>
        <v>0.00%</v>
      </c>
      <c r="X66" s="2">
        <f t="shared" ref="X66:X77" si="38">ROUND(T66*(LEFT(Y66,5)+1),0)</f>
        <v>0</v>
      </c>
      <c r="Y66" s="81" t="str">
        <f>TEXT('MYP Assumptions'!I75,"0.00%")&amp;", CPI"</f>
        <v>2.73%, CPI</v>
      </c>
      <c r="AA66" s="83" t="str">
        <f t="shared" si="34"/>
        <v>0.00%</v>
      </c>
      <c r="AB66" s="2">
        <f t="shared" ref="AB66:AB77" si="39">ROUND(X66*(LEFT(AC66,5)+1),0)</f>
        <v>0</v>
      </c>
      <c r="AC66" s="81" t="str">
        <f>TEXT('MYP Assumptions'!J75,"0.00%")&amp;", CPI"</f>
        <v>2.73%, CPI</v>
      </c>
    </row>
    <row r="67" spans="1:29" hidden="1" x14ac:dyDescent="0.25">
      <c r="A67" s="152"/>
      <c r="B67" s="939"/>
      <c r="D67" s="2">
        <v>0</v>
      </c>
      <c r="E67" s="863"/>
      <c r="F67" s="2"/>
      <c r="G67" s="83" t="str">
        <f t="shared" si="29"/>
        <v>0.00%</v>
      </c>
      <c r="H67" s="2">
        <f t="shared" ref="H67:H72" si="40">ROUND(D67*(LEFT(I67,5)+1),0)</f>
        <v>0</v>
      </c>
      <c r="I67" s="854" t="str">
        <f>TEXT('MYP Assumptions'!E75,"0.00%")&amp;", CPI"</f>
        <v>3.42%, CPI</v>
      </c>
      <c r="J67" s="66"/>
      <c r="K67" s="83" t="str">
        <f t="shared" si="30"/>
        <v>0.00%</v>
      </c>
      <c r="L67" s="2">
        <f t="shared" si="35"/>
        <v>0</v>
      </c>
      <c r="M67" s="854" t="str">
        <f>TEXT('MYP Assumptions'!F75,"0.00%")&amp;", CPI"</f>
        <v>3.35%, CPI</v>
      </c>
      <c r="O67" s="83" t="str">
        <f t="shared" si="31"/>
        <v>0.00%</v>
      </c>
      <c r="P67" s="2">
        <f t="shared" si="36"/>
        <v>0</v>
      </c>
      <c r="Q67" s="854" t="str">
        <f>TEXT('MYP Assumptions'!G75,"0.00%")&amp;", CPI"</f>
        <v>3.02%, CPI</v>
      </c>
      <c r="S67" s="83" t="str">
        <f t="shared" si="32"/>
        <v>0.00%</v>
      </c>
      <c r="T67" s="2">
        <f t="shared" si="37"/>
        <v>0</v>
      </c>
      <c r="U67" s="81" t="str">
        <f>TEXT('MYP Assumptions'!H75,"0.00%")&amp;", CPI"</f>
        <v>2.73%, CPI</v>
      </c>
      <c r="W67" s="83" t="str">
        <f t="shared" si="33"/>
        <v>0.00%</v>
      </c>
      <c r="X67" s="2">
        <f t="shared" si="38"/>
        <v>0</v>
      </c>
      <c r="Y67" s="81" t="str">
        <f>TEXT('MYP Assumptions'!I75,"0.00%")&amp;", CPI"</f>
        <v>2.73%, CPI</v>
      </c>
      <c r="AA67" s="83" t="str">
        <f t="shared" si="34"/>
        <v>0.00%</v>
      </c>
      <c r="AB67" s="2">
        <f t="shared" si="39"/>
        <v>0</v>
      </c>
      <c r="AC67" s="81" t="str">
        <f>TEXT('MYP Assumptions'!J75,"0.00%")&amp;", CPI"</f>
        <v>2.73%, CPI</v>
      </c>
    </row>
    <row r="68" spans="1:29" hidden="1" x14ac:dyDescent="0.25">
      <c r="A68" s="152"/>
      <c r="B68" s="939"/>
      <c r="D68" s="2">
        <v>0</v>
      </c>
      <c r="E68" s="863"/>
      <c r="F68" s="2"/>
      <c r="G68" s="83" t="str">
        <f t="shared" si="29"/>
        <v>0.00%</v>
      </c>
      <c r="H68" s="2">
        <f t="shared" si="40"/>
        <v>0</v>
      </c>
      <c r="I68" s="854" t="str">
        <f>TEXT('MYP Assumptions'!E75,"0.00%")&amp;", CPI"</f>
        <v>3.42%, CPI</v>
      </c>
      <c r="J68" s="66"/>
      <c r="K68" s="83" t="str">
        <f t="shared" si="30"/>
        <v>0.00%</v>
      </c>
      <c r="L68" s="2">
        <f t="shared" si="35"/>
        <v>0</v>
      </c>
      <c r="M68" s="854" t="str">
        <f>TEXT('MYP Assumptions'!F75,"0.00%")&amp;", CPI"</f>
        <v>3.35%, CPI</v>
      </c>
      <c r="O68" s="83" t="str">
        <f t="shared" si="31"/>
        <v>0.00%</v>
      </c>
      <c r="P68" s="2">
        <f t="shared" si="36"/>
        <v>0</v>
      </c>
      <c r="Q68" s="854" t="str">
        <f>TEXT('MYP Assumptions'!G75,"0.00%")&amp;", CPI"</f>
        <v>3.02%, CPI</v>
      </c>
      <c r="S68" s="83" t="str">
        <f t="shared" si="32"/>
        <v>0.00%</v>
      </c>
      <c r="T68" s="2">
        <f t="shared" si="37"/>
        <v>0</v>
      </c>
      <c r="U68" s="81" t="str">
        <f>TEXT('MYP Assumptions'!H75,"0.00%")&amp;", CPI"</f>
        <v>2.73%, CPI</v>
      </c>
      <c r="W68" s="83" t="str">
        <f t="shared" si="33"/>
        <v>0.00%</v>
      </c>
      <c r="X68" s="2">
        <f t="shared" si="38"/>
        <v>0</v>
      </c>
      <c r="Y68" s="81" t="str">
        <f>TEXT('MYP Assumptions'!I75,"0.00%")&amp;", CPI"</f>
        <v>2.73%, CPI</v>
      </c>
      <c r="AA68" s="83" t="str">
        <f t="shared" si="34"/>
        <v>0.00%</v>
      </c>
      <c r="AB68" s="2">
        <f t="shared" si="39"/>
        <v>0</v>
      </c>
      <c r="AC68" s="81" t="str">
        <f>TEXT('MYP Assumptions'!J75,"0.00%")&amp;", CPI"</f>
        <v>2.73%, CPI</v>
      </c>
    </row>
    <row r="69" spans="1:29" hidden="1" x14ac:dyDescent="0.25">
      <c r="A69" s="152"/>
      <c r="B69" s="939"/>
      <c r="D69" s="2">
        <v>0</v>
      </c>
      <c r="E69" s="863"/>
      <c r="F69" s="2"/>
      <c r="G69" s="83" t="str">
        <f t="shared" si="29"/>
        <v>0.00%</v>
      </c>
      <c r="H69" s="2">
        <f t="shared" si="40"/>
        <v>0</v>
      </c>
      <c r="I69" s="854" t="str">
        <f>TEXT('MYP Assumptions'!E75,"0.00%")&amp;", CPI"</f>
        <v>3.42%, CPI</v>
      </c>
      <c r="J69" s="66"/>
      <c r="K69" s="83" t="str">
        <f t="shared" si="30"/>
        <v>0.00%</v>
      </c>
      <c r="L69" s="2">
        <f t="shared" si="35"/>
        <v>0</v>
      </c>
      <c r="M69" s="854" t="str">
        <f>TEXT('MYP Assumptions'!F75,"0.00%")&amp;", CPI"</f>
        <v>3.35%, CPI</v>
      </c>
      <c r="O69" s="83" t="str">
        <f t="shared" si="31"/>
        <v>0.00%</v>
      </c>
      <c r="P69" s="2">
        <f t="shared" si="36"/>
        <v>0</v>
      </c>
      <c r="Q69" s="854" t="str">
        <f>TEXT('MYP Assumptions'!G75,"0.00%")&amp;", CPI"</f>
        <v>3.02%, CPI</v>
      </c>
      <c r="S69" s="83" t="str">
        <f t="shared" si="32"/>
        <v>0.00%</v>
      </c>
      <c r="T69" s="2">
        <f t="shared" si="37"/>
        <v>0</v>
      </c>
      <c r="U69" s="81" t="str">
        <f>TEXT('MYP Assumptions'!H75,"0.00%")&amp;", CPI"</f>
        <v>2.73%, CPI</v>
      </c>
      <c r="W69" s="83" t="str">
        <f t="shared" si="33"/>
        <v>0.00%</v>
      </c>
      <c r="X69" s="2">
        <f t="shared" si="38"/>
        <v>0</v>
      </c>
      <c r="Y69" s="81" t="str">
        <f>TEXT('MYP Assumptions'!I75,"0.00%")&amp;", CPI"</f>
        <v>2.73%, CPI</v>
      </c>
      <c r="AA69" s="83" t="str">
        <f t="shared" si="34"/>
        <v>0.00%</v>
      </c>
      <c r="AB69" s="2">
        <f t="shared" si="39"/>
        <v>0</v>
      </c>
      <c r="AC69" s="81" t="str">
        <f>TEXT('MYP Assumptions'!J75,"0.00%")&amp;", CPI"</f>
        <v>2.73%, CPI</v>
      </c>
    </row>
    <row r="70" spans="1:29" hidden="1" x14ac:dyDescent="0.25">
      <c r="A70" s="152"/>
      <c r="B70" s="939"/>
      <c r="D70" s="2">
        <v>0</v>
      </c>
      <c r="E70" s="863"/>
      <c r="F70" s="2"/>
      <c r="G70" s="83" t="str">
        <f t="shared" si="29"/>
        <v>0.00%</v>
      </c>
      <c r="H70" s="2">
        <f t="shared" si="40"/>
        <v>0</v>
      </c>
      <c r="I70" s="854" t="str">
        <f>TEXT('MYP Assumptions'!E75,"0.00%")&amp;", CPI"</f>
        <v>3.42%, CPI</v>
      </c>
      <c r="J70" s="66"/>
      <c r="K70" s="83" t="str">
        <f t="shared" si="30"/>
        <v>0.00%</v>
      </c>
      <c r="L70" s="2">
        <f t="shared" si="35"/>
        <v>0</v>
      </c>
      <c r="M70" s="854" t="str">
        <f>TEXT('MYP Assumptions'!F75,"0.00%")&amp;", CPI"</f>
        <v>3.35%, CPI</v>
      </c>
      <c r="O70" s="83" t="str">
        <f t="shared" si="31"/>
        <v>0.00%</v>
      </c>
      <c r="P70" s="2">
        <f t="shared" si="36"/>
        <v>0</v>
      </c>
      <c r="Q70" s="854" t="str">
        <f>TEXT('MYP Assumptions'!G75,"0.00%")&amp;", CPI"</f>
        <v>3.02%, CPI</v>
      </c>
      <c r="S70" s="83" t="str">
        <f t="shared" si="32"/>
        <v>0.00%</v>
      </c>
      <c r="T70" s="2">
        <f t="shared" si="37"/>
        <v>0</v>
      </c>
      <c r="U70" s="81" t="str">
        <f>TEXT('MYP Assumptions'!H75,"0.00%")&amp;", CPI"</f>
        <v>2.73%, CPI</v>
      </c>
      <c r="W70" s="83" t="str">
        <f t="shared" si="33"/>
        <v>0.00%</v>
      </c>
      <c r="X70" s="2">
        <f t="shared" si="38"/>
        <v>0</v>
      </c>
      <c r="Y70" s="81" t="str">
        <f>TEXT('MYP Assumptions'!I75,"0.00%")&amp;", CPI"</f>
        <v>2.73%, CPI</v>
      </c>
      <c r="AA70" s="83" t="str">
        <f t="shared" si="34"/>
        <v>0.00%</v>
      </c>
      <c r="AB70" s="2">
        <f t="shared" si="39"/>
        <v>0</v>
      </c>
      <c r="AC70" s="81" t="str">
        <f>TEXT('MYP Assumptions'!J75,"0.00%")&amp;", CPI"</f>
        <v>2.73%, CPI</v>
      </c>
    </row>
    <row r="71" spans="1:29" hidden="1" x14ac:dyDescent="0.25">
      <c r="A71" s="152"/>
      <c r="B71" s="939"/>
      <c r="D71" s="2">
        <v>0</v>
      </c>
      <c r="E71" s="863"/>
      <c r="F71" s="2"/>
      <c r="G71" s="83" t="str">
        <f>IF(D71=0,"0.00%",(H71-D71)/D71)</f>
        <v>0.00%</v>
      </c>
      <c r="H71" s="2">
        <f t="shared" si="40"/>
        <v>0</v>
      </c>
      <c r="I71" s="854" t="str">
        <f>TEXT('MYP Assumptions'!E75,"0.00%")&amp;", CPI"</f>
        <v>3.42%, CPI</v>
      </c>
      <c r="J71" s="66"/>
      <c r="K71" s="83" t="str">
        <f t="shared" si="30"/>
        <v>0.00%</v>
      </c>
      <c r="L71" s="2">
        <f t="shared" si="35"/>
        <v>0</v>
      </c>
      <c r="M71" s="854" t="str">
        <f>TEXT('MYP Assumptions'!F75,"0.00%")&amp;", CPI"</f>
        <v>3.35%, CPI</v>
      </c>
      <c r="O71" s="83" t="str">
        <f t="shared" si="31"/>
        <v>0.00%</v>
      </c>
      <c r="P71" s="2">
        <f t="shared" si="36"/>
        <v>0</v>
      </c>
      <c r="Q71" s="854" t="str">
        <f>TEXT('MYP Assumptions'!G75,"0.00%")&amp;", CPI"</f>
        <v>3.02%, CPI</v>
      </c>
      <c r="S71" s="83" t="str">
        <f t="shared" si="32"/>
        <v>0.00%</v>
      </c>
      <c r="T71" s="2">
        <f t="shared" si="37"/>
        <v>0</v>
      </c>
      <c r="U71" s="81" t="str">
        <f>TEXT('MYP Assumptions'!H75,"0.00%")&amp;", CPI"</f>
        <v>2.73%, CPI</v>
      </c>
      <c r="W71" s="83" t="str">
        <f t="shared" si="33"/>
        <v>0.00%</v>
      </c>
      <c r="X71" s="2">
        <f t="shared" si="38"/>
        <v>0</v>
      </c>
      <c r="Y71" s="81" t="str">
        <f>TEXT('MYP Assumptions'!I75,"0.00%")&amp;", CPI"</f>
        <v>2.73%, CPI</v>
      </c>
      <c r="AA71" s="83" t="str">
        <f t="shared" si="34"/>
        <v>0.00%</v>
      </c>
      <c r="AB71" s="2">
        <f t="shared" si="39"/>
        <v>0</v>
      </c>
      <c r="AC71" s="81" t="str">
        <f>TEXT('MYP Assumptions'!J75,"0.00%")&amp;", CPI"</f>
        <v>2.73%, CPI</v>
      </c>
    </row>
    <row r="72" spans="1:29" hidden="1" x14ac:dyDescent="0.25">
      <c r="A72" s="152"/>
      <c r="B72" s="939"/>
      <c r="D72" s="2">
        <v>0</v>
      </c>
      <c r="E72" s="863"/>
      <c r="F72" s="2"/>
      <c r="G72" s="83" t="str">
        <f t="shared" ref="G72:G78" si="41">IF(D72=0,"0.00%",(H72-D72)/D72)</f>
        <v>0.00%</v>
      </c>
      <c r="H72" s="2">
        <f t="shared" si="40"/>
        <v>0</v>
      </c>
      <c r="I72" s="854" t="str">
        <f>TEXT('MYP Assumptions'!E75,"0.00%")&amp;", CPI"</f>
        <v>3.42%, CPI</v>
      </c>
      <c r="J72" s="66"/>
      <c r="K72" s="83" t="str">
        <f t="shared" si="30"/>
        <v>0.00%</v>
      </c>
      <c r="L72" s="2">
        <f t="shared" si="35"/>
        <v>0</v>
      </c>
      <c r="M72" s="854" t="str">
        <f>TEXT('MYP Assumptions'!F75,"0.00%")&amp;", CPI"</f>
        <v>3.35%, CPI</v>
      </c>
      <c r="O72" s="83" t="str">
        <f t="shared" si="31"/>
        <v>0.00%</v>
      </c>
      <c r="P72" s="2">
        <f t="shared" si="36"/>
        <v>0</v>
      </c>
      <c r="Q72" s="854" t="str">
        <f>TEXT('MYP Assumptions'!G75,"0.00%")&amp;", CPI"</f>
        <v>3.02%, CPI</v>
      </c>
      <c r="S72" s="83" t="str">
        <f t="shared" si="32"/>
        <v>0.00%</v>
      </c>
      <c r="T72" s="2">
        <f t="shared" si="37"/>
        <v>0</v>
      </c>
      <c r="U72" s="81" t="str">
        <f>TEXT('MYP Assumptions'!H75,"0.00%")&amp;", CPI"</f>
        <v>2.73%, CPI</v>
      </c>
      <c r="W72" s="83" t="str">
        <f t="shared" si="33"/>
        <v>0.00%</v>
      </c>
      <c r="X72" s="2">
        <f t="shared" si="38"/>
        <v>0</v>
      </c>
      <c r="Y72" s="81" t="str">
        <f>TEXT('MYP Assumptions'!I75,"0.00%")&amp;", CPI"</f>
        <v>2.73%, CPI</v>
      </c>
      <c r="AA72" s="83" t="str">
        <f t="shared" si="34"/>
        <v>0.00%</v>
      </c>
      <c r="AB72" s="2">
        <f t="shared" si="39"/>
        <v>0</v>
      </c>
      <c r="AC72" s="81" t="str">
        <f>TEXT('MYP Assumptions'!J75,"0.00%")&amp;", CPI"</f>
        <v>2.73%, CPI</v>
      </c>
    </row>
    <row r="73" spans="1:29" hidden="1" x14ac:dyDescent="0.25">
      <c r="A73" s="152"/>
      <c r="B73" s="939"/>
      <c r="D73" s="2">
        <v>0</v>
      </c>
      <c r="E73" s="863"/>
      <c r="F73" s="2"/>
      <c r="G73" s="83" t="str">
        <f t="shared" si="41"/>
        <v>0.00%</v>
      </c>
      <c r="H73" s="2">
        <f>ROUND(D73*(LEFT(I73,5)+1),0)</f>
        <v>0</v>
      </c>
      <c r="I73" s="854" t="str">
        <f>TEXT('MYP Assumptions'!E75,"0.00%")&amp;", CPI"</f>
        <v>3.42%, CPI</v>
      </c>
      <c r="J73" s="66"/>
      <c r="K73" s="83" t="str">
        <f t="shared" si="30"/>
        <v>0.00%</v>
      </c>
      <c r="L73" s="2">
        <f t="shared" si="35"/>
        <v>0</v>
      </c>
      <c r="M73" s="854" t="str">
        <f>TEXT('MYP Assumptions'!F75,"0.00%")&amp;", CPI"</f>
        <v>3.35%, CPI</v>
      </c>
      <c r="O73" s="83" t="str">
        <f t="shared" si="31"/>
        <v>0.00%</v>
      </c>
      <c r="P73" s="2">
        <f t="shared" si="36"/>
        <v>0</v>
      </c>
      <c r="Q73" s="854" t="str">
        <f>TEXT('MYP Assumptions'!G75,"0.00%")&amp;", CPI"</f>
        <v>3.02%, CPI</v>
      </c>
      <c r="S73" s="83" t="str">
        <f t="shared" si="32"/>
        <v>0.00%</v>
      </c>
      <c r="T73" s="2">
        <f t="shared" si="37"/>
        <v>0</v>
      </c>
      <c r="U73" s="81" t="str">
        <f>TEXT('MYP Assumptions'!H75,"0.00%")&amp;", CPI"</f>
        <v>2.73%, CPI</v>
      </c>
      <c r="W73" s="83" t="str">
        <f t="shared" si="33"/>
        <v>0.00%</v>
      </c>
      <c r="X73" s="2">
        <f t="shared" si="38"/>
        <v>0</v>
      </c>
      <c r="Y73" s="81" t="str">
        <f>TEXT('MYP Assumptions'!I75,"0.00%")&amp;", CPI"</f>
        <v>2.73%, CPI</v>
      </c>
      <c r="AA73" s="83" t="str">
        <f t="shared" si="34"/>
        <v>0.00%</v>
      </c>
      <c r="AB73" s="2">
        <f t="shared" si="39"/>
        <v>0</v>
      </c>
      <c r="AC73" s="81" t="str">
        <f>TEXT('MYP Assumptions'!J75,"0.00%")&amp;", CPI"</f>
        <v>2.73%, CPI</v>
      </c>
    </row>
    <row r="74" spans="1:29" hidden="1" x14ac:dyDescent="0.25">
      <c r="A74" s="152"/>
      <c r="B74" s="939"/>
      <c r="D74" s="2">
        <v>0</v>
      </c>
      <c r="E74" s="863"/>
      <c r="F74" s="2"/>
      <c r="G74" s="83" t="str">
        <f t="shared" si="41"/>
        <v>0.00%</v>
      </c>
      <c r="H74" s="2">
        <f>ROUND(D74*(LEFT(I74,5)+1),0)</f>
        <v>0</v>
      </c>
      <c r="I74" s="854" t="str">
        <f>TEXT('MYP Assumptions'!E75,"0.00%")&amp;", CPI"</f>
        <v>3.42%, CPI</v>
      </c>
      <c r="J74" s="66"/>
      <c r="K74" s="83" t="str">
        <f t="shared" si="30"/>
        <v>0.00%</v>
      </c>
      <c r="L74" s="2">
        <f t="shared" si="35"/>
        <v>0</v>
      </c>
      <c r="M74" s="854" t="str">
        <f>TEXT('MYP Assumptions'!F75,"0.00%")&amp;", CPI"</f>
        <v>3.35%, CPI</v>
      </c>
      <c r="O74" s="83" t="str">
        <f t="shared" si="31"/>
        <v>0.00%</v>
      </c>
      <c r="P74" s="2">
        <f t="shared" si="36"/>
        <v>0</v>
      </c>
      <c r="Q74" s="854" t="str">
        <f>TEXT('MYP Assumptions'!G75,"0.00%")&amp;", CPI"</f>
        <v>3.02%, CPI</v>
      </c>
      <c r="S74" s="83" t="str">
        <f t="shared" si="32"/>
        <v>0.00%</v>
      </c>
      <c r="T74" s="2">
        <f t="shared" si="37"/>
        <v>0</v>
      </c>
      <c r="U74" s="81" t="str">
        <f>TEXT('MYP Assumptions'!H75,"0.00%")&amp;", CPI"</f>
        <v>2.73%, CPI</v>
      </c>
      <c r="W74" s="83" t="str">
        <f t="shared" si="33"/>
        <v>0.00%</v>
      </c>
      <c r="X74" s="2">
        <f t="shared" si="38"/>
        <v>0</v>
      </c>
      <c r="Y74" s="81" t="str">
        <f>TEXT('MYP Assumptions'!I75,"0.00%")&amp;", CPI"</f>
        <v>2.73%, CPI</v>
      </c>
      <c r="AA74" s="83" t="str">
        <f t="shared" si="34"/>
        <v>0.00%</v>
      </c>
      <c r="AB74" s="2">
        <f t="shared" si="39"/>
        <v>0</v>
      </c>
      <c r="AC74" s="81" t="str">
        <f>TEXT('MYP Assumptions'!J75,"0.00%")&amp;", CPI"</f>
        <v>2.73%, CPI</v>
      </c>
    </row>
    <row r="75" spans="1:29" hidden="1" x14ac:dyDescent="0.25">
      <c r="A75" s="152"/>
      <c r="B75" s="939"/>
      <c r="D75" s="2">
        <v>0</v>
      </c>
      <c r="E75" s="863"/>
      <c r="F75" s="2"/>
      <c r="G75" s="83" t="str">
        <f t="shared" si="41"/>
        <v>0.00%</v>
      </c>
      <c r="H75" s="2">
        <f>ROUND(D75*(LEFT(I75,5)+1),0)</f>
        <v>0</v>
      </c>
      <c r="I75" s="854" t="str">
        <f>TEXT('MYP Assumptions'!E75,"0.00%")&amp;", CPI"</f>
        <v>3.42%, CPI</v>
      </c>
      <c r="J75" s="66"/>
      <c r="K75" s="83" t="str">
        <f t="shared" si="30"/>
        <v>0.00%</v>
      </c>
      <c r="L75" s="2">
        <f t="shared" si="35"/>
        <v>0</v>
      </c>
      <c r="M75" s="854" t="str">
        <f>TEXT('MYP Assumptions'!F75,"0.00%")&amp;", CPI"</f>
        <v>3.35%, CPI</v>
      </c>
      <c r="O75" s="83" t="str">
        <f t="shared" si="31"/>
        <v>0.00%</v>
      </c>
      <c r="P75" s="2">
        <f t="shared" si="36"/>
        <v>0</v>
      </c>
      <c r="Q75" s="854" t="str">
        <f>TEXT('MYP Assumptions'!G75,"0.00%")&amp;", CPI"</f>
        <v>3.02%, CPI</v>
      </c>
      <c r="S75" s="83" t="str">
        <f t="shared" si="32"/>
        <v>0.00%</v>
      </c>
      <c r="T75" s="2">
        <f t="shared" si="37"/>
        <v>0</v>
      </c>
      <c r="U75" s="81" t="str">
        <f>TEXT('MYP Assumptions'!H75,"0.00%")&amp;", CPI"</f>
        <v>2.73%, CPI</v>
      </c>
      <c r="W75" s="83" t="str">
        <f t="shared" si="33"/>
        <v>0.00%</v>
      </c>
      <c r="X75" s="2">
        <f t="shared" si="38"/>
        <v>0</v>
      </c>
      <c r="Y75" s="81" t="str">
        <f>TEXT('MYP Assumptions'!I75,"0.00%")&amp;", CPI"</f>
        <v>2.73%, CPI</v>
      </c>
      <c r="AA75" s="83" t="str">
        <f t="shared" si="34"/>
        <v>0.00%</v>
      </c>
      <c r="AB75" s="2">
        <f t="shared" si="39"/>
        <v>0</v>
      </c>
      <c r="AC75" s="81" t="str">
        <f>TEXT('MYP Assumptions'!J75,"0.00%")&amp;", CPI"</f>
        <v>2.73%, CPI</v>
      </c>
    </row>
    <row r="76" spans="1:29" hidden="1" x14ac:dyDescent="0.25">
      <c r="A76" s="152"/>
      <c r="B76" s="939"/>
      <c r="D76" s="2">
        <v>0</v>
      </c>
      <c r="E76" s="863"/>
      <c r="F76" s="2"/>
      <c r="G76" s="83" t="str">
        <f t="shared" si="41"/>
        <v>0.00%</v>
      </c>
      <c r="H76" s="2">
        <f>ROUND(D76*(LEFT(I76,5)+1),0)</f>
        <v>0</v>
      </c>
      <c r="I76" s="854" t="str">
        <f>TEXT('MYP Assumptions'!E75,"0.00%")&amp;", CPI"</f>
        <v>3.42%, CPI</v>
      </c>
      <c r="J76" s="66"/>
      <c r="K76" s="83" t="str">
        <f t="shared" si="30"/>
        <v>0.00%</v>
      </c>
      <c r="L76" s="2">
        <f t="shared" si="35"/>
        <v>0</v>
      </c>
      <c r="M76" s="854" t="str">
        <f>TEXT('MYP Assumptions'!F75,"0.00%")&amp;", CPI"</f>
        <v>3.35%, CPI</v>
      </c>
      <c r="O76" s="83" t="str">
        <f t="shared" si="31"/>
        <v>0.00%</v>
      </c>
      <c r="P76" s="2">
        <f t="shared" si="36"/>
        <v>0</v>
      </c>
      <c r="Q76" s="854" t="str">
        <f>TEXT('MYP Assumptions'!G75,"0.00%")&amp;", CPI"</f>
        <v>3.02%, CPI</v>
      </c>
      <c r="S76" s="83" t="str">
        <f t="shared" si="32"/>
        <v>0.00%</v>
      </c>
      <c r="T76" s="2">
        <f t="shared" si="37"/>
        <v>0</v>
      </c>
      <c r="U76" s="81" t="str">
        <f>TEXT('MYP Assumptions'!H75,"0.00%")&amp;", CPI"</f>
        <v>2.73%, CPI</v>
      </c>
      <c r="W76" s="83" t="str">
        <f t="shared" si="33"/>
        <v>0.00%</v>
      </c>
      <c r="X76" s="2">
        <f t="shared" si="38"/>
        <v>0</v>
      </c>
      <c r="Y76" s="81" t="str">
        <f>TEXT('MYP Assumptions'!I75,"0.00%")&amp;", CPI"</f>
        <v>2.73%, CPI</v>
      </c>
      <c r="AA76" s="83" t="str">
        <f t="shared" si="34"/>
        <v>0.00%</v>
      </c>
      <c r="AB76" s="2">
        <f t="shared" si="39"/>
        <v>0</v>
      </c>
      <c r="AC76" s="81" t="str">
        <f>TEXT('MYP Assumptions'!J75,"0.00%")&amp;", CPI"</f>
        <v>2.73%, CPI</v>
      </c>
    </row>
    <row r="77" spans="1:29" hidden="1" x14ac:dyDescent="0.25">
      <c r="A77" s="152"/>
      <c r="B77" s="939"/>
      <c r="D77" s="2">
        <f>'RS 3010-ALL'!AF80</f>
        <v>0</v>
      </c>
      <c r="E77" s="863"/>
      <c r="F77" s="2"/>
      <c r="G77" s="83" t="str">
        <f t="shared" si="41"/>
        <v>0.00%</v>
      </c>
      <c r="H77" s="2">
        <f>ROUND(D77*(LEFT(I77,5)+1),0)</f>
        <v>0</v>
      </c>
      <c r="I77" s="854" t="str">
        <f>TEXT('MYP Assumptions'!E75,"0.00%")&amp;", CPI"</f>
        <v>3.42%, CPI</v>
      </c>
      <c r="J77" s="66"/>
      <c r="K77" s="83" t="str">
        <f t="shared" si="30"/>
        <v>0.00%</v>
      </c>
      <c r="L77" s="2">
        <f t="shared" si="35"/>
        <v>0</v>
      </c>
      <c r="M77" s="854" t="str">
        <f>TEXT('MYP Assumptions'!F75,"0.00%")&amp;", CPI"</f>
        <v>3.35%, CPI</v>
      </c>
      <c r="O77" s="83" t="str">
        <f t="shared" si="31"/>
        <v>0.00%</v>
      </c>
      <c r="P77" s="2">
        <f t="shared" si="36"/>
        <v>0</v>
      </c>
      <c r="Q77" s="854" t="str">
        <f>TEXT('MYP Assumptions'!G75,"0.00%")&amp;", CPI"</f>
        <v>3.02%, CPI</v>
      </c>
      <c r="S77" s="83" t="str">
        <f t="shared" si="32"/>
        <v>0.00%</v>
      </c>
      <c r="T77" s="2">
        <f t="shared" si="37"/>
        <v>0</v>
      </c>
      <c r="U77" s="81" t="str">
        <f>TEXT('MYP Assumptions'!H75,"0.00%")&amp;", CPI"</f>
        <v>2.73%, CPI</v>
      </c>
      <c r="W77" s="83" t="str">
        <f t="shared" si="33"/>
        <v>0.00%</v>
      </c>
      <c r="X77" s="2">
        <f t="shared" si="38"/>
        <v>0</v>
      </c>
      <c r="Y77" s="81" t="str">
        <f>TEXT('MYP Assumptions'!I75,"0.00%")&amp;", CPI"</f>
        <v>2.73%, CPI</v>
      </c>
      <c r="AA77" s="83" t="str">
        <f t="shared" si="34"/>
        <v>0.00%</v>
      </c>
      <c r="AB77" s="2">
        <f t="shared" si="39"/>
        <v>0</v>
      </c>
      <c r="AC77" s="81" t="str">
        <f>TEXT('MYP Assumptions'!J75,"0.00%")&amp;", CPI"</f>
        <v>2.73%, CPI</v>
      </c>
    </row>
    <row r="78" spans="1:29" x14ac:dyDescent="0.25">
      <c r="A78" s="153"/>
      <c r="D78" s="8">
        <f>SUM(D65:D77)</f>
        <v>0</v>
      </c>
      <c r="E78" s="863"/>
      <c r="F78" s="2"/>
      <c r="G78" s="83" t="str">
        <f t="shared" si="41"/>
        <v>0.00%</v>
      </c>
      <c r="H78" s="8">
        <f>SUM(H65:H77)</f>
        <v>0</v>
      </c>
      <c r="I78" s="872"/>
      <c r="J78" s="29"/>
      <c r="K78" s="83" t="str">
        <f t="shared" si="30"/>
        <v>0.00%</v>
      </c>
      <c r="L78" s="8">
        <f>SUM(L65:L77)</f>
        <v>0</v>
      </c>
      <c r="M78" s="948"/>
      <c r="O78" s="83" t="str">
        <f t="shared" si="31"/>
        <v>0.00%</v>
      </c>
      <c r="P78" s="8">
        <f>SUM(P65:P77)</f>
        <v>0</v>
      </c>
      <c r="Q78" s="948"/>
      <c r="S78" s="83" t="str">
        <f t="shared" si="32"/>
        <v>0.00%</v>
      </c>
      <c r="T78" s="8">
        <f>SUM(T65:T77)</f>
        <v>0</v>
      </c>
      <c r="U78" s="73"/>
      <c r="W78" s="83" t="str">
        <f t="shared" si="33"/>
        <v>0.00%</v>
      </c>
      <c r="X78" s="8">
        <f>SUM(X65:X77)</f>
        <v>0</v>
      </c>
      <c r="Y78" s="73"/>
      <c r="AA78" s="83" t="str">
        <f t="shared" si="34"/>
        <v>0.00%</v>
      </c>
      <c r="AB78" s="8">
        <f>SUM(AB65:AB77)</f>
        <v>0</v>
      </c>
      <c r="AC78" s="73"/>
    </row>
    <row r="79" spans="1:29" x14ac:dyDescent="0.25">
      <c r="A79" s="152"/>
      <c r="B79" s="936"/>
      <c r="E79" s="863"/>
      <c r="F79" s="2"/>
      <c r="G79" s="83"/>
      <c r="H79" s="2"/>
      <c r="I79" s="871"/>
      <c r="J79" s="66"/>
      <c r="L79" s="2"/>
      <c r="M79" s="948"/>
      <c r="Q79" s="948"/>
      <c r="T79" s="2"/>
      <c r="U79" s="73"/>
      <c r="X79" s="2"/>
      <c r="Y79" s="73"/>
      <c r="AB79" s="2"/>
      <c r="AC79" s="73"/>
    </row>
    <row r="80" spans="1:29" x14ac:dyDescent="0.25">
      <c r="A80" s="152"/>
      <c r="E80" s="863"/>
      <c r="F80" s="2"/>
      <c r="H80" s="2"/>
      <c r="I80" s="871"/>
      <c r="J80" s="66"/>
      <c r="L80" s="2"/>
      <c r="M80" s="948"/>
      <c r="Q80" s="948"/>
      <c r="T80" s="2"/>
      <c r="U80" s="73"/>
      <c r="X80" s="2"/>
      <c r="Y80" s="73"/>
      <c r="AB80" s="2"/>
      <c r="AC80" s="73"/>
    </row>
    <row r="81" spans="1:29" x14ac:dyDescent="0.25">
      <c r="A81" s="153"/>
      <c r="B81" s="936" t="s">
        <v>0</v>
      </c>
      <c r="D81" s="8">
        <f>SUM(D78,D62,D55,D13)</f>
        <v>640044.14</v>
      </c>
      <c r="E81" s="863"/>
      <c r="F81" s="2"/>
      <c r="G81" s="83">
        <f>IF(D81=0,"0.00%",(H81-D81)/D81)</f>
        <v>1.5198887064257787</v>
      </c>
      <c r="H81" s="8">
        <f>SUM(H78,H62,H55,H13)</f>
        <v>1612840</v>
      </c>
      <c r="I81" s="1292">
        <f>+H81-D81</f>
        <v>972795.86</v>
      </c>
      <c r="J81" s="29"/>
      <c r="K81" s="83">
        <f>IF(H81=0,"0.00%",(L81-H81)/H81)</f>
        <v>-0.74096190570670373</v>
      </c>
      <c r="L81" s="8">
        <f>SUM(L78,L62,L55,L13)</f>
        <v>417787</v>
      </c>
      <c r="M81" s="1292">
        <f>+L81-H81</f>
        <v>-1195053</v>
      </c>
      <c r="O81" s="83">
        <f>IF(L81=0,"0.00%",(P81-L81)/L81)</f>
        <v>2.3500013164603015E-2</v>
      </c>
      <c r="P81" s="8">
        <f>SUM(P78,P62,P55,P13)</f>
        <v>427605</v>
      </c>
      <c r="Q81" s="1292">
        <f>+P81-L81</f>
        <v>9818</v>
      </c>
      <c r="S81" s="83" t="e">
        <f>IF(P81=0,"0.00%",(T81-P81)/P81)</f>
        <v>#VALUE!</v>
      </c>
      <c r="T81" s="8" t="e">
        <f>SUM(T78,T62,T55,T13)</f>
        <v>#VALUE!</v>
      </c>
      <c r="U81" s="73"/>
      <c r="W81" s="83" t="e">
        <f>IF(T81=0,"0.00%",(X81-T81)/T81)</f>
        <v>#VALUE!</v>
      </c>
      <c r="X81" s="8" t="e">
        <f>SUM(X78,X62,X55,X13)</f>
        <v>#VALUE!</v>
      </c>
      <c r="Y81" s="73"/>
      <c r="AA81" s="83" t="e">
        <f>IF(X81=0,"0.00%",(AB81-X81)/X81)</f>
        <v>#VALUE!</v>
      </c>
      <c r="AB81" s="8" t="e">
        <f>SUM(AB78,AB62,AB55,AB13)</f>
        <v>#VALUE!</v>
      </c>
      <c r="AC81" s="73"/>
    </row>
    <row r="82" spans="1:29" x14ac:dyDescent="0.25">
      <c r="A82" s="152"/>
      <c r="E82" s="863"/>
      <c r="F82" s="2"/>
      <c r="H82" s="2"/>
      <c r="I82" s="871"/>
      <c r="J82" s="66"/>
      <c r="L82" s="2"/>
      <c r="M82" s="948"/>
      <c r="Q82" s="948"/>
      <c r="T82" s="2"/>
      <c r="U82" s="73"/>
      <c r="X82" s="2"/>
      <c r="Y82" s="73"/>
      <c r="AB82" s="2"/>
      <c r="AC82" s="73"/>
    </row>
    <row r="83" spans="1:29" x14ac:dyDescent="0.25">
      <c r="A83" s="152"/>
      <c r="B83" s="936" t="s">
        <v>138</v>
      </c>
      <c r="D83" s="3">
        <f>D11-D81</f>
        <v>-246464.23000000004</v>
      </c>
      <c r="G83" s="83">
        <f>IF(D83=0,"0.00%",(H83-D83)/D83)</f>
        <v>3.8844653846929424</v>
      </c>
      <c r="H83" s="3">
        <f>H11-H81</f>
        <v>-1203846</v>
      </c>
      <c r="I83" s="871"/>
      <c r="J83" s="66"/>
      <c r="K83" s="83">
        <f>IF(H83=0,"0.00%",(L83-H83)/H83)</f>
        <v>-1</v>
      </c>
      <c r="L83" s="3">
        <f>L11-L81</f>
        <v>0</v>
      </c>
      <c r="M83" s="948"/>
      <c r="O83" s="83" t="str">
        <f>IF(L83=0,"0.00%",(P83-L83)/L83)</f>
        <v>0.00%</v>
      </c>
      <c r="P83" s="3">
        <f>P11-P81</f>
        <v>0</v>
      </c>
      <c r="Q83" s="948"/>
      <c r="S83" s="83" t="str">
        <f>IF(P83=0,"0.00%",(T83-P83)/P83)</f>
        <v>0.00%</v>
      </c>
      <c r="T83" s="3" t="e">
        <f>T11-T81</f>
        <v>#VALUE!</v>
      </c>
      <c r="U83" s="73"/>
      <c r="W83" s="83" t="e">
        <f>IF(T83=0,"0.00%",(X83-T83)/T83)</f>
        <v>#VALUE!</v>
      </c>
      <c r="X83" s="3" t="e">
        <f>X11-X81</f>
        <v>#VALUE!</v>
      </c>
      <c r="Y83" s="73"/>
      <c r="AA83" s="83" t="e">
        <f>IF(X83=0,"0.00%",(AB83-X83)/X83)</f>
        <v>#VALUE!</v>
      </c>
      <c r="AB83" s="3" t="e">
        <f>AB11-AB81</f>
        <v>#VALUE!</v>
      </c>
      <c r="AC83" s="73"/>
    </row>
    <row r="84" spans="1:29" x14ac:dyDescent="0.25">
      <c r="B84" s="936"/>
      <c r="C84" s="930"/>
      <c r="D84" s="3"/>
      <c r="H84" s="3"/>
      <c r="I84" s="871"/>
      <c r="J84" s="66"/>
      <c r="L84" s="3"/>
      <c r="M84" s="948"/>
      <c r="P84" s="3"/>
      <c r="Q84" s="948"/>
      <c r="T84" s="44"/>
      <c r="U84" s="73"/>
      <c r="X84" s="44"/>
      <c r="Y84" s="73"/>
      <c r="AB84" s="44"/>
      <c r="AC84" s="73"/>
    </row>
    <row r="85" spans="1:29" x14ac:dyDescent="0.25">
      <c r="B85" s="936" t="s">
        <v>136</v>
      </c>
      <c r="C85" s="932"/>
      <c r="D85" s="3">
        <f>D7+D83</f>
        <v>1379641.85</v>
      </c>
      <c r="G85" s="83">
        <f>IF(D85=0,"0.00%",(H85-D85)/D85)</f>
        <v>-0.87257863336053476</v>
      </c>
      <c r="H85" s="3">
        <f>H7+H83</f>
        <v>175795.85000000009</v>
      </c>
      <c r="I85" s="1292">
        <f>+H85-D85</f>
        <v>-1203846</v>
      </c>
      <c r="J85" s="66"/>
      <c r="K85" s="83">
        <f>IF(H85=0,"0.00%",(L85-H85)/H85)</f>
        <v>0</v>
      </c>
      <c r="L85" s="3">
        <f>L7+L83</f>
        <v>175795.85000000009</v>
      </c>
      <c r="M85" s="1292">
        <f>+L85-H85</f>
        <v>0</v>
      </c>
      <c r="O85" s="83">
        <f>IF(L85=0,"0.00%",(P85-L85)/L85)</f>
        <v>0</v>
      </c>
      <c r="P85" s="3">
        <f>P7+P83</f>
        <v>175795.85000000009</v>
      </c>
      <c r="Q85" s="1292">
        <f>+P85-L85</f>
        <v>0</v>
      </c>
      <c r="S85" s="83" t="e">
        <f>IF(P85=0,"0.00%",(T85-P85)/P85)</f>
        <v>#VALUE!</v>
      </c>
      <c r="T85" s="49" t="e">
        <f>T7+T83</f>
        <v>#VALUE!</v>
      </c>
      <c r="U85" s="73"/>
      <c r="W85" s="83" t="e">
        <f>IF(T85=0,"0.00%",(X85-T85)/T85)</f>
        <v>#VALUE!</v>
      </c>
      <c r="X85" s="49" t="e">
        <f>X7+X83</f>
        <v>#VALUE!</v>
      </c>
      <c r="Y85" s="73"/>
      <c r="AA85" s="83" t="e">
        <f>IF(X85=0,"0.00%",(AB85-X85)/X85)</f>
        <v>#VALUE!</v>
      </c>
      <c r="AB85" s="49" t="e">
        <f>AB7+AB83</f>
        <v>#VALUE!</v>
      </c>
      <c r="AC85" s="73"/>
    </row>
    <row r="86" spans="1:29" x14ac:dyDescent="0.25">
      <c r="C86" s="873"/>
      <c r="G86" s="374"/>
      <c r="H86" s="5"/>
      <c r="I86" s="872"/>
      <c r="J86" s="29"/>
      <c r="L86" s="5"/>
      <c r="M86" s="948"/>
      <c r="P86" s="5"/>
      <c r="Q86" s="948"/>
      <c r="T86" s="5"/>
      <c r="U86" s="73"/>
      <c r="X86" s="5"/>
      <c r="Y86" s="73"/>
      <c r="AB86" s="5"/>
      <c r="AC86" s="73"/>
    </row>
    <row r="87" spans="1:29" x14ac:dyDescent="0.25">
      <c r="C87" s="868"/>
      <c r="G87" s="374"/>
      <c r="H87" s="36"/>
      <c r="I87" s="871"/>
      <c r="J87" s="66"/>
      <c r="L87" s="2"/>
      <c r="M87" s="948"/>
      <c r="Q87" s="948"/>
      <c r="T87" s="2"/>
      <c r="U87" s="73"/>
      <c r="X87" s="2"/>
      <c r="Y87" s="73"/>
      <c r="AB87" s="2"/>
      <c r="AC87" s="73"/>
    </row>
    <row r="88" spans="1:29" x14ac:dyDescent="0.25">
      <c r="C88" s="868"/>
      <c r="G88" s="374"/>
      <c r="H88" s="36"/>
      <c r="I88" s="871"/>
      <c r="J88" s="66"/>
      <c r="L88" s="2"/>
      <c r="M88" s="948"/>
      <c r="Q88" s="948"/>
      <c r="T88" s="2"/>
      <c r="U88" s="73"/>
      <c r="X88" s="2"/>
      <c r="Y88" s="73"/>
      <c r="AB88" s="2"/>
      <c r="AC88" s="73"/>
    </row>
    <row r="89" spans="1:29" x14ac:dyDescent="0.25">
      <c r="C89" s="868"/>
      <c r="G89" s="374"/>
      <c r="H89" s="36"/>
      <c r="I89" s="871"/>
      <c r="J89" s="66"/>
      <c r="L89" s="2"/>
      <c r="M89" s="948"/>
      <c r="Q89" s="948"/>
      <c r="T89" s="2"/>
      <c r="U89" s="73"/>
      <c r="X89" s="2"/>
      <c r="Y89" s="73"/>
      <c r="AB89" s="2"/>
      <c r="AC89" s="73"/>
    </row>
    <row r="90" spans="1:29" x14ac:dyDescent="0.25">
      <c r="C90" s="868"/>
      <c r="G90" s="374"/>
      <c r="H90" s="36"/>
      <c r="I90" s="871"/>
      <c r="J90" s="66"/>
      <c r="L90" s="2"/>
      <c r="M90" s="948"/>
      <c r="Q90" s="948"/>
      <c r="T90" s="2"/>
      <c r="U90" s="73"/>
      <c r="X90" s="2"/>
      <c r="Y90" s="73"/>
      <c r="AB90" s="2"/>
      <c r="AC90" s="73"/>
    </row>
    <row r="91" spans="1:29" s="137" customFormat="1" ht="11.25" x14ac:dyDescent="0.2">
      <c r="A91" s="156"/>
      <c r="B91" s="942"/>
      <c r="C91" s="943" t="s">
        <v>223</v>
      </c>
      <c r="D91" s="134">
        <f>+D78+D62+D53+D41+D30</f>
        <v>640044.14</v>
      </c>
      <c r="E91" s="865"/>
      <c r="G91" s="133" t="s">
        <v>223</v>
      </c>
      <c r="H91" s="134">
        <f>+H78+H62+H53+H41+H30</f>
        <v>1612840</v>
      </c>
      <c r="I91" s="874"/>
      <c r="J91" s="135"/>
      <c r="K91" s="133" t="s">
        <v>223</v>
      </c>
      <c r="L91" s="134">
        <f>+L78+L62+L53+L41+L30</f>
        <v>417787</v>
      </c>
      <c r="M91" s="951"/>
      <c r="O91" s="133" t="s">
        <v>223</v>
      </c>
      <c r="P91" s="134">
        <f>+P78+P62+P53+P41+P30</f>
        <v>427605</v>
      </c>
      <c r="Q91" s="951"/>
      <c r="R91" s="139"/>
      <c r="S91" s="133" t="s">
        <v>223</v>
      </c>
      <c r="T91" s="134" t="e">
        <f>+T78+T62+T53+T41+T30</f>
        <v>#VALUE!</v>
      </c>
      <c r="U91" s="138"/>
      <c r="W91" s="133" t="s">
        <v>223</v>
      </c>
      <c r="X91" s="134" t="e">
        <f>+X78+X62+X53+X41+X30</f>
        <v>#VALUE!</v>
      </c>
      <c r="Y91" s="138"/>
      <c r="AA91" s="133" t="s">
        <v>223</v>
      </c>
      <c r="AB91" s="134" t="e">
        <f>+AB78+AB62+AB53+AB41+AB30</f>
        <v>#VALUE!</v>
      </c>
      <c r="AC91" s="138"/>
    </row>
    <row r="92" spans="1:29" s="137" customFormat="1" ht="11.25" x14ac:dyDescent="0.2">
      <c r="A92" s="158"/>
      <c r="B92" s="942"/>
      <c r="C92" s="944" t="s">
        <v>224</v>
      </c>
      <c r="D92" s="142">
        <f>+D13</f>
        <v>0</v>
      </c>
      <c r="E92" s="866"/>
      <c r="F92" s="144"/>
      <c r="G92" s="375" t="s">
        <v>224</v>
      </c>
      <c r="H92" s="142">
        <f>+H13</f>
        <v>0</v>
      </c>
      <c r="I92" s="875"/>
      <c r="J92" s="143"/>
      <c r="K92" s="375" t="s">
        <v>224</v>
      </c>
      <c r="L92" s="142">
        <f>+L13</f>
        <v>0</v>
      </c>
      <c r="M92" s="951"/>
      <c r="O92" s="375" t="s">
        <v>224</v>
      </c>
      <c r="P92" s="142">
        <f>+P13</f>
        <v>0</v>
      </c>
      <c r="Q92" s="865"/>
      <c r="R92" s="139"/>
      <c r="S92" s="141" t="s">
        <v>224</v>
      </c>
      <c r="T92" s="142">
        <f>+T13</f>
        <v>0</v>
      </c>
      <c r="W92" s="141" t="s">
        <v>224</v>
      </c>
      <c r="X92" s="142">
        <f>+X13</f>
        <v>0</v>
      </c>
      <c r="AA92" s="141" t="s">
        <v>224</v>
      </c>
      <c r="AB92" s="142">
        <f>+AB13</f>
        <v>0</v>
      </c>
    </row>
    <row r="93" spans="1:29" s="137" customFormat="1" ht="11.25" x14ac:dyDescent="0.2">
      <c r="A93" s="158"/>
      <c r="B93" s="942"/>
      <c r="C93" s="944"/>
      <c r="D93" s="145">
        <f>+D91+D92</f>
        <v>640044.14</v>
      </c>
      <c r="E93" s="866"/>
      <c r="F93" s="144"/>
      <c r="G93" s="375"/>
      <c r="H93" s="145">
        <f>+H91+H92</f>
        <v>1612840</v>
      </c>
      <c r="I93" s="875"/>
      <c r="J93" s="143"/>
      <c r="K93" s="375"/>
      <c r="L93" s="145">
        <f>+L91+L92</f>
        <v>417787</v>
      </c>
      <c r="M93" s="865"/>
      <c r="O93" s="375"/>
      <c r="P93" s="145">
        <f>+P91+P92</f>
        <v>427605</v>
      </c>
      <c r="Q93" s="865"/>
      <c r="R93" s="139"/>
      <c r="S93" s="141"/>
      <c r="T93" s="145" t="e">
        <f>+T91+T92</f>
        <v>#VALUE!</v>
      </c>
      <c r="W93" s="141"/>
      <c r="X93" s="145" t="e">
        <f>+X91+X92</f>
        <v>#VALUE!</v>
      </c>
      <c r="AA93" s="141"/>
      <c r="AB93" s="145" t="e">
        <f>+AB91+AB92</f>
        <v>#VALUE!</v>
      </c>
    </row>
    <row r="94" spans="1:29" ht="15" customHeight="1" x14ac:dyDescent="0.25">
      <c r="A94" s="152"/>
      <c r="B94" s="945"/>
      <c r="C94" s="945"/>
      <c r="D94" s="5">
        <f>+D81-D93</f>
        <v>0</v>
      </c>
      <c r="E94" s="863"/>
      <c r="F94" s="2"/>
      <c r="G94" s="376"/>
      <c r="H94" s="5">
        <f>+H81-H93</f>
        <v>0</v>
      </c>
      <c r="K94" s="376"/>
      <c r="L94" s="5">
        <f>+L81-L93</f>
        <v>0</v>
      </c>
      <c r="O94" s="376"/>
      <c r="P94" s="5">
        <f>+P81-P93</f>
        <v>0</v>
      </c>
      <c r="S94" s="103"/>
      <c r="T94" s="5" t="e">
        <f>+T81-T93</f>
        <v>#VALUE!</v>
      </c>
      <c r="W94" s="103"/>
      <c r="X94" s="5" t="e">
        <f>+X81-X93</f>
        <v>#VALUE!</v>
      </c>
      <c r="AA94" s="103"/>
      <c r="AB94" s="5" t="e">
        <f>+AB81-AB93</f>
        <v>#VALUE!</v>
      </c>
    </row>
    <row r="95" spans="1:29" x14ac:dyDescent="0.25">
      <c r="A95" s="152"/>
      <c r="B95" s="945"/>
      <c r="C95" s="945"/>
      <c r="D95" s="36"/>
      <c r="E95" s="863"/>
      <c r="F95" s="2"/>
    </row>
    <row r="96" spans="1:29" x14ac:dyDescent="0.25">
      <c r="A96" s="152"/>
      <c r="B96" s="932"/>
      <c r="C96" s="868"/>
      <c r="D96" s="25"/>
      <c r="E96" s="863"/>
      <c r="F96" s="2"/>
    </row>
    <row r="97" spans="2:4" x14ac:dyDescent="0.25">
      <c r="B97" s="932"/>
      <c r="C97" s="868"/>
      <c r="D97" s="36"/>
    </row>
    <row r="98" spans="2:4" x14ac:dyDescent="0.25">
      <c r="B98" s="932"/>
      <c r="C98" s="868"/>
      <c r="D98" s="36"/>
    </row>
    <row r="99" spans="2:4" ht="15" customHeight="1" x14ac:dyDescent="0.25">
      <c r="B99" s="932"/>
      <c r="C99" s="868"/>
      <c r="D99" s="36"/>
    </row>
    <row r="100" spans="2:4" x14ac:dyDescent="0.25">
      <c r="B100" s="932"/>
      <c r="C100" s="868"/>
      <c r="D100" s="36"/>
    </row>
    <row r="101" spans="2:4" x14ac:dyDescent="0.25">
      <c r="B101" s="932"/>
      <c r="C101" s="868"/>
      <c r="D101" s="36"/>
    </row>
    <row r="102" spans="2:4" ht="15" customHeight="1" x14ac:dyDescent="0.25">
      <c r="B102" s="2209"/>
      <c r="C102" s="2209"/>
      <c r="D102" s="36"/>
    </row>
    <row r="103" spans="2:4" x14ac:dyDescent="0.25">
      <c r="B103" s="2209"/>
      <c r="C103" s="2209"/>
      <c r="D103" s="36"/>
    </row>
    <row r="104" spans="2:4" x14ac:dyDescent="0.25">
      <c r="B104" s="932"/>
      <c r="C104" s="868"/>
      <c r="D104" s="6"/>
    </row>
    <row r="105" spans="2:4" x14ac:dyDescent="0.25">
      <c r="B105" s="932"/>
      <c r="C105" s="868"/>
      <c r="D105" s="36"/>
    </row>
    <row r="106" spans="2:4" x14ac:dyDescent="0.25">
      <c r="B106" s="932"/>
      <c r="C106" s="868"/>
      <c r="D106" s="36"/>
    </row>
    <row r="107" spans="2:4" ht="28.5" customHeight="1" x14ac:dyDescent="0.25">
      <c r="B107" s="932"/>
      <c r="C107" s="868"/>
      <c r="D107" s="25"/>
    </row>
    <row r="108" spans="2:4" x14ac:dyDescent="0.25">
      <c r="B108" s="932"/>
      <c r="C108" s="868"/>
      <c r="D108" s="36"/>
    </row>
    <row r="109" spans="2:4" x14ac:dyDescent="0.25">
      <c r="B109" s="932"/>
      <c r="C109" s="868"/>
      <c r="D109" s="36"/>
    </row>
    <row r="110" spans="2:4" x14ac:dyDescent="0.25">
      <c r="B110" s="932"/>
      <c r="C110" s="868"/>
      <c r="D110" s="36"/>
    </row>
    <row r="111" spans="2:4" x14ac:dyDescent="0.25">
      <c r="B111" s="932"/>
      <c r="C111" s="868"/>
      <c r="D111" s="36"/>
    </row>
    <row r="112" spans="2:4" x14ac:dyDescent="0.25">
      <c r="B112" s="932"/>
      <c r="C112" s="868"/>
      <c r="D112" s="36"/>
    </row>
    <row r="113" spans="2:4" x14ac:dyDescent="0.25">
      <c r="B113" s="932"/>
      <c r="C113" s="868"/>
      <c r="D113" s="36"/>
    </row>
    <row r="114" spans="2:4" x14ac:dyDescent="0.25">
      <c r="B114" s="932"/>
      <c r="C114" s="868"/>
      <c r="D114" s="36"/>
    </row>
    <row r="115" spans="2:4" x14ac:dyDescent="0.25">
      <c r="B115" s="932"/>
      <c r="C115" s="868"/>
      <c r="D115" s="36"/>
    </row>
    <row r="116" spans="2:4" x14ac:dyDescent="0.25">
      <c r="B116" s="932"/>
      <c r="C116" s="868"/>
      <c r="D116" s="36"/>
    </row>
    <row r="117" spans="2:4" x14ac:dyDescent="0.25">
      <c r="B117" s="932"/>
      <c r="C117" s="868"/>
      <c r="D117" s="36"/>
    </row>
    <row r="118" spans="2:4" x14ac:dyDescent="0.25">
      <c r="B118" s="932"/>
      <c r="C118" s="868"/>
      <c r="D118" s="36"/>
    </row>
    <row r="119" spans="2:4" x14ac:dyDescent="0.25">
      <c r="B119" s="932"/>
      <c r="C119" s="868"/>
      <c r="D119" s="36"/>
    </row>
    <row r="120" spans="2:4" x14ac:dyDescent="0.25">
      <c r="B120" s="932"/>
      <c r="C120" s="868"/>
      <c r="D120" s="36"/>
    </row>
    <row r="121" spans="2:4" x14ac:dyDescent="0.25">
      <c r="B121" s="932"/>
      <c r="C121" s="868"/>
      <c r="D121" s="36"/>
    </row>
    <row r="122" spans="2:4" x14ac:dyDescent="0.25">
      <c r="B122" s="932"/>
      <c r="C122" s="868"/>
      <c r="D122" s="36"/>
    </row>
  </sheetData>
  <sheetProtection password="B79F" sheet="1" objects="1" scenarios="1"/>
  <mergeCells count="1">
    <mergeCell ref="B102:C103"/>
  </mergeCells>
  <pageMargins left="0.25" right="0.25" top="0.5" bottom="0.5" header="0.25" footer="0.25"/>
  <pageSetup paperSize="5" scale="72" orientation="portrait" r:id="rId1"/>
  <headerFooter>
    <oddHeader>&amp;L&amp;F</oddHeader>
    <oddFooter>&amp;R&amp;A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45"/>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1.5703125" style="1036" customWidth="1"/>
    <col min="2" max="2" width="8.5703125" style="930" customWidth="1"/>
    <col min="3" max="3" width="18.28515625" style="857" customWidth="1"/>
    <col min="4" max="4" width="16" style="2" customWidth="1"/>
    <col min="5" max="5" width="20" style="857" hidden="1" customWidth="1"/>
    <col min="6" max="6" width="6" style="39" customWidth="1"/>
    <col min="7" max="7" width="9.42578125" style="52" bestFit="1" customWidth="1"/>
    <col min="8" max="8" width="15.85546875" style="122" customWidth="1"/>
    <col min="9" max="9" width="26" style="868" hidden="1" customWidth="1"/>
    <col min="10" max="10" width="5.7109375" style="59" customWidth="1"/>
    <col min="11" max="11" width="9.42578125" style="377" customWidth="1"/>
    <col min="12" max="12" width="15.42578125" style="123" customWidth="1"/>
    <col min="13" max="13" width="26" style="857" hidden="1" customWidth="1"/>
    <col min="14" max="14" width="5.7109375" style="39" customWidth="1"/>
    <col min="15" max="15" width="9.42578125" style="377" bestFit="1" customWidth="1"/>
    <col min="16" max="16" width="15.28515625" style="2" customWidth="1"/>
    <col min="17" max="17" width="24.85546875" style="857"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930" t="s">
        <v>61</v>
      </c>
      <c r="C1" s="931" t="s">
        <v>236</v>
      </c>
      <c r="D1" s="1044"/>
      <c r="E1" s="855"/>
      <c r="F1" s="98"/>
      <c r="G1" s="369"/>
      <c r="H1" s="1045"/>
      <c r="I1" s="855"/>
      <c r="K1" s="382"/>
      <c r="L1" s="122"/>
      <c r="M1" s="855"/>
      <c r="N1" s="51"/>
      <c r="O1" s="382"/>
      <c r="P1" s="122"/>
      <c r="Q1" s="855"/>
      <c r="T1" s="86">
        <v>0</v>
      </c>
      <c r="U1" s="98"/>
      <c r="X1" s="86">
        <v>0</v>
      </c>
      <c r="Y1" s="98"/>
      <c r="AB1" s="86">
        <v>0</v>
      </c>
      <c r="AC1" s="98"/>
    </row>
    <row r="2" spans="1:29" ht="17.25" x14ac:dyDescent="0.4">
      <c r="B2" s="932" t="s">
        <v>59</v>
      </c>
      <c r="C2" s="933">
        <v>6500</v>
      </c>
      <c r="D2" s="1045"/>
      <c r="E2" s="855"/>
      <c r="F2" s="98"/>
      <c r="G2" s="1863"/>
      <c r="H2" s="1045"/>
      <c r="I2" s="855"/>
      <c r="K2" s="382"/>
      <c r="L2" s="87"/>
      <c r="M2" s="855"/>
      <c r="N2" s="51"/>
      <c r="O2" s="382"/>
      <c r="P2" s="87"/>
      <c r="Q2" s="855"/>
      <c r="T2" s="87">
        <v>0</v>
      </c>
      <c r="U2" s="98"/>
      <c r="X2" s="87">
        <v>0</v>
      </c>
      <c r="Y2" s="98"/>
      <c r="AB2" s="87">
        <v>0</v>
      </c>
      <c r="AC2" s="98"/>
    </row>
    <row r="3" spans="1:29" x14ac:dyDescent="0.25">
      <c r="D3" s="1046"/>
      <c r="E3" s="867"/>
      <c r="F3" s="1047"/>
      <c r="G3" s="1864"/>
      <c r="H3" s="1046"/>
      <c r="I3" s="867"/>
      <c r="K3" s="382"/>
      <c r="L3" s="122"/>
      <c r="M3" s="868"/>
      <c r="N3" s="51"/>
      <c r="O3" s="382"/>
      <c r="P3" s="122"/>
      <c r="Q3" s="868"/>
      <c r="T3" s="86">
        <f>SUM(T1:T2)</f>
        <v>0</v>
      </c>
      <c r="U3" s="51"/>
      <c r="X3" s="86">
        <f>SUM(X1:X2)</f>
        <v>0</v>
      </c>
      <c r="Y3" s="51"/>
      <c r="AB3" s="86">
        <f>SUM(AB1:AB2)</f>
        <v>0</v>
      </c>
      <c r="AC3" s="51"/>
    </row>
    <row r="4" spans="1:29" x14ac:dyDescent="0.25">
      <c r="D4" s="36"/>
      <c r="E4" s="868"/>
      <c r="F4" s="51"/>
      <c r="G4" s="374"/>
      <c r="K4" s="382"/>
      <c r="L4" s="122"/>
      <c r="M4" s="868"/>
      <c r="N4" s="51"/>
      <c r="O4" s="382"/>
      <c r="P4" s="122"/>
      <c r="Q4" s="868"/>
      <c r="T4" s="86"/>
      <c r="U4" s="51"/>
      <c r="X4" s="86"/>
      <c r="Y4" s="51"/>
      <c r="AB4" s="86"/>
      <c r="AC4" s="51"/>
    </row>
    <row r="5" spans="1:29" ht="15.75" x14ac:dyDescent="0.25">
      <c r="B5" s="934" t="s">
        <v>56</v>
      </c>
      <c r="P5" s="123"/>
      <c r="T5" s="73"/>
      <c r="X5" s="73"/>
      <c r="AB5" s="73"/>
    </row>
    <row r="6" spans="1:29" s="89" customFormat="1" ht="15.75" x14ac:dyDescent="0.25">
      <c r="A6" s="1037"/>
      <c r="B6" s="935"/>
      <c r="C6" s="935"/>
      <c r="D6" s="284" t="s">
        <v>55</v>
      </c>
      <c r="E6" s="858"/>
      <c r="G6" s="371"/>
      <c r="H6" s="324" t="str">
        <f>LEFT(D6,4)+1&amp;"-"&amp;RIGHT(D6,4)+1</f>
        <v>2017-2018</v>
      </c>
      <c r="I6" s="869"/>
      <c r="J6" s="93"/>
      <c r="K6" s="378"/>
      <c r="L6" s="124" t="str">
        <f>LEFT(H6,4)+1&amp;"-"&amp;RIGHT(H6,4)+1</f>
        <v>2018-2019</v>
      </c>
      <c r="M6" s="946"/>
      <c r="N6" s="96"/>
      <c r="O6" s="381"/>
      <c r="P6" s="124" t="str">
        <f>LEFT(L6,4)+1&amp;"-"&amp;RIGHT(L6,4)+1</f>
        <v>2019-2020</v>
      </c>
      <c r="Q6" s="94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936" t="s">
        <v>54</v>
      </c>
      <c r="D7" s="2">
        <v>0</v>
      </c>
      <c r="E7" s="928"/>
      <c r="H7" s="2">
        <f>D108</f>
        <v>0</v>
      </c>
      <c r="I7" s="928"/>
      <c r="J7" s="60"/>
      <c r="L7" s="2">
        <f>H108</f>
        <v>0</v>
      </c>
      <c r="M7" s="928"/>
      <c r="P7" s="2">
        <f>L108</f>
        <v>0</v>
      </c>
      <c r="Q7" s="928"/>
      <c r="T7" s="2">
        <f>P108</f>
        <v>0</v>
      </c>
      <c r="U7" s="105"/>
      <c r="X7" s="2">
        <f>T108</f>
        <v>2421247.1400000006</v>
      </c>
      <c r="Y7" s="105"/>
      <c r="AB7" s="2">
        <f>X108</f>
        <v>-9073643.8599999994</v>
      </c>
      <c r="AC7" s="105"/>
    </row>
    <row r="8" spans="1:29" x14ac:dyDescent="0.25">
      <c r="E8" s="928"/>
      <c r="H8" s="2"/>
      <c r="I8" s="928"/>
      <c r="L8" s="2"/>
      <c r="M8" s="928"/>
      <c r="Q8" s="928"/>
      <c r="U8" s="105"/>
      <c r="Y8" s="105"/>
      <c r="AC8" s="105"/>
    </row>
    <row r="9" spans="1:29" x14ac:dyDescent="0.25">
      <c r="B9" s="930" t="s">
        <v>52</v>
      </c>
      <c r="C9" s="857" t="s">
        <v>239</v>
      </c>
      <c r="D9" s="2">
        <v>1039279</v>
      </c>
      <c r="E9" s="928" t="s">
        <v>467</v>
      </c>
      <c r="G9" s="83">
        <f>IF(D9=0,"0.00%",(H9-D9)/D9)</f>
        <v>2.4857617636842466E-2</v>
      </c>
      <c r="H9" s="3">
        <v>1065113</v>
      </c>
      <c r="I9" s="928" t="s">
        <v>467</v>
      </c>
      <c r="J9" s="61"/>
      <c r="K9" s="83">
        <f>IF(H9=0,"0.00%",(L9-H9)/H9)</f>
        <v>2.1500066190160105E-2</v>
      </c>
      <c r="L9" s="2">
        <f>ROUND(H9*(+LEFT(M9,5)+1),0)</f>
        <v>1088013</v>
      </c>
      <c r="M9" s="871" t="str">
        <f>TEXT('MYP Assumptions'!$F$47,"0.00%")&amp;" = COLA"</f>
        <v>2.15% = COLA</v>
      </c>
      <c r="O9" s="83">
        <f>IF(L9=0,"0.00%",(P9-L9)/L9)</f>
        <v>2.3499719212913817E-2</v>
      </c>
      <c r="P9" s="2">
        <f>ROUND(L9*(+LEFT(Q9,5)+1),0)</f>
        <v>1113581</v>
      </c>
      <c r="Q9" s="871" t="str">
        <f>TEXT('MYP Assumptions'!$G$47,"0.00%")&amp;" = COLA"</f>
        <v>2.35% = COLA</v>
      </c>
      <c r="S9" s="83">
        <f>IF(P9=0,"0.00%",(T9-P9)/P9)</f>
        <v>0</v>
      </c>
      <c r="T9" s="3">
        <f>+P9</f>
        <v>1113581</v>
      </c>
      <c r="U9" s="105" t="s">
        <v>174</v>
      </c>
      <c r="W9" s="83">
        <f>IF(T9=0,"0.00%",(X9-T9)/T9)</f>
        <v>0</v>
      </c>
      <c r="X9" s="3">
        <f>+T9</f>
        <v>1113581</v>
      </c>
      <c r="Y9" s="105" t="s">
        <v>174</v>
      </c>
      <c r="AA9" s="83">
        <f>IF(X9=0,"0.00%",(AB9-X9)/X9)</f>
        <v>0</v>
      </c>
      <c r="AB9" s="3">
        <f>+X9</f>
        <v>1113581</v>
      </c>
      <c r="AC9" s="105" t="s">
        <v>174</v>
      </c>
    </row>
    <row r="10" spans="1:29" x14ac:dyDescent="0.25">
      <c r="B10" s="939">
        <v>8677</v>
      </c>
      <c r="C10" s="857" t="s">
        <v>240</v>
      </c>
      <c r="D10" s="2">
        <v>325434.21999999997</v>
      </c>
      <c r="E10" s="928" t="s">
        <v>467</v>
      </c>
      <c r="G10" s="83">
        <f t="shared" ref="G10:G12" si="0">IF(D10=0,"0.00%",(H10-D10)/D10)</f>
        <v>2.0295284251299783E-2</v>
      </c>
      <c r="H10" s="2">
        <v>332039</v>
      </c>
      <c r="I10" s="928" t="s">
        <v>467</v>
      </c>
      <c r="J10" s="61"/>
      <c r="K10" s="83">
        <f t="shared" ref="K10:K12" si="1">IF(H10=0,"0.00%",(L10-H10)/H10)</f>
        <v>2.1500486388647117E-2</v>
      </c>
      <c r="L10" s="2">
        <f>ROUND(H10*(+LEFT(M10,5)+1),0)</f>
        <v>339178</v>
      </c>
      <c r="M10" s="871" t="str">
        <f>TEXT('MYP Assumptions'!$F$47,"0.00%")&amp;" = COLA"</f>
        <v>2.15% = COLA</v>
      </c>
      <c r="O10" s="83">
        <f t="shared" ref="O10:O12" si="2">IF(L10=0,"0.00%",(P10-L10)/L10)</f>
        <v>2.350093461250435E-2</v>
      </c>
      <c r="P10" s="2">
        <f>ROUND(L10*(+LEFT(Q10,5)+1),0)</f>
        <v>347149</v>
      </c>
      <c r="Q10" s="871" t="str">
        <f>TEXT('MYP Assumptions'!$G$47,"0.00%")&amp;" = COLA"</f>
        <v>2.35% = COLA</v>
      </c>
      <c r="S10" s="83"/>
      <c r="T10" s="2">
        <f>ROUND(P10*(+LEFT(U10,5)+1),0)</f>
        <v>356071</v>
      </c>
      <c r="U10" s="36" t="str">
        <f>TEXT('MYP Assumptions'!H47,"0.00%")&amp;" = COLA"</f>
        <v>2.57% = COLA</v>
      </c>
      <c r="W10" s="83"/>
      <c r="X10" s="2">
        <f>ROUND(T10*(+LEFT(Y10,5)+1),0)</f>
        <v>365222</v>
      </c>
      <c r="Y10" s="36" t="str">
        <f>TEXT('MYP Assumptions'!I47,"0.00%")&amp;" = COLA"</f>
        <v>2.57% = COLA</v>
      </c>
      <c r="AA10" s="83"/>
      <c r="AB10" s="2">
        <f>ROUND(X10*(+LEFT(AC10,5)+1),0)</f>
        <v>374608</v>
      </c>
      <c r="AC10" s="36" t="str">
        <f>TEXT('MYP Assumptions'!J47,"0.00%")&amp;" = COLA"</f>
        <v>2.57% = COLA</v>
      </c>
    </row>
    <row r="11" spans="1:29" x14ac:dyDescent="0.25">
      <c r="B11" s="939">
        <v>8792</v>
      </c>
      <c r="C11" s="857" t="s">
        <v>241</v>
      </c>
      <c r="D11" s="2">
        <f>9627+3098291</f>
        <v>3107918</v>
      </c>
      <c r="E11" s="928" t="s">
        <v>467</v>
      </c>
      <c r="G11" s="83">
        <f t="shared" si="0"/>
        <v>-2.33703077108212E-2</v>
      </c>
      <c r="H11" s="2">
        <v>3035285</v>
      </c>
      <c r="I11" s="928" t="s">
        <v>467</v>
      </c>
      <c r="J11" s="61"/>
      <c r="K11" s="83">
        <f t="shared" si="1"/>
        <v>2.1500122723236863E-2</v>
      </c>
      <c r="L11" s="2">
        <f>ROUND(H11*(+LEFT(M11,5)+1),0)</f>
        <v>3100544</v>
      </c>
      <c r="M11" s="871" t="str">
        <f>TEXT('MYP Assumptions'!F47,"0.00%")&amp;" = COLA"</f>
        <v>2.15% = COLA</v>
      </c>
      <c r="O11" s="83">
        <f t="shared" si="2"/>
        <v>2.3500069665194238E-2</v>
      </c>
      <c r="P11" s="2">
        <f>ROUND(L11*(+LEFT(Q11,5)+1),0)</f>
        <v>3173407</v>
      </c>
      <c r="Q11" s="871" t="str">
        <f>TEXT('MYP Assumptions'!G47,"0.00%")&amp;" = COLA"</f>
        <v>2.35% = COLA</v>
      </c>
      <c r="S11" s="83"/>
      <c r="T11" s="2">
        <f>ROUND(P11*(+LEFT(U11,5)+1),0)</f>
        <v>3254964</v>
      </c>
      <c r="U11" s="36" t="str">
        <f>TEXT('MYP Assumptions'!H47,"0.00%")&amp;" = COLA"</f>
        <v>2.57% = COLA</v>
      </c>
      <c r="W11" s="83"/>
      <c r="X11" s="2">
        <f>ROUND(T11*(+LEFT(Y11,5)+1),0)</f>
        <v>3338617</v>
      </c>
      <c r="Y11" s="36" t="str">
        <f>TEXT('MYP Assumptions'!I47,"0.00%")&amp;" = COLA"</f>
        <v>2.57% = COLA</v>
      </c>
      <c r="AA11" s="83"/>
      <c r="AB11" s="2">
        <f>ROUND(X11*(+LEFT(AC11,5)+1),0)</f>
        <v>3424419</v>
      </c>
      <c r="AC11" s="36" t="str">
        <f>TEXT('MYP Assumptions'!J47,"0.00%")&amp;" = COLA"</f>
        <v>2.57% = COLA</v>
      </c>
    </row>
    <row r="12" spans="1:29" x14ac:dyDescent="0.25">
      <c r="B12" s="939">
        <v>8986</v>
      </c>
      <c r="C12" s="857" t="s">
        <v>242</v>
      </c>
      <c r="D12" s="348">
        <v>11011522.92</v>
      </c>
      <c r="E12" s="1292"/>
      <c r="G12" s="83">
        <f t="shared" si="0"/>
        <v>0.13726966660121159</v>
      </c>
      <c r="H12" s="162">
        <v>12523071</v>
      </c>
      <c r="I12" s="1292">
        <f>+H12-D12</f>
        <v>1511548.08</v>
      </c>
      <c r="J12" s="61"/>
      <c r="K12" s="83">
        <f t="shared" si="1"/>
        <v>2.0089241688400553E-2</v>
      </c>
      <c r="L12" s="162">
        <v>12774650</v>
      </c>
      <c r="M12" s="1292">
        <f>+L12-H12</f>
        <v>251579</v>
      </c>
      <c r="O12" s="83">
        <f t="shared" si="2"/>
        <v>3.236002551929016E-2</v>
      </c>
      <c r="P12" s="162">
        <v>13188038</v>
      </c>
      <c r="Q12" s="1292">
        <f>+P12-L12</f>
        <v>413388</v>
      </c>
      <c r="S12" s="83"/>
      <c r="T12" s="162">
        <f>+P12*1.03</f>
        <v>13583679.140000001</v>
      </c>
      <c r="U12" s="105"/>
      <c r="W12" s="83"/>
      <c r="X12" s="162"/>
      <c r="Y12" s="105"/>
      <c r="AA12" s="83"/>
      <c r="AB12" s="162"/>
      <c r="AC12" s="105"/>
    </row>
    <row r="13" spans="1:29" ht="6" customHeight="1" x14ac:dyDescent="0.25">
      <c r="E13" s="928"/>
      <c r="G13" s="83"/>
      <c r="H13" s="3"/>
      <c r="I13" s="928"/>
      <c r="J13" s="61"/>
      <c r="K13" s="83"/>
      <c r="L13" s="3"/>
      <c r="M13" s="928"/>
      <c r="O13" s="83"/>
      <c r="P13" s="3">
        <f>-L2</f>
        <v>0</v>
      </c>
      <c r="Q13" s="928"/>
      <c r="S13" s="83"/>
      <c r="T13" s="3">
        <f>-P2</f>
        <v>0</v>
      </c>
      <c r="U13" s="105"/>
      <c r="W13" s="83"/>
      <c r="X13" s="3">
        <f>-T2</f>
        <v>0</v>
      </c>
      <c r="Y13" s="105"/>
      <c r="AA13" s="83"/>
      <c r="AB13" s="3">
        <f>-X2</f>
        <v>0</v>
      </c>
      <c r="AC13" s="105"/>
    </row>
    <row r="14" spans="1:29" x14ac:dyDescent="0.25">
      <c r="B14" s="936" t="s">
        <v>137</v>
      </c>
      <c r="D14" s="8">
        <f>SUM(D9:D13)</f>
        <v>15484154.140000001</v>
      </c>
      <c r="E14" s="928"/>
      <c r="G14" s="83">
        <f t="shared" ref="G14:G18" si="3">IF(D14=0,"0.00%",(H14-D14)/D14)</f>
        <v>9.5023198987607041E-2</v>
      </c>
      <c r="H14" s="8">
        <f>SUM(H9:H13)</f>
        <v>16955508</v>
      </c>
      <c r="I14" s="1292">
        <f>+H14-D14</f>
        <v>1471353.8599999994</v>
      </c>
      <c r="J14" s="62"/>
      <c r="K14" s="83">
        <f>IF(H14=0,"0.00%",(L14-H14)/H14)</f>
        <v>2.0458071795902547E-2</v>
      </c>
      <c r="L14" s="8">
        <f>SUM(L9:L13)</f>
        <v>17302385</v>
      </c>
      <c r="M14" s="1292">
        <f>+L14-H14</f>
        <v>346877</v>
      </c>
      <c r="O14" s="83">
        <f>IF(L14=0,"0.00%",(P14-L14)/L14)</f>
        <v>3.0041523177296078E-2</v>
      </c>
      <c r="P14" s="8">
        <f>SUM(P9:P13)</f>
        <v>17822175</v>
      </c>
      <c r="Q14" s="1292">
        <f>+P14-L14</f>
        <v>519790</v>
      </c>
      <c r="S14" s="83">
        <f>IF(P14=0,"0.00%",(T14-P14)/P14)</f>
        <v>2.727613997730359E-2</v>
      </c>
      <c r="T14" s="78">
        <f>SUM(T9:T13)</f>
        <v>18308295.140000001</v>
      </c>
      <c r="U14" s="105"/>
      <c r="W14" s="83">
        <f>IF(T14=0,"0.00%",(X14-T14)/T14)</f>
        <v>-0.73687227766637375</v>
      </c>
      <c r="X14" s="78">
        <f>SUM(X9:X13)</f>
        <v>4817420</v>
      </c>
      <c r="Y14" s="105"/>
      <c r="AA14" s="83">
        <f>IF(X14=0,"0.00%",(AB14-X14)/X14)</f>
        <v>1.9759124178502185E-2</v>
      </c>
      <c r="AB14" s="78">
        <f>SUM(AB9:AB13)</f>
        <v>4912608</v>
      </c>
      <c r="AC14" s="105"/>
    </row>
    <row r="15" spans="1:29" x14ac:dyDescent="0.25">
      <c r="E15" s="928"/>
      <c r="H15" s="3"/>
      <c r="I15" s="928"/>
      <c r="J15" s="63"/>
      <c r="K15" s="52"/>
      <c r="L15" s="3"/>
      <c r="M15" s="928"/>
      <c r="O15" s="52"/>
      <c r="P15" s="3"/>
      <c r="Q15" s="928"/>
      <c r="S15" s="46"/>
      <c r="T15" s="44"/>
      <c r="U15" s="105"/>
      <c r="W15" s="46"/>
      <c r="X15" s="44"/>
      <c r="Y15" s="105"/>
      <c r="AA15" s="46"/>
      <c r="AB15" s="44"/>
      <c r="AC15" s="105"/>
    </row>
    <row r="16" spans="1:29" x14ac:dyDescent="0.25">
      <c r="C16" s="938" t="s">
        <v>64</v>
      </c>
      <c r="D16" s="9">
        <v>415500.44</v>
      </c>
      <c r="E16" s="1032">
        <v>3.6999999999999998E-2</v>
      </c>
      <c r="G16" s="83">
        <f t="shared" si="3"/>
        <v>0.3192549206446087</v>
      </c>
      <c r="H16" s="9">
        <f>ROUNDUP((H65+H76+SUM(H81:H92))*$I$16,0)</f>
        <v>548151</v>
      </c>
      <c r="I16" s="1017">
        <v>4.4400000000000002E-2</v>
      </c>
      <c r="J16" s="64"/>
      <c r="K16" s="83">
        <f>IF(H16=0,"0.00%",(L16-H16)/H16)</f>
        <v>3.3507190536914096E-2</v>
      </c>
      <c r="L16" s="9">
        <f>ROUNDUP((L65+L76+SUM(L81:L92))*$I$16,0)</f>
        <v>566518</v>
      </c>
      <c r="M16" s="1017">
        <v>4.4400000000000002E-2</v>
      </c>
      <c r="O16" s="83">
        <f>IF(L16=0,"0.00%",(P16-L16)/L16)</f>
        <v>3.9004938942804997E-2</v>
      </c>
      <c r="P16" s="9">
        <f>ROUNDUP((P65+P76+SUM(P81:P92))*$I$16,0)</f>
        <v>588615</v>
      </c>
      <c r="Q16" s="1017">
        <v>4.4400000000000002E-2</v>
      </c>
      <c r="S16" s="83">
        <f>IF(P16=0,"0.00%",(T16-P16)/P16)</f>
        <v>-0.22364363803165058</v>
      </c>
      <c r="T16" s="77">
        <f>ROUNDUP((T65+T76+SUM(T81:T92))*$E$16,0)</f>
        <v>456975</v>
      </c>
      <c r="U16" s="105"/>
      <c r="W16" s="83">
        <f>IF(T16=0,"0.00%",(X16-T16)/T16)</f>
        <v>2.7784889764210296E-2</v>
      </c>
      <c r="X16" s="77">
        <f>ROUNDUP((X65+X76+SUM(X81:X92))*$E$16,0)</f>
        <v>469672</v>
      </c>
      <c r="Y16" s="105"/>
      <c r="AA16" s="83">
        <f>IF(X16=0,"0.00%",(AB16-X16)/X16)</f>
        <v>2.6365208060093001E-2</v>
      </c>
      <c r="AB16" s="77">
        <f>ROUNDUP((AB65+AB76+SUM(AB81:AB92))*$E$16,0)</f>
        <v>482055</v>
      </c>
      <c r="AC16" s="105"/>
    </row>
    <row r="17" spans="1:29" x14ac:dyDescent="0.25">
      <c r="E17" s="928"/>
      <c r="H17" s="3"/>
      <c r="I17" s="928"/>
      <c r="J17" s="63"/>
      <c r="K17" s="52"/>
      <c r="L17" s="3"/>
      <c r="M17" s="928"/>
      <c r="O17" s="52"/>
      <c r="P17" s="3"/>
      <c r="Q17" s="928"/>
      <c r="S17" s="46"/>
      <c r="T17" s="44"/>
      <c r="U17" s="105"/>
      <c r="W17" s="46"/>
      <c r="X17" s="44"/>
      <c r="Y17" s="105"/>
      <c r="AA17" s="46"/>
      <c r="AB17" s="44"/>
      <c r="AC17" s="105"/>
    </row>
    <row r="18" spans="1:29" x14ac:dyDescent="0.25">
      <c r="B18" s="936" t="s">
        <v>50</v>
      </c>
      <c r="D18" s="10">
        <f>D14-D16</f>
        <v>15068653.700000001</v>
      </c>
      <c r="E18" s="928"/>
      <c r="G18" s="83">
        <f t="shared" si="3"/>
        <v>8.8840272439202631E-2</v>
      </c>
      <c r="H18" s="9">
        <f>H14-H16</f>
        <v>16407357</v>
      </c>
      <c r="I18" s="1292">
        <f>+H18-D18</f>
        <v>1338703.2999999989</v>
      </c>
      <c r="J18" s="62"/>
      <c r="K18" s="83">
        <f>IF(H18=0,"0.00%",(L18-H18)/H18)</f>
        <v>2.002211568871208E-2</v>
      </c>
      <c r="L18" s="9">
        <f>L14-L16</f>
        <v>16735867</v>
      </c>
      <c r="M18" s="1292">
        <f>+L18-H18</f>
        <v>328510</v>
      </c>
      <c r="O18" s="83">
        <f>IF(L18=0,"0.00%",(P18-L18)/L18)</f>
        <v>2.9738106785862962E-2</v>
      </c>
      <c r="P18" s="9">
        <f>P14-P16</f>
        <v>17233560</v>
      </c>
      <c r="Q18" s="1292">
        <f>+P18-L18</f>
        <v>497693</v>
      </c>
      <c r="S18" s="83">
        <f>IF(P18=0,"0.00%",(T18-P18)/P18)</f>
        <v>3.5846345154454486E-2</v>
      </c>
      <c r="T18" s="19">
        <f>T14-T16</f>
        <v>17851320.140000001</v>
      </c>
      <c r="U18" s="105"/>
      <c r="W18" s="83">
        <f>IF(T18=0,"0.00%",(X18-T18)/T18)</f>
        <v>-0.75644669604810533</v>
      </c>
      <c r="X18" s="19">
        <f>X14-X16</f>
        <v>4347748</v>
      </c>
      <c r="Y18" s="105"/>
      <c r="AA18" s="83">
        <f>IF(X18=0,"0.00%",(AB18-X18)/X18)</f>
        <v>1.9045492057037344E-2</v>
      </c>
      <c r="AB18" s="19">
        <f>AB14-AB16</f>
        <v>4430553</v>
      </c>
      <c r="AC18" s="105"/>
    </row>
    <row r="19" spans="1:29" x14ac:dyDescent="0.25">
      <c r="E19" s="928"/>
      <c r="H19" s="3"/>
      <c r="I19" s="952"/>
      <c r="J19" s="62"/>
      <c r="L19" s="3"/>
      <c r="M19" s="952"/>
      <c r="P19" s="3"/>
      <c r="Q19" s="952"/>
      <c r="T19" s="49"/>
      <c r="U19" s="105"/>
      <c r="X19" s="49"/>
      <c r="Y19" s="105"/>
      <c r="AB19" s="49"/>
      <c r="AC19" s="105"/>
    </row>
    <row r="20" spans="1:29" x14ac:dyDescent="0.25">
      <c r="C20" s="930"/>
      <c r="E20" s="928"/>
      <c r="H20" s="3"/>
      <c r="I20" s="928"/>
      <c r="J20" s="63"/>
      <c r="L20" s="3"/>
      <c r="M20" s="928"/>
      <c r="P20" s="3"/>
      <c r="Q20" s="928"/>
      <c r="T20" s="44"/>
      <c r="U20" s="105"/>
      <c r="X20" s="44"/>
      <c r="Y20" s="105"/>
      <c r="AB20" s="44"/>
      <c r="AC20" s="105"/>
    </row>
    <row r="21" spans="1:29" x14ac:dyDescent="0.25">
      <c r="A21" s="859"/>
      <c r="D21" s="29" t="s">
        <v>826</v>
      </c>
      <c r="E21" s="929"/>
      <c r="F21" s="32"/>
      <c r="H21" s="29" t="s">
        <v>177</v>
      </c>
      <c r="I21" s="953"/>
      <c r="J21" s="65"/>
      <c r="M21" s="929"/>
      <c r="Q21" s="929"/>
      <c r="U21" s="106"/>
      <c r="Y21" s="106"/>
      <c r="AC21" s="106"/>
    </row>
    <row r="22" spans="1:29" ht="17.25" x14ac:dyDescent="0.4">
      <c r="A22" s="1038"/>
      <c r="D22" s="35" t="s">
        <v>827</v>
      </c>
      <c r="E22" s="860"/>
      <c r="F22" s="34"/>
      <c r="H22" s="35" t="s">
        <v>48</v>
      </c>
      <c r="I22" s="1003"/>
      <c r="J22" s="29"/>
      <c r="L22" s="14" t="s">
        <v>48</v>
      </c>
      <c r="M22" s="1089">
        <v>1.4999999999999999E-2</v>
      </c>
      <c r="P22" s="14" t="s">
        <v>48</v>
      </c>
      <c r="Q22" s="1089">
        <v>1.4999999999999999E-2</v>
      </c>
      <c r="T22" s="14" t="s">
        <v>48</v>
      </c>
      <c r="U22" s="104">
        <v>0.02</v>
      </c>
      <c r="X22" s="14" t="s">
        <v>48</v>
      </c>
      <c r="Y22" s="104">
        <v>0.02</v>
      </c>
      <c r="AB22" s="14" t="s">
        <v>48</v>
      </c>
      <c r="AC22" s="104">
        <v>0.02</v>
      </c>
    </row>
    <row r="23" spans="1:29" s="13" customFormat="1" x14ac:dyDescent="0.25">
      <c r="A23" s="1039"/>
      <c r="B23" s="936" t="s">
        <v>46</v>
      </c>
      <c r="C23" s="938"/>
      <c r="D23" s="10"/>
      <c r="E23" s="861"/>
      <c r="F23" s="10"/>
      <c r="G23" s="372"/>
      <c r="H23" s="10"/>
      <c r="I23" s="864"/>
      <c r="J23" s="57"/>
      <c r="K23" s="379"/>
      <c r="L23" s="10"/>
      <c r="M23" s="947"/>
      <c r="O23" s="379"/>
      <c r="P23" s="10"/>
      <c r="Q23" s="947"/>
      <c r="R23" s="111"/>
      <c r="T23" s="10"/>
      <c r="U23" s="74"/>
      <c r="X23" s="10"/>
      <c r="Y23" s="74"/>
      <c r="AB23" s="10"/>
      <c r="AC23" s="74"/>
    </row>
    <row r="24" spans="1:29" x14ac:dyDescent="0.25">
      <c r="A24" s="1040"/>
      <c r="B24" s="939">
        <v>1101</v>
      </c>
      <c r="C24" s="857" t="s">
        <v>243</v>
      </c>
      <c r="D24" s="2">
        <v>9201.4500000000007</v>
      </c>
      <c r="E24" s="863"/>
      <c r="F24" s="2"/>
      <c r="G24" s="83">
        <f>IF(D24=0," - ",(H24-D24)/D24)</f>
        <v>-1</v>
      </c>
      <c r="H24" s="2">
        <v>0</v>
      </c>
      <c r="I24" s="871"/>
      <c r="J24" s="66"/>
      <c r="K24" s="83" t="str">
        <f>IF(H24=0," - ",(L24-H24)/H24)</f>
        <v xml:space="preserve"> - </v>
      </c>
      <c r="L24" s="2">
        <f>ROUND(H24*(1+$M$22),0)</f>
        <v>0</v>
      </c>
      <c r="M24" s="871" t="str">
        <f>TEXT($M$22,"0.0%")&amp;" = Est. S &amp; C"</f>
        <v>1.5% = Est. S &amp; C</v>
      </c>
      <c r="O24" s="83" t="str">
        <f>IF(L24=0," - ",(P24-L24)/L24)</f>
        <v xml:space="preserve"> - </v>
      </c>
      <c r="P24" s="2">
        <f>ROUND(L24*(1+$M$22),0)</f>
        <v>0</v>
      </c>
      <c r="Q24" s="871" t="str">
        <f>TEXT($M$22,"0.0%")&amp;" = Est. S &amp; C"</f>
        <v>1.5% = Est. S &amp; C</v>
      </c>
      <c r="S24" s="83" t="str">
        <f t="shared" ref="S24:S30" si="4">IF(P24=0,"0.00%",(T24-P24)/P24)</f>
        <v>0.00%</v>
      </c>
      <c r="T24" s="2">
        <f>ROUND(P24*(1+U22),0)</f>
        <v>0</v>
      </c>
      <c r="U24" s="36" t="str">
        <f>TEXT(U22,"0.0%")&amp;" = Est. S &amp; C"</f>
        <v>2.0% = Est. S &amp; C</v>
      </c>
      <c r="W24" s="83" t="str">
        <f t="shared" ref="W24:W30" si="5">IF(T24=0,"0.00%",(X24-T24)/T24)</f>
        <v>0.00%</v>
      </c>
      <c r="X24" s="2">
        <f>ROUND(T24*(1+Y22),0)</f>
        <v>0</v>
      </c>
      <c r="Y24" s="36" t="str">
        <f>TEXT(Y22,"0.0%")&amp;" = Est. S &amp; C"</f>
        <v>2.0% = Est. S &amp; C</v>
      </c>
      <c r="AA24" s="83" t="str">
        <f t="shared" ref="AA24:AA30" si="6">IF(X24=0,"0.00%",(AB24-X24)/X24)</f>
        <v>0.00%</v>
      </c>
      <c r="AB24" s="2">
        <f>ROUND(X24*(1+AC22),0)</f>
        <v>0</v>
      </c>
      <c r="AC24" s="36" t="str">
        <f>TEXT(AC22,"0.0%")&amp;" = Est. S &amp; C"</f>
        <v>2.0% = Est. S &amp; C</v>
      </c>
    </row>
    <row r="25" spans="1:29" x14ac:dyDescent="0.25">
      <c r="A25" s="1040"/>
      <c r="B25" s="939">
        <v>1104</v>
      </c>
      <c r="C25" s="857" t="s">
        <v>832</v>
      </c>
      <c r="D25" s="2">
        <v>242346.29</v>
      </c>
      <c r="E25" s="863"/>
      <c r="F25" s="2"/>
      <c r="G25" s="83">
        <f t="shared" ref="G25:G40" si="7">IF(D25=0," - ",(H25-D25)/D25)</f>
        <v>-8.2992399017125778E-3</v>
      </c>
      <c r="H25" s="2">
        <v>240335</v>
      </c>
      <c r="I25" s="871"/>
      <c r="J25" s="66"/>
      <c r="K25" s="83">
        <f>IF(H25=0," - ",(L25-H25)/H25)</f>
        <v>1.4999895978529968E-2</v>
      </c>
      <c r="L25" s="2">
        <f t="shared" ref="L25:L38" si="8">ROUND(H25*(1+$M$22),0)</f>
        <v>243940</v>
      </c>
      <c r="M25" s="871" t="str">
        <f t="shared" ref="M25:M37" si="9">TEXT($M$22,"0.0%")&amp;" = Est. S &amp; C"</f>
        <v>1.5% = Est. S &amp; C</v>
      </c>
      <c r="O25" s="83">
        <f t="shared" ref="O25:O39" si="10">IF(L25=0," - ",(P25-L25)/L25)</f>
        <v>1.4999590063130277E-2</v>
      </c>
      <c r="P25" s="2">
        <f t="shared" ref="P25:P38" si="11">ROUND(L25*(1+$M$22),0)</f>
        <v>247599</v>
      </c>
      <c r="Q25" s="871" t="str">
        <f t="shared" ref="Q25:Q37" si="12">TEXT($M$22,"0.0%")&amp;" = Est. S &amp; C"</f>
        <v>1.5% = Est. S &amp; C</v>
      </c>
      <c r="S25" s="83">
        <f t="shared" si="4"/>
        <v>0</v>
      </c>
      <c r="T25" s="2">
        <f>+P25</f>
        <v>247599</v>
      </c>
      <c r="U25" s="36" t="s">
        <v>174</v>
      </c>
      <c r="W25" s="83">
        <f t="shared" si="5"/>
        <v>2.00000807757705E-2</v>
      </c>
      <c r="X25" s="2">
        <f>ROUND(T25*(1+Y22),0)</f>
        <v>252551</v>
      </c>
      <c r="Y25" s="36" t="str">
        <f>TEXT(Y22,"0.0%")&amp;" = Est. S &amp; C"</f>
        <v>2.0% = Est. S &amp; C</v>
      </c>
      <c r="AA25" s="83">
        <f t="shared" si="6"/>
        <v>1.999992080807441E-2</v>
      </c>
      <c r="AB25" s="2">
        <f>ROUND(X25*(1+AC22),0)</f>
        <v>257602</v>
      </c>
      <c r="AC25" s="36" t="str">
        <f>TEXT(AC22,"0.0%")&amp;" = Est. S &amp; C"</f>
        <v>2.0% = Est. S &amp; C</v>
      </c>
    </row>
    <row r="26" spans="1:29" x14ac:dyDescent="0.25">
      <c r="A26" s="1040"/>
      <c r="B26" s="939">
        <v>1106</v>
      </c>
      <c r="C26" s="857" t="s">
        <v>833</v>
      </c>
      <c r="D26" s="2">
        <v>1097226.17</v>
      </c>
      <c r="E26" s="863"/>
      <c r="F26" s="2"/>
      <c r="G26" s="83">
        <f t="shared" si="7"/>
        <v>3.0452089927822334E-2</v>
      </c>
      <c r="H26" s="2">
        <v>1130639</v>
      </c>
      <c r="I26" s="871"/>
      <c r="J26" s="66"/>
      <c r="K26" s="83">
        <f t="shared" ref="K26:K40" si="13">IF(H26=0," - ",(L26-H26)/H26)</f>
        <v>1.5000367049075787E-2</v>
      </c>
      <c r="L26" s="2">
        <f t="shared" si="8"/>
        <v>1147599</v>
      </c>
      <c r="M26" s="382" t="str">
        <f t="shared" si="9"/>
        <v>1.5% = Est. S &amp; C</v>
      </c>
      <c r="O26" s="83">
        <f t="shared" si="10"/>
        <v>1.5000013070767751E-2</v>
      </c>
      <c r="P26" s="2">
        <f t="shared" si="11"/>
        <v>1164813</v>
      </c>
      <c r="Q26" s="871" t="str">
        <f t="shared" si="12"/>
        <v>1.5% = Est. S &amp; C</v>
      </c>
      <c r="S26" s="83">
        <f t="shared" si="4"/>
        <v>1.9999776788205487E-2</v>
      </c>
      <c r="T26" s="2">
        <f>ROUND(P26*(1+U22),0)</f>
        <v>1188109</v>
      </c>
      <c r="U26" s="36" t="str">
        <f>TEXT(U22,"0.0%")&amp;" = Est. S &amp; C"</f>
        <v>2.0% = Est. S &amp; C</v>
      </c>
      <c r="W26" s="83">
        <f t="shared" si="5"/>
        <v>1.9999848498748852E-2</v>
      </c>
      <c r="X26" s="2">
        <f>ROUND(T26*(1+Y22),0)</f>
        <v>1211871</v>
      </c>
      <c r="Y26" s="36" t="str">
        <f>TEXT(Y22,"0.0%")&amp;" = Est. S &amp; C"</f>
        <v>2.0% = Est. S &amp; C</v>
      </c>
      <c r="AA26" s="83">
        <f t="shared" si="6"/>
        <v>1.9999653428458969E-2</v>
      </c>
      <c r="AB26" s="2">
        <f>ROUND(X26*(1+AC22),0)</f>
        <v>1236108</v>
      </c>
      <c r="AC26" s="36" t="str">
        <f>TEXT(AC22,"0.0%")&amp;" = Est. S &amp; C"</f>
        <v>2.0% = Est. S &amp; C</v>
      </c>
    </row>
    <row r="27" spans="1:29" x14ac:dyDescent="0.25">
      <c r="A27" s="1040"/>
      <c r="B27" s="939">
        <v>1108</v>
      </c>
      <c r="C27" s="857" t="s">
        <v>834</v>
      </c>
      <c r="D27" s="2">
        <v>1325702.6299999999</v>
      </c>
      <c r="E27" s="863"/>
      <c r="F27" s="2"/>
      <c r="G27" s="83">
        <f t="shared" si="7"/>
        <v>6.6666059190061439E-2</v>
      </c>
      <c r="H27" s="2">
        <v>1414082</v>
      </c>
      <c r="I27" s="871"/>
      <c r="J27" s="66"/>
      <c r="K27" s="83">
        <f t="shared" si="13"/>
        <v>1.4999837350309247E-2</v>
      </c>
      <c r="L27" s="2">
        <f t="shared" si="8"/>
        <v>1435293</v>
      </c>
      <c r="M27" s="871" t="str">
        <f t="shared" si="9"/>
        <v>1.5% = Est. S &amp; C</v>
      </c>
      <c r="O27" s="83">
        <f t="shared" si="10"/>
        <v>1.4999724794867669E-2</v>
      </c>
      <c r="P27" s="2">
        <f t="shared" si="11"/>
        <v>1456822</v>
      </c>
      <c r="Q27" s="871" t="str">
        <f t="shared" si="12"/>
        <v>1.5% = Est. S &amp; C</v>
      </c>
      <c r="S27" s="83">
        <f t="shared" si="4"/>
        <v>1.9999697972710461E-2</v>
      </c>
      <c r="T27" s="2">
        <f>ROUND(P27*(1+U22),0)</f>
        <v>1485958</v>
      </c>
      <c r="U27" s="36" t="str">
        <f>TEXT(U22,"0.0%")&amp;" = Est. S &amp; C"</f>
        <v>2.0% = Est. S &amp; C</v>
      </c>
      <c r="W27" s="83">
        <f t="shared" si="5"/>
        <v>1.9999892325355092E-2</v>
      </c>
      <c r="X27" s="2">
        <f>ROUND(T27*(1+Y22),0)</f>
        <v>1515677</v>
      </c>
      <c r="Y27" s="36" t="str">
        <f>TEXT(Y22,"0.0%")&amp;" = Est. S &amp; C"</f>
        <v>2.0% = Est. S &amp; C</v>
      </c>
      <c r="AA27" s="83">
        <f t="shared" si="6"/>
        <v>2.0000303494741953E-2</v>
      </c>
      <c r="AB27" s="2">
        <f>ROUND(X27*(1+AC22),0)</f>
        <v>1545991</v>
      </c>
      <c r="AC27" s="36" t="str">
        <f>TEXT(AC22,"0.0%")&amp;" = Est. S &amp; C"</f>
        <v>2.0% = Est. S &amp; C</v>
      </c>
    </row>
    <row r="28" spans="1:29" x14ac:dyDescent="0.25">
      <c r="A28" s="1040"/>
      <c r="B28" s="939">
        <v>1109</v>
      </c>
      <c r="C28" s="857" t="s">
        <v>835</v>
      </c>
      <c r="D28" s="2">
        <v>98804.62</v>
      </c>
      <c r="E28" s="863"/>
      <c r="F28" s="2"/>
      <c r="G28" s="83">
        <f t="shared" si="7"/>
        <v>0.45379841549919436</v>
      </c>
      <c r="H28" s="2">
        <v>143642</v>
      </c>
      <c r="I28" s="871"/>
      <c r="J28" s="66"/>
      <c r="K28" s="83">
        <f t="shared" si="13"/>
        <v>1.5002575848289498E-2</v>
      </c>
      <c r="L28" s="2">
        <f t="shared" si="8"/>
        <v>145797</v>
      </c>
      <c r="M28" s="871" t="str">
        <f t="shared" si="9"/>
        <v>1.5% = Est. S &amp; C</v>
      </c>
      <c r="O28" s="83">
        <f t="shared" si="10"/>
        <v>1.5000308648326098E-2</v>
      </c>
      <c r="P28" s="2">
        <f t="shared" si="11"/>
        <v>147984</v>
      </c>
      <c r="Q28" s="871" t="str">
        <f t="shared" si="12"/>
        <v>1.5% = Est. S &amp; C</v>
      </c>
      <c r="S28" s="83">
        <f t="shared" si="4"/>
        <v>2.0002162395934695E-2</v>
      </c>
      <c r="T28" s="2">
        <f>ROUND(P28*(1+U22),0)</f>
        <v>150944</v>
      </c>
      <c r="U28" s="36" t="str">
        <f>TEXT(U22,"0.0%")&amp;" = Est. S &amp; C"</f>
        <v>2.0% = Est. S &amp; C</v>
      </c>
      <c r="W28" s="83">
        <f t="shared" si="5"/>
        <v>2.0000794996820014E-2</v>
      </c>
      <c r="X28" s="2">
        <f>ROUND(T28*(1+Y22),0)</f>
        <v>153963</v>
      </c>
      <c r="Y28" s="36" t="str">
        <f>TEXT(Y22,"0.0%")&amp;" = Est. S &amp; C"</f>
        <v>2.0% = Est. S &amp; C</v>
      </c>
      <c r="AA28" s="83">
        <f t="shared" si="6"/>
        <v>1.999831128258088E-2</v>
      </c>
      <c r="AB28" s="2">
        <f>ROUND(X28*(1+AC22),0)</f>
        <v>157042</v>
      </c>
      <c r="AC28" s="36" t="str">
        <f>TEXT(AC22,"0.0%")&amp;" = Est. S &amp; C"</f>
        <v>2.0% = Est. S &amp; C</v>
      </c>
    </row>
    <row r="29" spans="1:29" x14ac:dyDescent="0.25">
      <c r="A29" s="1040"/>
      <c r="B29" s="939">
        <v>1117</v>
      </c>
      <c r="C29" s="857" t="s">
        <v>836</v>
      </c>
      <c r="D29" s="2">
        <v>1935052.72</v>
      </c>
      <c r="E29" s="863"/>
      <c r="F29" s="2"/>
      <c r="G29" s="83">
        <f t="shared" si="7"/>
        <v>-1.5976164204973171E-2</v>
      </c>
      <c r="H29" s="2">
        <v>1904138</v>
      </c>
      <c r="I29" s="871"/>
      <c r="J29" s="66"/>
      <c r="K29" s="83">
        <f t="shared" si="13"/>
        <v>1.4999963237958594E-2</v>
      </c>
      <c r="L29" s="2">
        <f t="shared" si="8"/>
        <v>1932700</v>
      </c>
      <c r="M29" s="871" t="str">
        <f t="shared" si="9"/>
        <v>1.5% = Est. S &amp; C</v>
      </c>
      <c r="O29" s="83">
        <f t="shared" si="10"/>
        <v>1.5000258705437988E-2</v>
      </c>
      <c r="P29" s="2">
        <f t="shared" si="11"/>
        <v>1961691</v>
      </c>
      <c r="Q29" s="871" t="str">
        <f t="shared" si="12"/>
        <v>1.5% = Est. S &amp; C</v>
      </c>
      <c r="S29" s="83">
        <f t="shared" si="4"/>
        <v>0</v>
      </c>
      <c r="T29" s="2">
        <f>+P29</f>
        <v>1961691</v>
      </c>
      <c r="U29" s="36" t="s">
        <v>174</v>
      </c>
      <c r="W29" s="83">
        <f t="shared" si="5"/>
        <v>2.0000091757570383E-2</v>
      </c>
      <c r="X29" s="2">
        <f>ROUND(T29*(1+Y22),0)</f>
        <v>2000925</v>
      </c>
      <c r="Y29" s="36" t="str">
        <f>TEXT(Y22,"0.0%")&amp;" = Est. S &amp; C"</f>
        <v>2.0% = Est. S &amp; C</v>
      </c>
      <c r="AA29" s="83">
        <f t="shared" si="6"/>
        <v>2.0000249884428452E-2</v>
      </c>
      <c r="AB29" s="2">
        <f>ROUND(X29*(1+AC22),0)</f>
        <v>2040944</v>
      </c>
      <c r="AC29" s="36" t="str">
        <f>TEXT(AC22,"0.0%")&amp;" = Est. S &amp; C"</f>
        <v>2.0% = Est. S &amp; C</v>
      </c>
    </row>
    <row r="30" spans="1:29" x14ac:dyDescent="0.25">
      <c r="A30" s="1040"/>
      <c r="B30" s="939">
        <v>1118</v>
      </c>
      <c r="C30" s="857" t="s">
        <v>837</v>
      </c>
      <c r="D30" s="2">
        <v>14394.23</v>
      </c>
      <c r="E30" s="863"/>
      <c r="F30" s="2"/>
      <c r="G30" s="83">
        <f t="shared" si="7"/>
        <v>-0.86105543679654972</v>
      </c>
      <c r="H30" s="2">
        <v>2000</v>
      </c>
      <c r="I30" s="871"/>
      <c r="J30" s="66"/>
      <c r="K30" s="83">
        <f t="shared" si="13"/>
        <v>1.4999999999999999E-2</v>
      </c>
      <c r="L30" s="2">
        <f t="shared" si="8"/>
        <v>2030</v>
      </c>
      <c r="M30" s="871" t="str">
        <f t="shared" si="9"/>
        <v>1.5% = Est. S &amp; C</v>
      </c>
      <c r="O30" s="83">
        <f t="shared" si="10"/>
        <v>1.4778325123152709E-2</v>
      </c>
      <c r="P30" s="2">
        <f t="shared" si="11"/>
        <v>2060</v>
      </c>
      <c r="Q30" s="871" t="str">
        <f t="shared" si="12"/>
        <v>1.5% = Est. S &amp; C</v>
      </c>
      <c r="S30" s="83">
        <f t="shared" si="4"/>
        <v>1.9902912621359223E-2</v>
      </c>
      <c r="T30" s="2">
        <f>ROUND(P30*(1+U22),0)</f>
        <v>2101</v>
      </c>
      <c r="U30" s="36" t="str">
        <f>TEXT(U22,"0.0%")&amp;" = Est. S &amp; C"</f>
        <v>2.0% = Est. S &amp; C</v>
      </c>
      <c r="W30" s="83">
        <f t="shared" si="5"/>
        <v>1.9990480723465015E-2</v>
      </c>
      <c r="X30" s="2">
        <f>ROUND(T30*(1+Y22),0)</f>
        <v>2143</v>
      </c>
      <c r="Y30" s="36" t="str">
        <f>TEXT(Y22,"0.0%")&amp;" = Est. S &amp; C"</f>
        <v>2.0% = Est. S &amp; C</v>
      </c>
      <c r="AA30" s="83">
        <f t="shared" si="6"/>
        <v>2.006532897806813E-2</v>
      </c>
      <c r="AB30" s="2">
        <f>ROUND(X30*(1+AC22),0)</f>
        <v>2186</v>
      </c>
      <c r="AC30" s="36" t="str">
        <f>TEXT(AC22,"0.0%")&amp;" = Est. S &amp; C"</f>
        <v>2.0% = Est. S &amp; C</v>
      </c>
    </row>
    <row r="31" spans="1:29" x14ac:dyDescent="0.25">
      <c r="A31" s="1040"/>
      <c r="B31" s="939">
        <v>1112</v>
      </c>
      <c r="C31" s="857" t="s">
        <v>801</v>
      </c>
      <c r="D31" s="2">
        <v>1500</v>
      </c>
      <c r="E31" s="863"/>
      <c r="F31" s="2"/>
      <c r="G31" s="83">
        <f t="shared" si="7"/>
        <v>-1</v>
      </c>
      <c r="H31" s="2">
        <v>0</v>
      </c>
      <c r="I31" s="871"/>
      <c r="J31" s="66"/>
      <c r="K31" s="83" t="str">
        <f t="shared" si="13"/>
        <v xml:space="preserve"> - </v>
      </c>
      <c r="L31" s="2">
        <f t="shared" si="8"/>
        <v>0</v>
      </c>
      <c r="M31" s="871" t="str">
        <f t="shared" si="9"/>
        <v>1.5% = Est. S &amp; C</v>
      </c>
      <c r="O31" s="83" t="str">
        <f t="shared" si="10"/>
        <v xml:space="preserve"> - </v>
      </c>
      <c r="P31" s="2">
        <f t="shared" si="11"/>
        <v>0</v>
      </c>
      <c r="Q31" s="871" t="str">
        <f t="shared" si="12"/>
        <v>1.5% = Est. S &amp; C</v>
      </c>
      <c r="S31" s="83"/>
      <c r="T31" s="2"/>
      <c r="U31" s="36"/>
      <c r="W31" s="83"/>
      <c r="X31" s="2"/>
      <c r="Y31" s="36"/>
      <c r="AA31" s="83"/>
      <c r="AB31" s="2"/>
      <c r="AC31" s="36"/>
    </row>
    <row r="32" spans="1:29" x14ac:dyDescent="0.25">
      <c r="A32" s="1040"/>
      <c r="B32" s="939">
        <v>1181</v>
      </c>
      <c r="C32" s="857" t="s">
        <v>412</v>
      </c>
      <c r="D32" s="2">
        <v>70806.710000000006</v>
      </c>
      <c r="E32" s="863"/>
      <c r="F32" s="2"/>
      <c r="G32" s="83">
        <f t="shared" si="7"/>
        <v>-3.1165266681646504E-2</v>
      </c>
      <c r="H32" s="2">
        <v>68600</v>
      </c>
      <c r="I32" s="854"/>
      <c r="J32" s="66"/>
      <c r="K32" s="83">
        <f t="shared" si="13"/>
        <v>0</v>
      </c>
      <c r="L32" s="2">
        <f>+H32</f>
        <v>68600</v>
      </c>
      <c r="M32" s="871" t="s">
        <v>174</v>
      </c>
      <c r="O32" s="83">
        <f t="shared" si="10"/>
        <v>0</v>
      </c>
      <c r="P32" s="2">
        <f>+L32</f>
        <v>68600</v>
      </c>
      <c r="Q32" s="871" t="s">
        <v>174</v>
      </c>
      <c r="S32" s="83">
        <f>IF(P32=0,"0.00%",(T32-P32)/P32)</f>
        <v>0</v>
      </c>
      <c r="T32" s="2">
        <f>ROUND(P32*(1+U23),0)</f>
        <v>68600</v>
      </c>
      <c r="U32" s="36" t="str">
        <f>TEXT(U23,"0.0%")&amp;" = Est. S &amp; C"</f>
        <v>0.0% = Est. S &amp; C</v>
      </c>
      <c r="W32" s="83">
        <f>IF(T32=0,"0.00%",(X32-T32)/T32)</f>
        <v>0</v>
      </c>
      <c r="X32" s="2">
        <f>ROUND(T32*(1+Y23),0)</f>
        <v>68600</v>
      </c>
      <c r="Y32" s="36" t="str">
        <f>TEXT(Y23,"0.0%")&amp;" = Est. S &amp; C"</f>
        <v>0.0% = Est. S &amp; C</v>
      </c>
      <c r="AA32" s="83">
        <f>IF(X32=0,"0.00%",(AB32-X32)/X32)</f>
        <v>0</v>
      </c>
      <c r="AB32" s="2">
        <f>ROUND(X32*(1+AC23),0)</f>
        <v>68600</v>
      </c>
      <c r="AC32" s="36" t="str">
        <f>TEXT(AC23,"0.0%")&amp;" = Est. S &amp; C"</f>
        <v>0.0% = Est. S &amp; C</v>
      </c>
    </row>
    <row r="33" spans="1:29" x14ac:dyDescent="0.25">
      <c r="A33" s="1040"/>
      <c r="B33" s="939">
        <v>1203</v>
      </c>
      <c r="C33" s="857" t="s">
        <v>838</v>
      </c>
      <c r="D33" s="2">
        <v>244838.28</v>
      </c>
      <c r="E33" s="863"/>
      <c r="F33" s="2"/>
      <c r="G33" s="83">
        <f t="shared" si="7"/>
        <v>9.6580975817997086E-2</v>
      </c>
      <c r="H33" s="2">
        <v>268485</v>
      </c>
      <c r="I33" s="854"/>
      <c r="J33" s="66"/>
      <c r="K33" s="83">
        <f t="shared" si="13"/>
        <v>1.499897573421234E-2</v>
      </c>
      <c r="L33" s="2">
        <f t="shared" si="8"/>
        <v>272512</v>
      </c>
      <c r="M33" s="871" t="str">
        <f t="shared" si="9"/>
        <v>1.5% = Est. S &amp; C</v>
      </c>
      <c r="O33" s="83">
        <f t="shared" si="10"/>
        <v>1.5001174260216063E-2</v>
      </c>
      <c r="P33" s="2">
        <f t="shared" si="11"/>
        <v>276600</v>
      </c>
      <c r="Q33" s="871" t="str">
        <f t="shared" si="12"/>
        <v>1.5% = Est. S &amp; C</v>
      </c>
      <c r="S33" s="83"/>
      <c r="T33" s="2"/>
      <c r="U33" s="36"/>
      <c r="W33" s="83"/>
      <c r="X33" s="2"/>
      <c r="Y33" s="36"/>
      <c r="AA33" s="83"/>
      <c r="AB33" s="2"/>
      <c r="AC33" s="36"/>
    </row>
    <row r="34" spans="1:29" x14ac:dyDescent="0.25">
      <c r="A34" s="1040"/>
      <c r="B34" s="939">
        <v>1206</v>
      </c>
      <c r="C34" s="857" t="s">
        <v>839</v>
      </c>
      <c r="D34" s="2">
        <v>218698.62</v>
      </c>
      <c r="E34" s="863"/>
      <c r="F34" s="2"/>
      <c r="G34" s="83">
        <f t="shared" si="7"/>
        <v>3.9819089850681291E-2</v>
      </c>
      <c r="H34" s="2">
        <v>227407</v>
      </c>
      <c r="I34" s="854"/>
      <c r="J34" s="66"/>
      <c r="K34" s="83">
        <f t="shared" si="13"/>
        <v>1.4999538272788437E-2</v>
      </c>
      <c r="L34" s="2">
        <f t="shared" si="8"/>
        <v>230818</v>
      </c>
      <c r="M34" s="871" t="str">
        <f t="shared" si="9"/>
        <v>1.5% = Est. S &amp; C</v>
      </c>
      <c r="O34" s="83">
        <f t="shared" si="10"/>
        <v>1.4998830247207757E-2</v>
      </c>
      <c r="P34" s="2">
        <f t="shared" si="11"/>
        <v>234280</v>
      </c>
      <c r="Q34" s="871" t="str">
        <f t="shared" si="12"/>
        <v>1.5% = Est. S &amp; C</v>
      </c>
      <c r="S34" s="83"/>
      <c r="T34" s="2"/>
      <c r="U34" s="36"/>
      <c r="W34" s="83"/>
      <c r="X34" s="2"/>
      <c r="Y34" s="36"/>
      <c r="AA34" s="83"/>
      <c r="AB34" s="2"/>
      <c r="AC34" s="36"/>
    </row>
    <row r="35" spans="1:29" x14ac:dyDescent="0.25">
      <c r="A35" s="1040"/>
      <c r="B35" s="939">
        <v>1281</v>
      </c>
      <c r="C35" s="857" t="s">
        <v>840</v>
      </c>
      <c r="D35" s="2">
        <v>1365.01</v>
      </c>
      <c r="E35" s="863"/>
      <c r="F35" s="2"/>
      <c r="G35" s="83">
        <f t="shared" si="7"/>
        <v>9.8893048402575817E-2</v>
      </c>
      <c r="H35" s="2">
        <v>1500</v>
      </c>
      <c r="I35" s="854"/>
      <c r="J35" s="66"/>
      <c r="K35" s="83">
        <f t="shared" si="13"/>
        <v>0</v>
      </c>
      <c r="L35" s="2">
        <f>+H35</f>
        <v>1500</v>
      </c>
      <c r="M35" s="871" t="s">
        <v>174</v>
      </c>
      <c r="O35" s="83">
        <f t="shared" si="10"/>
        <v>0</v>
      </c>
      <c r="P35" s="2">
        <f>+L35</f>
        <v>1500</v>
      </c>
      <c r="Q35" s="871" t="s">
        <v>174</v>
      </c>
      <c r="S35" s="83"/>
      <c r="T35" s="2"/>
      <c r="U35" s="36"/>
      <c r="W35" s="83"/>
      <c r="X35" s="2"/>
      <c r="Y35" s="36"/>
      <c r="AA35" s="83"/>
      <c r="AB35" s="2"/>
      <c r="AC35" s="36"/>
    </row>
    <row r="36" spans="1:29" x14ac:dyDescent="0.25">
      <c r="A36" s="1040"/>
      <c r="B36" s="939" t="s">
        <v>244</v>
      </c>
      <c r="C36" s="857" t="s">
        <v>842</v>
      </c>
      <c r="D36" s="2">
        <v>130140.12</v>
      </c>
      <c r="E36" s="863"/>
      <c r="F36" s="2"/>
      <c r="G36" s="83">
        <f t="shared" si="7"/>
        <v>1.3215601768309455E-2</v>
      </c>
      <c r="H36" s="2">
        <v>131860</v>
      </c>
      <c r="I36" s="854"/>
      <c r="J36" s="66"/>
      <c r="K36" s="83">
        <f t="shared" si="13"/>
        <v>1.5000758380100105E-2</v>
      </c>
      <c r="L36" s="2">
        <f t="shared" si="8"/>
        <v>133838</v>
      </c>
      <c r="M36" s="871" t="str">
        <f t="shared" si="9"/>
        <v>1.5% = Est. S &amp; C</v>
      </c>
      <c r="O36" s="83">
        <f t="shared" si="10"/>
        <v>1.500321283940286E-2</v>
      </c>
      <c r="P36" s="2">
        <f t="shared" si="11"/>
        <v>135846</v>
      </c>
      <c r="Q36" s="871" t="str">
        <f t="shared" si="12"/>
        <v>1.5% = Est. S &amp; C</v>
      </c>
      <c r="S36" s="83"/>
      <c r="T36" s="2"/>
      <c r="U36" s="36"/>
      <c r="W36" s="83"/>
      <c r="X36" s="2"/>
      <c r="Y36" s="36"/>
      <c r="AA36" s="83"/>
      <c r="AB36" s="2"/>
      <c r="AC36" s="36"/>
    </row>
    <row r="37" spans="1:29" x14ac:dyDescent="0.25">
      <c r="A37" s="1040"/>
      <c r="B37" s="939">
        <v>1903</v>
      </c>
      <c r="C37" s="857" t="s">
        <v>841</v>
      </c>
      <c r="D37" s="2">
        <v>417723.39</v>
      </c>
      <c r="E37" s="863"/>
      <c r="F37" s="2"/>
      <c r="G37" s="83">
        <f t="shared" si="7"/>
        <v>-2.1970017048841852E-2</v>
      </c>
      <c r="H37" s="2">
        <v>408546</v>
      </c>
      <c r="I37" s="854"/>
      <c r="J37" s="66"/>
      <c r="K37" s="83">
        <f t="shared" si="13"/>
        <v>1.4999534936090428E-2</v>
      </c>
      <c r="L37" s="2">
        <f t="shared" si="8"/>
        <v>414674</v>
      </c>
      <c r="M37" s="871" t="str">
        <f t="shared" si="9"/>
        <v>1.5% = Est. S &amp; C</v>
      </c>
      <c r="O37" s="83">
        <f t="shared" si="10"/>
        <v>1.4999734731379348E-2</v>
      </c>
      <c r="P37" s="2">
        <f t="shared" si="11"/>
        <v>420894</v>
      </c>
      <c r="Q37" s="871" t="str">
        <f t="shared" si="12"/>
        <v>1.5% = Est. S &amp; C</v>
      </c>
      <c r="S37" s="83"/>
      <c r="T37" s="2"/>
      <c r="U37" s="36"/>
      <c r="W37" s="83"/>
      <c r="X37" s="2"/>
      <c r="Y37" s="36"/>
      <c r="AA37" s="83"/>
      <c r="AB37" s="2"/>
      <c r="AC37" s="36"/>
    </row>
    <row r="38" spans="1:29" x14ac:dyDescent="0.25">
      <c r="A38" s="1040"/>
      <c r="B38" s="939">
        <v>1923</v>
      </c>
      <c r="C38" s="857" t="s">
        <v>245</v>
      </c>
      <c r="D38" s="2">
        <v>2000</v>
      </c>
      <c r="E38" s="863"/>
      <c r="F38" s="2"/>
      <c r="G38" s="83">
        <f t="shared" si="7"/>
        <v>-1</v>
      </c>
      <c r="H38" s="2">
        <v>0</v>
      </c>
      <c r="I38" s="854"/>
      <c r="J38" s="66"/>
      <c r="K38" s="83" t="str">
        <f t="shared" si="13"/>
        <v xml:space="preserve"> - </v>
      </c>
      <c r="L38" s="2">
        <f t="shared" si="8"/>
        <v>0</v>
      </c>
      <c r="M38" s="871"/>
      <c r="O38" s="83" t="str">
        <f t="shared" si="10"/>
        <v xml:space="preserve"> - </v>
      </c>
      <c r="P38" s="2">
        <f t="shared" si="11"/>
        <v>0</v>
      </c>
      <c r="Q38" s="871"/>
      <c r="S38" s="83"/>
      <c r="T38" s="2"/>
      <c r="U38" s="36"/>
      <c r="W38" s="83"/>
      <c r="X38" s="2"/>
      <c r="Y38" s="36"/>
      <c r="AA38" s="83"/>
      <c r="AB38" s="2"/>
      <c r="AC38" s="36"/>
    </row>
    <row r="39" spans="1:29" x14ac:dyDescent="0.25">
      <c r="A39" s="1040"/>
      <c r="B39" s="939" t="s">
        <v>999</v>
      </c>
      <c r="C39" s="857" t="s">
        <v>984</v>
      </c>
      <c r="E39" s="863"/>
      <c r="F39" s="2"/>
      <c r="G39" s="83"/>
      <c r="H39" s="2">
        <v>3751</v>
      </c>
      <c r="I39" s="871"/>
      <c r="J39" s="66"/>
      <c r="K39" s="83">
        <f t="shared" si="13"/>
        <v>0</v>
      </c>
      <c r="L39" s="2">
        <f>+H39</f>
        <v>3751</v>
      </c>
      <c r="M39" s="871" t="s">
        <v>174</v>
      </c>
      <c r="O39" s="83">
        <f t="shared" si="10"/>
        <v>0</v>
      </c>
      <c r="P39" s="2">
        <f>+L39</f>
        <v>3751</v>
      </c>
      <c r="Q39" s="871" t="s">
        <v>174</v>
      </c>
      <c r="T39" s="2"/>
      <c r="U39" s="73"/>
      <c r="X39" s="2"/>
      <c r="Y39" s="73"/>
      <c r="AB39" s="2"/>
      <c r="AC39" s="73"/>
    </row>
    <row r="40" spans="1:29" x14ac:dyDescent="0.25">
      <c r="A40" s="1040"/>
      <c r="B40" s="939"/>
      <c r="D40" s="8">
        <f>SUM(D24:D39)</f>
        <v>5809800.2400000002</v>
      </c>
      <c r="E40" s="863"/>
      <c r="F40" s="2"/>
      <c r="G40" s="83">
        <f t="shared" si="7"/>
        <v>2.326840070494399E-2</v>
      </c>
      <c r="H40" s="8">
        <f>SUM(H24:H39)</f>
        <v>5944985</v>
      </c>
      <c r="I40" s="1292">
        <f>+H40-D40</f>
        <v>135184.75999999978</v>
      </c>
      <c r="J40" s="29"/>
      <c r="K40" s="83">
        <f t="shared" si="13"/>
        <v>1.4813662271645765E-2</v>
      </c>
      <c r="L40" s="8">
        <f>SUM(L24:L39)</f>
        <v>6033052</v>
      </c>
      <c r="M40" s="1292">
        <f>+L40-H40</f>
        <v>88067</v>
      </c>
      <c r="O40" s="83">
        <f t="shared" ref="O40" si="14">IF(L40=0," - ",(P40-L40)/L40)</f>
        <v>1.4816381493148078E-2</v>
      </c>
      <c r="P40" s="8">
        <f>SUM(P24:P39)</f>
        <v>6122440</v>
      </c>
      <c r="Q40" s="1292">
        <f>+P40-L40</f>
        <v>89388</v>
      </c>
      <c r="S40" s="83">
        <f>IF(P40=0,"0.00%",(T40-P40)/P40)</f>
        <v>-0.1661817837332828</v>
      </c>
      <c r="T40" s="8">
        <f>SUM(T24:T39)</f>
        <v>5105002</v>
      </c>
      <c r="U40" s="73"/>
      <c r="W40" s="83">
        <f>IF(T40=0,"0.00%",(X40-T40)/T40)</f>
        <v>1.9731236148389363E-2</v>
      </c>
      <c r="X40" s="8">
        <f>SUM(X24:X39)</f>
        <v>5205730</v>
      </c>
      <c r="Y40" s="73"/>
      <c r="AA40" s="83">
        <f>IF(X40=0,"0.00%",(AB40-X40)/X40)</f>
        <v>1.9736521102707977E-2</v>
      </c>
      <c r="AB40" s="8">
        <f>SUM(AB24:AB39)</f>
        <v>5308473</v>
      </c>
      <c r="AC40" s="73"/>
    </row>
    <row r="41" spans="1:29" x14ac:dyDescent="0.25">
      <c r="A41" s="1040"/>
      <c r="E41" s="863"/>
      <c r="F41" s="2"/>
      <c r="H41" s="2"/>
      <c r="I41" s="871"/>
      <c r="J41" s="66"/>
      <c r="L41" s="2"/>
      <c r="M41" s="948"/>
      <c r="Q41" s="948"/>
      <c r="T41" s="2"/>
      <c r="U41" s="73"/>
      <c r="X41" s="2"/>
      <c r="Y41" s="73"/>
      <c r="AB41" s="2"/>
      <c r="AC41" s="73"/>
    </row>
    <row r="42" spans="1:29" s="4" customFormat="1" x14ac:dyDescent="0.25">
      <c r="A42" s="1040"/>
      <c r="B42" s="940" t="s">
        <v>35</v>
      </c>
      <c r="C42" s="873"/>
      <c r="D42" s="6"/>
      <c r="E42" s="864"/>
      <c r="F42" s="6"/>
      <c r="G42" s="373"/>
      <c r="H42" s="6"/>
      <c r="I42" s="864"/>
      <c r="J42" s="57"/>
      <c r="K42" s="380"/>
      <c r="L42" s="6"/>
      <c r="M42" s="950"/>
      <c r="O42" s="380"/>
      <c r="P42" s="6"/>
      <c r="Q42" s="950"/>
      <c r="R42" s="111"/>
      <c r="T42" s="6"/>
      <c r="U42" s="71"/>
      <c r="X42" s="6"/>
      <c r="Y42" s="71"/>
      <c r="AB42" s="6"/>
      <c r="AC42" s="71"/>
    </row>
    <row r="43" spans="1:29" x14ac:dyDescent="0.25">
      <c r="A43" s="959"/>
      <c r="B43" s="939" t="s">
        <v>246</v>
      </c>
      <c r="C43" s="857" t="s">
        <v>416</v>
      </c>
      <c r="D43" s="2">
        <f>278454.45+684603.22+108057.38+47292.26+1055406.41+233871.26-6631.63</f>
        <v>2401053.3499999996</v>
      </c>
      <c r="E43" s="863"/>
      <c r="F43" s="2"/>
      <c r="G43" s="83">
        <f t="shared" ref="G43:G51" si="15">IF(D43=0," - ",(H43-D43)/D43)</f>
        <v>0.23832067288300798</v>
      </c>
      <c r="H43" s="2">
        <f>-18575+370334+943013+138486+16837+1174429+348750</f>
        <v>2973274</v>
      </c>
      <c r="I43" s="1292">
        <f>+H43-D43</f>
        <v>572220.65000000037</v>
      </c>
      <c r="J43" s="66"/>
      <c r="K43" s="83">
        <f t="shared" ref="K43:K51" si="16">IF(H43=0," - ",(L43-H43)/H43)</f>
        <v>1.4999963003746038E-2</v>
      </c>
      <c r="L43" s="2">
        <f>ROUND(H43*(1+M22),0)</f>
        <v>3017873</v>
      </c>
      <c r="M43" s="871" t="str">
        <f>TEXT(M22,"0.0%")&amp;" = Est. S &amp; C"</f>
        <v>1.5% = Est. S &amp; C</v>
      </c>
      <c r="O43" s="83">
        <f t="shared" ref="O43:O51" si="17">IF(L43=0," - ",(P43-L43)/L43)</f>
        <v>1.4999968520875465E-2</v>
      </c>
      <c r="P43" s="2">
        <f>ROUND(L43*(1+Q22),0)</f>
        <v>3063141</v>
      </c>
      <c r="Q43" s="871" t="str">
        <f>TEXT(Q22,"0.0%")&amp;" = Est. S &amp; C"</f>
        <v>1.5% = Est. S &amp; C</v>
      </c>
      <c r="S43" s="83">
        <f t="shared" ref="S43:S49" si="18">IF(P43=0,"0.00%",(T43-P43)/P43)</f>
        <v>2.0000058763210704E-2</v>
      </c>
      <c r="T43" s="2">
        <f>ROUND(P43*(1+U22),0)</f>
        <v>3124404</v>
      </c>
      <c r="U43" s="36" t="str">
        <f>TEXT(U22,"0.0%")&amp;" = Est. S &amp; C"</f>
        <v>2.0% = Est. S &amp; C</v>
      </c>
      <c r="W43" s="83">
        <f t="shared" ref="W43:W49" si="19">IF(T43=0,"0.00%",(X43-T43)/T43)</f>
        <v>1.9999974395116638E-2</v>
      </c>
      <c r="X43" s="2">
        <f>ROUND(T43*(1+Y22),0)</f>
        <v>3186892</v>
      </c>
      <c r="Y43" s="36" t="str">
        <f>TEXT(Y22,"0.0%")&amp;" = Est. S &amp; C"</f>
        <v>2.0% = Est. S &amp; C</v>
      </c>
      <c r="AA43" s="83">
        <f t="shared" ref="AA43:AA49" si="20">IF(X43=0,"0.00%",(AB43-X43)/X43)</f>
        <v>2.0000050205654915E-2</v>
      </c>
      <c r="AB43" s="2">
        <f>ROUND(X43*(1+AC22),0)</f>
        <v>3250630</v>
      </c>
      <c r="AC43" s="36" t="str">
        <f>TEXT(AC22,"0.0%")&amp;" = Est. S &amp; C"</f>
        <v>2.0% = Est. S &amp; C</v>
      </c>
    </row>
    <row r="44" spans="1:29" x14ac:dyDescent="0.25">
      <c r="A44" s="959"/>
      <c r="B44" s="939">
        <v>2181</v>
      </c>
      <c r="C44" s="857" t="s">
        <v>250</v>
      </c>
      <c r="D44" s="2">
        <v>73654.22</v>
      </c>
      <c r="E44" s="863"/>
      <c r="F44" s="2"/>
      <c r="G44" s="83">
        <f t="shared" si="15"/>
        <v>0.13408301656035457</v>
      </c>
      <c r="H44" s="2">
        <v>83530</v>
      </c>
      <c r="I44" s="871"/>
      <c r="J44" s="66"/>
      <c r="K44" s="83">
        <f t="shared" si="16"/>
        <v>0</v>
      </c>
      <c r="L44" s="2">
        <f>+H44</f>
        <v>83530</v>
      </c>
      <c r="M44" s="871" t="s">
        <v>174</v>
      </c>
      <c r="O44" s="83">
        <f t="shared" si="17"/>
        <v>0</v>
      </c>
      <c r="P44" s="2">
        <f>+L44</f>
        <v>83530</v>
      </c>
      <c r="Q44" s="871" t="s">
        <v>174</v>
      </c>
      <c r="S44" s="83">
        <f t="shared" si="18"/>
        <v>0</v>
      </c>
      <c r="T44" s="2">
        <f>+P44</f>
        <v>83530</v>
      </c>
      <c r="U44" s="36" t="s">
        <v>174</v>
      </c>
      <c r="W44" s="83">
        <f t="shared" si="19"/>
        <v>2.0004788698671137E-2</v>
      </c>
      <c r="X44" s="2">
        <f>ROUND(T44*(1+Y22),0)</f>
        <v>85201</v>
      </c>
      <c r="Y44" s="36" t="str">
        <f>TEXT(Y22,"0.0%")&amp;" = Est. S &amp; C"</f>
        <v>2.0% = Est. S &amp; C</v>
      </c>
      <c r="AA44" s="83">
        <f t="shared" si="20"/>
        <v>1.9999765260971115E-2</v>
      </c>
      <c r="AB44" s="2">
        <f>ROUND(X44*(1+AC22),0)</f>
        <v>86905</v>
      </c>
      <c r="AC44" s="36" t="str">
        <f>TEXT(AC22,"0.0%")&amp;" = Est. S &amp; C"</f>
        <v>2.0% = Est. S &amp; C</v>
      </c>
    </row>
    <row r="45" spans="1:29" x14ac:dyDescent="0.25">
      <c r="A45" s="959"/>
      <c r="B45" s="939">
        <v>2204</v>
      </c>
      <c r="C45" s="857" t="s">
        <v>843</v>
      </c>
      <c r="D45" s="2">
        <v>118058.96</v>
      </c>
      <c r="E45" s="863"/>
      <c r="F45" s="2"/>
      <c r="G45" s="83">
        <f t="shared" si="15"/>
        <v>0.22927560940736724</v>
      </c>
      <c r="H45" s="2">
        <v>145127</v>
      </c>
      <c r="I45" s="871"/>
      <c r="J45" s="66"/>
      <c r="K45" s="83">
        <f t="shared" si="16"/>
        <v>1.5000654599075293E-2</v>
      </c>
      <c r="L45" s="2">
        <f>ROUND(H45*(1+M22),0)</f>
        <v>147304</v>
      </c>
      <c r="M45" s="871" t="str">
        <f>TEXT($M$22,"0.0%")&amp;" = Est. S &amp; C"</f>
        <v>1.5% = Est. S &amp; C</v>
      </c>
      <c r="O45" s="83">
        <f t="shared" si="17"/>
        <v>1.5002987020040189E-2</v>
      </c>
      <c r="P45" s="2">
        <f>ROUND(L45*(1+Q22),0)</f>
        <v>149514</v>
      </c>
      <c r="Q45" s="871" t="str">
        <f>TEXT($Q$22,"0.0%")&amp;" = Est. S &amp; C"</f>
        <v>1.5% = Est. S &amp; C</v>
      </c>
      <c r="S45" s="83">
        <f t="shared" si="18"/>
        <v>1.9998127265674119E-2</v>
      </c>
      <c r="T45" s="2">
        <f>ROUND(P45*(1+U22),0)</f>
        <v>152504</v>
      </c>
      <c r="U45" s="36" t="str">
        <f>TEXT(U22,"0.0%")&amp;" = Est. S &amp; C"</f>
        <v>2.0% = Est. S &amp; C</v>
      </c>
      <c r="W45" s="83">
        <f t="shared" si="19"/>
        <v>1.9999475423595446E-2</v>
      </c>
      <c r="X45" s="2">
        <f>ROUND(T45*(1+Y22),0)</f>
        <v>155554</v>
      </c>
      <c r="Y45" s="36" t="str">
        <f>TEXT(Y22,"0.0%")&amp;" = Est. S &amp; C"</f>
        <v>2.0% = Est. S &amp; C</v>
      </c>
      <c r="AA45" s="83">
        <f t="shared" si="20"/>
        <v>1.9999485709142804E-2</v>
      </c>
      <c r="AB45" s="2">
        <f>ROUND(X45*(1+AC22),0)</f>
        <v>158665</v>
      </c>
      <c r="AC45" s="36" t="str">
        <f>TEXT(AC22,"0.0%")&amp;" = Est. S &amp; C"</f>
        <v>2.0% = Est. S &amp; C</v>
      </c>
    </row>
    <row r="46" spans="1:29" x14ac:dyDescent="0.25">
      <c r="A46" s="959"/>
      <c r="B46" s="939">
        <v>2208</v>
      </c>
      <c r="C46" s="857" t="s">
        <v>844</v>
      </c>
      <c r="D46" s="2">
        <v>212255.46</v>
      </c>
      <c r="E46" s="863"/>
      <c r="F46" s="2"/>
      <c r="G46" s="83">
        <f t="shared" si="15"/>
        <v>-0.14593009762858394</v>
      </c>
      <c r="H46" s="2">
        <v>181281</v>
      </c>
      <c r="I46" s="871"/>
      <c r="J46" s="66"/>
      <c r="K46" s="83">
        <f t="shared" si="16"/>
        <v>1.4998813995951037E-2</v>
      </c>
      <c r="L46" s="2">
        <f>ROUND(H46*(1+M22),0)</f>
        <v>184000</v>
      </c>
      <c r="M46" s="871" t="str">
        <f>TEXT($M$22,"0.0%")&amp;" = Est. S &amp; C"</f>
        <v>1.5% = Est. S &amp; C</v>
      </c>
      <c r="O46" s="83">
        <f t="shared" si="17"/>
        <v>1.4999999999999999E-2</v>
      </c>
      <c r="P46" s="2">
        <f>ROUND(L46*(1+Q22),0)</f>
        <v>186760</v>
      </c>
      <c r="Q46" s="871" t="str">
        <f>TEXT($Q$22,"0.0%")&amp;" = Est. S &amp; C"</f>
        <v>1.5% = Est. S &amp; C</v>
      </c>
      <c r="S46" s="83">
        <f t="shared" si="18"/>
        <v>1.9998929106875132E-2</v>
      </c>
      <c r="T46" s="2">
        <f>ROUND(P46*(1+U22),0)</f>
        <v>190495</v>
      </c>
      <c r="U46" s="36" t="str">
        <f>TEXT(U22,"0.0%")&amp;" = Est. S &amp; C"</f>
        <v>2.0% = Est. S &amp; C</v>
      </c>
      <c r="W46" s="83">
        <f t="shared" si="19"/>
        <v>2.0000524948161368E-2</v>
      </c>
      <c r="X46" s="2">
        <f>ROUND(T46*(1+Y22),0)</f>
        <v>194305</v>
      </c>
      <c r="Y46" s="36" t="str">
        <f>TEXT(Y22,"0.0%")&amp;" = Est. S &amp; C"</f>
        <v>2.0% = Est. S &amp; C</v>
      </c>
      <c r="AA46" s="83">
        <f t="shared" si="20"/>
        <v>1.9999485345204703E-2</v>
      </c>
      <c r="AB46" s="2">
        <f>ROUND(X46*(1+AC22),0)</f>
        <v>198191</v>
      </c>
      <c r="AC46" s="36" t="str">
        <f>TEXT(AC22,"0.0%")&amp;" = Est. S &amp; C"</f>
        <v>2.0% = Est. S &amp; C</v>
      </c>
    </row>
    <row r="47" spans="1:29" x14ac:dyDescent="0.25">
      <c r="A47" s="959"/>
      <c r="B47" s="939" t="s">
        <v>248</v>
      </c>
      <c r="C47" s="857" t="s">
        <v>845</v>
      </c>
      <c r="D47" s="2">
        <f>85207.81+140+6917.64</f>
        <v>92265.45</v>
      </c>
      <c r="E47" s="863"/>
      <c r="F47" s="2"/>
      <c r="G47" s="83">
        <f t="shared" si="15"/>
        <v>2.9973841779344305E-2</v>
      </c>
      <c r="H47" s="2">
        <v>95031</v>
      </c>
      <c r="I47" s="871"/>
      <c r="J47" s="66"/>
      <c r="K47" s="83">
        <f t="shared" si="16"/>
        <v>0</v>
      </c>
      <c r="L47" s="2">
        <f>+H47</f>
        <v>95031</v>
      </c>
      <c r="M47" s="871" t="s">
        <v>174</v>
      </c>
      <c r="O47" s="83">
        <f t="shared" si="17"/>
        <v>0</v>
      </c>
      <c r="P47" s="2">
        <f>+L47</f>
        <v>95031</v>
      </c>
      <c r="Q47" s="871" t="s">
        <v>174</v>
      </c>
      <c r="S47" s="83">
        <f t="shared" si="18"/>
        <v>2.0003998695162631E-2</v>
      </c>
      <c r="T47" s="2">
        <f>ROUND(P47*(1+U22),0)</f>
        <v>96932</v>
      </c>
      <c r="U47" s="36" t="str">
        <f>TEXT(U22,"0.0%")&amp;" = Est. S &amp; C"</f>
        <v>2.0% = Est. S &amp; C</v>
      </c>
      <c r="W47" s="83">
        <f t="shared" si="19"/>
        <v>2.0003713943795652E-2</v>
      </c>
      <c r="X47" s="2">
        <f>ROUND(T47*(1+Y22),0)</f>
        <v>98871</v>
      </c>
      <c r="Y47" s="36" t="str">
        <f>TEXT(Y22,"0.0%")&amp;" = Est. S &amp; C"</f>
        <v>2.0% = Est. S &amp; C</v>
      </c>
      <c r="AA47" s="83">
        <f t="shared" si="20"/>
        <v>1.9995752040537669E-2</v>
      </c>
      <c r="AB47" s="2">
        <f>ROUND(X47*(1+AC22),0)</f>
        <v>100848</v>
      </c>
      <c r="AC47" s="36" t="str">
        <f>TEXT(AC22,"0.0%")&amp;" = Est. S &amp; C"</f>
        <v>2.0% = Est. S &amp; C</v>
      </c>
    </row>
    <row r="48" spans="1:29" x14ac:dyDescent="0.25">
      <c r="A48" s="959"/>
      <c r="B48" s="939" t="s">
        <v>251</v>
      </c>
      <c r="C48" s="857" t="s">
        <v>252</v>
      </c>
      <c r="D48" s="2">
        <f>5300.67+232</f>
        <v>5532.67</v>
      </c>
      <c r="E48" s="863"/>
      <c r="F48" s="2"/>
      <c r="G48" s="83">
        <f t="shared" si="15"/>
        <v>0.28780498385047365</v>
      </c>
      <c r="H48" s="2">
        <v>7125</v>
      </c>
      <c r="I48" s="871"/>
      <c r="J48" s="66"/>
      <c r="K48" s="83">
        <f t="shared" si="16"/>
        <v>1.5017543859649122E-2</v>
      </c>
      <c r="L48" s="2">
        <f>ROUND(H48*(1+M22),0)</f>
        <v>7232</v>
      </c>
      <c r="M48" s="871" t="str">
        <f>TEXT(M22,"0.0%")&amp;" = Est. S &amp; C"</f>
        <v>1.5% = Est. S &amp; C</v>
      </c>
      <c r="O48" s="83">
        <f t="shared" si="17"/>
        <v>1.4933628318584071E-2</v>
      </c>
      <c r="P48" s="2">
        <f>ROUND(L48*(1+Q22),0)</f>
        <v>7340</v>
      </c>
      <c r="Q48" s="871" t="str">
        <f>TEXT(Q22,"0.0%")&amp;" = Est. S &amp; C"</f>
        <v>1.5% = Est. S &amp; C</v>
      </c>
      <c r="S48" s="83">
        <f t="shared" si="18"/>
        <v>2.0027247956403271E-2</v>
      </c>
      <c r="T48" s="2">
        <f>ROUND(P48*(1+U22),0)</f>
        <v>7487</v>
      </c>
      <c r="U48" s="36" t="str">
        <f>TEXT(U22,"0.0%")&amp;" = Est. S &amp; C"</f>
        <v>2.0% = Est. S &amp; C</v>
      </c>
      <c r="W48" s="83">
        <f t="shared" si="19"/>
        <v>2.0034726859890477E-2</v>
      </c>
      <c r="X48" s="2">
        <f>ROUND(T48*(1+Y22),0)</f>
        <v>7637</v>
      </c>
      <c r="Y48" s="36" t="str">
        <f>TEXT(Y22,"0.0%")&amp;" = Est. S &amp; C"</f>
        <v>2.0% = Est. S &amp; C</v>
      </c>
      <c r="AA48" s="83">
        <f t="shared" si="20"/>
        <v>2.0034044781982455E-2</v>
      </c>
      <c r="AB48" s="2">
        <f>ROUND(X48*(1+AC22),0)</f>
        <v>7790</v>
      </c>
      <c r="AC48" s="36" t="str">
        <f>TEXT(AC22,"0.0%")&amp;" = Est. S &amp; C"</f>
        <v>2.0% = Est. S &amp; C</v>
      </c>
    </row>
    <row r="49" spans="1:29" x14ac:dyDescent="0.25">
      <c r="A49" s="959"/>
      <c r="B49" s="939"/>
      <c r="D49" s="2">
        <v>0</v>
      </c>
      <c r="E49" s="863"/>
      <c r="F49" s="2"/>
      <c r="G49" s="83" t="str">
        <f t="shared" si="15"/>
        <v xml:space="preserve"> - </v>
      </c>
      <c r="H49" s="2">
        <f t="shared" ref="H49" si="21">ROUND(D49*(1+$I$22),0)</f>
        <v>0</v>
      </c>
      <c r="I49" s="871"/>
      <c r="J49" s="66"/>
      <c r="K49" s="83" t="str">
        <f t="shared" si="16"/>
        <v xml:space="preserve"> - </v>
      </c>
      <c r="L49" s="161">
        <f>-'RS 3310'!L39</f>
        <v>37440</v>
      </c>
      <c r="M49" s="954" t="s">
        <v>272</v>
      </c>
      <c r="O49" s="83">
        <f t="shared" si="17"/>
        <v>1.4198985042735042</v>
      </c>
      <c r="P49" s="161">
        <f>-'RS 3310'!P39</f>
        <v>90601</v>
      </c>
      <c r="Q49" s="954" t="s">
        <v>272</v>
      </c>
      <c r="S49" s="83">
        <f t="shared" si="18"/>
        <v>1.9999779251884637E-2</v>
      </c>
      <c r="T49" s="2">
        <f>ROUND(P49*(1+U22),0)</f>
        <v>92413</v>
      </c>
      <c r="U49" s="36" t="str">
        <f>TEXT(U22,"0.0%")&amp;" = Est. S &amp; C"</f>
        <v>2.0% = Est. S &amp; C</v>
      </c>
      <c r="W49" s="83">
        <f t="shared" si="19"/>
        <v>1.9997186543018838E-2</v>
      </c>
      <c r="X49" s="2">
        <f>ROUND(T49*(1+Y22),0)</f>
        <v>94261</v>
      </c>
      <c r="Y49" s="36" t="str">
        <f>TEXT(Y22,"0.0%")&amp;" = Est. S &amp; C"</f>
        <v>2.0% = Est. S &amp; C</v>
      </c>
      <c r="AA49" s="83">
        <f t="shared" si="20"/>
        <v>1.9997666054890145E-2</v>
      </c>
      <c r="AB49" s="2">
        <f>ROUND(X49*(1+AC22),0)</f>
        <v>96146</v>
      </c>
      <c r="AC49" s="36" t="str">
        <f>TEXT(AC22,"0.0%")&amp;" = Est. S &amp; C"</f>
        <v>2.0% = Est. S &amp; C</v>
      </c>
    </row>
    <row r="50" spans="1:29" x14ac:dyDescent="0.25">
      <c r="A50" s="959"/>
      <c r="B50" s="939"/>
      <c r="E50" s="863"/>
      <c r="F50" s="2"/>
      <c r="G50" s="83"/>
      <c r="H50" s="2">
        <v>0</v>
      </c>
      <c r="I50" s="871"/>
      <c r="J50" s="66"/>
      <c r="K50" s="83"/>
      <c r="L50" s="2"/>
      <c r="M50" s="948"/>
      <c r="O50" s="83"/>
      <c r="Q50" s="948"/>
      <c r="T50" s="2"/>
      <c r="U50" s="73"/>
      <c r="X50" s="2"/>
      <c r="Y50" s="73"/>
      <c r="AB50" s="2"/>
      <c r="AC50" s="73"/>
    </row>
    <row r="51" spans="1:29" x14ac:dyDescent="0.25">
      <c r="A51" s="960"/>
      <c r="B51" s="939"/>
      <c r="D51" s="8">
        <f>SUM(D43:D50)</f>
        <v>2902820.11</v>
      </c>
      <c r="E51" s="863"/>
      <c r="F51" s="2"/>
      <c r="G51" s="83">
        <f t="shared" si="15"/>
        <v>0.20068342781323786</v>
      </c>
      <c r="H51" s="8">
        <f>SUM(H43:H50)</f>
        <v>3485368</v>
      </c>
      <c r="I51" s="1292">
        <f>+H51-D51</f>
        <v>582547.89000000013</v>
      </c>
      <c r="J51" s="29"/>
      <c r="K51" s="83">
        <f t="shared" si="16"/>
        <v>2.4973546552329626E-2</v>
      </c>
      <c r="L51" s="8">
        <f>SUM(L43:L50)</f>
        <v>3572410</v>
      </c>
      <c r="M51" s="1292">
        <f>+L51-H51</f>
        <v>87042</v>
      </c>
      <c r="O51" s="83">
        <f t="shared" si="17"/>
        <v>2.8973997945364614E-2</v>
      </c>
      <c r="P51" s="8">
        <f>SUM(P43:P50)</f>
        <v>3675917</v>
      </c>
      <c r="Q51" s="1292">
        <f>+P51-L51</f>
        <v>103507</v>
      </c>
      <c r="S51" s="83">
        <f>IF(P51=0,"0.00%",(T51-P51)/P51)</f>
        <v>1.95455990981298E-2</v>
      </c>
      <c r="T51" s="8">
        <f>SUM(T43:T50)</f>
        <v>3747765</v>
      </c>
      <c r="U51" s="73"/>
      <c r="W51" s="83">
        <f>IF(T51=0,"0.00%",(X51-T51)/T51)</f>
        <v>2.0000186777986345E-2</v>
      </c>
      <c r="X51" s="8">
        <f>SUM(X43:X50)</f>
        <v>3822721</v>
      </c>
      <c r="Y51" s="73"/>
      <c r="AA51" s="83">
        <f>IF(X51=0,"0.00%",(AB51-X51)/X51)</f>
        <v>1.9999890130616385E-2</v>
      </c>
      <c r="AB51" s="8">
        <f>SUM(AB43:AB50)</f>
        <v>3899175</v>
      </c>
      <c r="AC51" s="73"/>
    </row>
    <row r="52" spans="1:29" x14ac:dyDescent="0.25">
      <c r="A52" s="959"/>
      <c r="B52" s="930" t="s">
        <v>28</v>
      </c>
      <c r="E52" s="863"/>
      <c r="F52" s="2"/>
      <c r="H52" s="2"/>
      <c r="I52" s="871"/>
      <c r="J52" s="66"/>
      <c r="L52" s="2"/>
      <c r="M52" s="948"/>
      <c r="Q52" s="948"/>
      <c r="T52" s="2"/>
      <c r="U52" s="73"/>
      <c r="X52" s="2"/>
      <c r="Y52" s="73"/>
      <c r="AB52" s="2"/>
      <c r="AC52" s="73"/>
    </row>
    <row r="53" spans="1:29" x14ac:dyDescent="0.25">
      <c r="A53" s="956"/>
      <c r="B53" s="936" t="s">
        <v>27</v>
      </c>
      <c r="E53" s="863"/>
      <c r="F53" s="2"/>
      <c r="H53" s="2"/>
      <c r="I53" s="871"/>
      <c r="J53" s="66"/>
      <c r="L53" s="2"/>
      <c r="M53" s="948"/>
      <c r="Q53" s="948"/>
      <c r="T53" s="2"/>
      <c r="U53" s="73"/>
      <c r="X53" s="2"/>
      <c r="Y53" s="73"/>
      <c r="AB53" s="2"/>
      <c r="AC53" s="73"/>
    </row>
    <row r="54" spans="1:29" x14ac:dyDescent="0.25">
      <c r="A54" s="959"/>
      <c r="B54" s="939" t="s">
        <v>83</v>
      </c>
      <c r="C54" s="857" t="s">
        <v>76</v>
      </c>
      <c r="D54" s="2">
        <f>719396.77+30823.76</f>
        <v>750220.53</v>
      </c>
      <c r="E54" s="854" t="str">
        <f>TEXT('MYP Assumptions'!$D$55,"0.00%")&amp;", STRS rate"</f>
        <v>12.58%, STRS rate</v>
      </c>
      <c r="F54" s="2"/>
      <c r="G54" s="83">
        <f t="shared" ref="G54:G63" si="22">IF(D54=0," - ",(H54-D54)/D54)</f>
        <v>0.19953795452651765</v>
      </c>
      <c r="H54" s="2">
        <f>863753+36165</f>
        <v>899918</v>
      </c>
      <c r="I54" s="854" t="str">
        <f>TEXT('MYP Assumptions'!E55,"0.00%")&amp;", projected STRS rate"</f>
        <v>14.43%, projected STRS rate</v>
      </c>
      <c r="J54" s="66"/>
      <c r="K54" s="83">
        <f t="shared" ref="K54" si="23">IF(H54=0," - ",(L54-H54)/H54)</f>
        <v>9.1411661951422238E-2</v>
      </c>
      <c r="L54" s="2">
        <f>ROUND(L40*LEFT(M54,6),0)</f>
        <v>982181</v>
      </c>
      <c r="M54" s="854" t="str">
        <f>TEXT('MYP Assumptions'!F55,"0.00%")&amp;", projected STRS rate"</f>
        <v>16.28%, projected STRS rate</v>
      </c>
      <c r="O54" s="83">
        <f t="shared" ref="O54:O65" si="24">IF(L54=0," - ",(P54-L54)/L54)</f>
        <v>0.13013589144974297</v>
      </c>
      <c r="P54" s="2">
        <f>ROUND(P40*LEFT(Q54,6),0)</f>
        <v>1109998</v>
      </c>
      <c r="Q54" s="854" t="str">
        <f>TEXT('MYP Assumptions'!G55,"0.00%")&amp;", projected STRS rate"</f>
        <v>18.13%, projected STRS rate</v>
      </c>
      <c r="S54" s="83">
        <f t="shared" ref="S54:S63" si="25">IF(P54=0,"0.00%",(T54-P54)/P54)</f>
        <v>-0.12157048931619696</v>
      </c>
      <c r="T54" s="2">
        <f>ROUND(T40*LEFT(U54,6),0)</f>
        <v>975055</v>
      </c>
      <c r="U54" s="81" t="str">
        <f>TEXT('MYP Assumptions'!H55,"0.00%")&amp;", projected STRS rate"</f>
        <v>19.10%, projected STRS rate</v>
      </c>
      <c r="W54" s="83">
        <f t="shared" ref="W54:W63" si="26">IF(T54=0,"0.00%",(X54-T54)/T54)</f>
        <v>1.9731194650558174E-2</v>
      </c>
      <c r="X54" s="2">
        <f>ROUND(X40*LEFT(Y54,6),0)</f>
        <v>994294</v>
      </c>
      <c r="Y54" s="81" t="str">
        <f>TEXT('MYP Assumptions'!I55,"0.00%")&amp;", projected STRS rate"</f>
        <v>19.10%, projected STRS rate</v>
      </c>
      <c r="AA54" s="83">
        <f t="shared" ref="AA54:AA63" si="27">IF(X54=0,"0.00%",(AB54-X54)/X54)</f>
        <v>1.9736617137385924E-2</v>
      </c>
      <c r="AB54" s="2">
        <f>ROUND(AB40*LEFT(AC54,6),0)</f>
        <v>1013918</v>
      </c>
      <c r="AC54" s="81" t="str">
        <f>TEXT('MYP Assumptions'!J55,"0.00%")&amp;", projected STRS rate"</f>
        <v>19.10%, projected STRS rate</v>
      </c>
    </row>
    <row r="55" spans="1:29" x14ac:dyDescent="0.25">
      <c r="A55" s="959"/>
      <c r="B55" s="939" t="s">
        <v>84</v>
      </c>
      <c r="C55" s="857" t="s">
        <v>77</v>
      </c>
      <c r="D55" s="2">
        <f>7326.13+352827.51</f>
        <v>360153.64</v>
      </c>
      <c r="E55" s="854" t="str">
        <f>TEXT('MYP Assumptions'!$D$56,"0.00%")&amp;", PERS rate"</f>
        <v>13.89%, PERS rate</v>
      </c>
      <c r="F55" s="2"/>
      <c r="G55" s="83">
        <f t="shared" si="22"/>
        <v>0.30147511489818618</v>
      </c>
      <c r="H55" s="2">
        <f>7289+461442</f>
        <v>468731</v>
      </c>
      <c r="I55" s="854" t="str">
        <f>TEXT('MYP Assumptions'!E56,"0.00%")&amp;", projected PERS rate"</f>
        <v>15.53%, projected PERS rate</v>
      </c>
      <c r="J55" s="66"/>
      <c r="K55" s="83">
        <f t="shared" ref="K55:K63" si="28">IF(H55=0,"0.00%",(L55-H55)/H55)</f>
        <v>0.37948204833902599</v>
      </c>
      <c r="L55" s="2">
        <f>ROUND(L51*LEFT(M55,6),0)</f>
        <v>646606</v>
      </c>
      <c r="M55" s="854" t="str">
        <f>TEXT('MYP Assumptions'!F56,"0.00%")&amp;", projected PERS rate"</f>
        <v>18.10%, projected PERS rate</v>
      </c>
      <c r="O55" s="83">
        <f t="shared" si="24"/>
        <v>0.18246814907377909</v>
      </c>
      <c r="P55" s="2">
        <f>ROUND(P51*LEFT(Q55,6),0)</f>
        <v>764591</v>
      </c>
      <c r="Q55" s="854" t="str">
        <f>TEXT('MYP Assumptions'!G56,"0.00%")&amp;", projected PERS rate"</f>
        <v>20.80%, projected PERS rate</v>
      </c>
      <c r="S55" s="83">
        <f t="shared" si="25"/>
        <v>0.16659495076452641</v>
      </c>
      <c r="T55" s="2">
        <f>ROUND(T51*LEFT(U55,6),0)</f>
        <v>891968</v>
      </c>
      <c r="U55" s="81" t="str">
        <f>TEXT('MYP Assumptions'!H56,"0.00%")&amp;", projected PERS rate"</f>
        <v>23.80%, projected PERS rate</v>
      </c>
      <c r="W55" s="83">
        <f t="shared" si="26"/>
        <v>8.0000627825213458E-2</v>
      </c>
      <c r="X55" s="2">
        <f>ROUND(X51*LEFT(Y55,6),0)</f>
        <v>963326</v>
      </c>
      <c r="Y55" s="81" t="str">
        <f>TEXT('MYP Assumptions'!I56,"0.00%")&amp;", projected PERS rate"</f>
        <v>25.20%, projected PERS rate</v>
      </c>
      <c r="AA55" s="83">
        <f t="shared" si="27"/>
        <v>5.6428457240850965E-2</v>
      </c>
      <c r="AB55" s="2">
        <f>ROUND(AB51*LEFT(AC55,6),0)</f>
        <v>1017685</v>
      </c>
      <c r="AC55" s="81" t="str">
        <f>TEXT('MYP Assumptions'!J56,"0.00%")&amp;", projected PERS rate"</f>
        <v>26.10%, projected PERS rate</v>
      </c>
    </row>
    <row r="56" spans="1:29" x14ac:dyDescent="0.25">
      <c r="A56" s="959"/>
      <c r="B56" s="939" t="s">
        <v>85</v>
      </c>
      <c r="C56" s="857" t="s">
        <v>78</v>
      </c>
      <c r="D56" s="2">
        <f>4389.86+155463.32</f>
        <v>159853.18</v>
      </c>
      <c r="E56" s="854" t="str">
        <f>TEXT('MYP Assumptions'!$D$57,"0.00%")&amp;", SS rate"</f>
        <v>6.20%, SS rate</v>
      </c>
      <c r="F56" s="2"/>
      <c r="G56" s="83">
        <f t="shared" si="22"/>
        <v>0.17752427571350166</v>
      </c>
      <c r="H56" s="2">
        <f>3266+184965</f>
        <v>188231</v>
      </c>
      <c r="I56" s="854" t="str">
        <f>TEXT('MYP Assumptions'!E57,"0.00%")&amp;", no rate change"</f>
        <v>6.20%, no rate change</v>
      </c>
      <c r="J56" s="66"/>
      <c r="K56" s="83">
        <f t="shared" si="28"/>
        <v>0.17668715567573887</v>
      </c>
      <c r="L56" s="2">
        <f>ROUND(L51*LEFT(M56,5),0)</f>
        <v>221489</v>
      </c>
      <c r="M56" s="854" t="str">
        <f>TEXT('MYP Assumptions'!F57,"0.00%")&amp;", no rate change"</f>
        <v>6.20%, no rate change</v>
      </c>
      <c r="O56" s="83">
        <f t="shared" si="24"/>
        <v>2.8976608319149031E-2</v>
      </c>
      <c r="P56" s="2">
        <f>ROUND(P51*LEFT(Q56,5),0)</f>
        <v>227907</v>
      </c>
      <c r="Q56" s="854" t="str">
        <f>TEXT('MYP Assumptions'!G57,"0.00%")&amp;", no rate change"</f>
        <v>6.20%, no rate change</v>
      </c>
      <c r="S56" s="83">
        <f t="shared" si="25"/>
        <v>1.9543059230300079E-2</v>
      </c>
      <c r="T56" s="2">
        <f>ROUND(T51*LEFT(U56,5),0)</f>
        <v>232361</v>
      </c>
      <c r="U56" s="81" t="str">
        <f>TEXT('MYP Assumptions'!H57,"0.00%")&amp;", no rate change"</f>
        <v>6.20%, no rate change</v>
      </c>
      <c r="W56" s="83">
        <f t="shared" si="26"/>
        <v>2.0003356845598015E-2</v>
      </c>
      <c r="X56" s="2">
        <f>ROUND(X51*LEFT(Y56,5),0)</f>
        <v>237009</v>
      </c>
      <c r="Y56" s="81" t="str">
        <f>TEXT('MYP Assumptions'!I57,"0.00%")&amp;", no rate change"</f>
        <v>6.20%, no rate change</v>
      </c>
      <c r="AA56" s="83">
        <f t="shared" si="27"/>
        <v>1.9999240535169549E-2</v>
      </c>
      <c r="AB56" s="2">
        <f>ROUND(AB51*LEFT(AC56,5),0)</f>
        <v>241749</v>
      </c>
      <c r="AC56" s="81" t="str">
        <f>TEXT('MYP Assumptions'!J57,"0.00%")&amp;", no rate change"</f>
        <v>6.20%, no rate change</v>
      </c>
    </row>
    <row r="57" spans="1:29" x14ac:dyDescent="0.25">
      <c r="A57" s="959"/>
      <c r="B57" s="939" t="s">
        <v>86</v>
      </c>
      <c r="C57" s="857" t="s">
        <v>79</v>
      </c>
      <c r="D57" s="2">
        <f>80094.99+40390.31</f>
        <v>120485.3</v>
      </c>
      <c r="E57" s="854" t="str">
        <f>TEXT('MYP Assumptions'!$D$58,"0.00%")&amp;", Medicare rate"</f>
        <v>1.45%, Medicare rate</v>
      </c>
      <c r="F57" s="2"/>
      <c r="G57" s="83">
        <f t="shared" si="22"/>
        <v>0.12704205409290592</v>
      </c>
      <c r="H57" s="2">
        <f>88547+47245</f>
        <v>135792</v>
      </c>
      <c r="I57" s="854" t="str">
        <f>TEXT('MYP Assumptions'!E58,"0.00%")&amp;", no rate change"</f>
        <v>1.45%, no rate change</v>
      </c>
      <c r="J57" s="66"/>
      <c r="K57" s="83">
        <f t="shared" si="28"/>
        <v>2.5678979615883116E-2</v>
      </c>
      <c r="L57" s="2">
        <f>ROUND((L51+L40)*LEFT(M57,5),0)</f>
        <v>139279</v>
      </c>
      <c r="M57" s="854" t="str">
        <f>TEXT('MYP Assumptions'!F58,"0.00%")&amp;", no rate change"</f>
        <v>1.45%, no rate change</v>
      </c>
      <c r="O57" s="83">
        <f t="shared" si="24"/>
        <v>2.0081993696106377E-2</v>
      </c>
      <c r="P57" s="2">
        <f>ROUND((P51+P40)*LEFT(Q57,5),0)</f>
        <v>142076</v>
      </c>
      <c r="Q57" s="854" t="str">
        <f>TEXT('MYP Assumptions'!G58,"0.00%")&amp;", no rate change"</f>
        <v>1.45%, no rate change</v>
      </c>
      <c r="S57" s="83">
        <f t="shared" si="25"/>
        <v>-9.650468763197162E-2</v>
      </c>
      <c r="T57" s="2">
        <f>ROUND((T51+T40)*LEFT(U57,5),0)</f>
        <v>128365</v>
      </c>
      <c r="U57" s="81" t="str">
        <f>TEXT('MYP Assumptions'!H58,"0.00%")&amp;", no rate change"</f>
        <v>1.45%, no rate change</v>
      </c>
      <c r="W57" s="83">
        <f t="shared" si="26"/>
        <v>1.9849647489580492E-2</v>
      </c>
      <c r="X57" s="2">
        <f>ROUND((X51+X40)*LEFT(Y57,5),0)</f>
        <v>130913</v>
      </c>
      <c r="Y57" s="81" t="str">
        <f>TEXT('MYP Assumptions'!I58,"0.00%")&amp;", no rate change"</f>
        <v>1.45%, no rate change</v>
      </c>
      <c r="AA57" s="83">
        <f t="shared" si="27"/>
        <v>1.9845240732394798E-2</v>
      </c>
      <c r="AB57" s="2">
        <f>ROUND((AB51+AB40)*LEFT(AC57,5),0)</f>
        <v>133511</v>
      </c>
      <c r="AC57" s="81" t="str">
        <f>TEXT('MYP Assumptions'!J58,"0.00%")&amp;", no rate change"</f>
        <v>1.45%, no rate change</v>
      </c>
    </row>
    <row r="58" spans="1:29" x14ac:dyDescent="0.25">
      <c r="A58" s="959"/>
      <c r="B58" s="939" t="s">
        <v>87</v>
      </c>
      <c r="C58" s="857" t="s">
        <v>80</v>
      </c>
      <c r="D58" s="2">
        <f>532574.67+146868.51</f>
        <v>679443.18</v>
      </c>
      <c r="E58" s="854"/>
      <c r="F58" s="2"/>
      <c r="G58" s="83">
        <f t="shared" si="22"/>
        <v>4.4243317005551439E-2</v>
      </c>
      <c r="H58" s="2">
        <f>564578+144926</f>
        <v>709504</v>
      </c>
      <c r="I58" s="854"/>
      <c r="J58" s="66"/>
      <c r="K58" s="83">
        <f t="shared" si="28"/>
        <v>6.9999605358109326E-2</v>
      </c>
      <c r="L58" s="2">
        <f>ROUND((H58)*(LEFT(M58,5)+1),0)</f>
        <v>759169</v>
      </c>
      <c r="M58" s="854" t="str">
        <f>TEXT('MYP Assumptions'!$M$65,"0.00%")&amp;", projected increase"</f>
        <v>7.00%, projected increase</v>
      </c>
      <c r="O58" s="83">
        <f t="shared" si="24"/>
        <v>7.0000223929059274E-2</v>
      </c>
      <c r="P58" s="2">
        <f>ROUND((L58)*(LEFT(Q58,5)+1),0)</f>
        <v>812311</v>
      </c>
      <c r="Q58" s="854" t="str">
        <f>TEXT('MYP Assumptions'!$M$65,"0.00%")&amp;", projected increase"</f>
        <v>7.00%, projected increase</v>
      </c>
      <c r="S58" s="83">
        <f t="shared" si="25"/>
        <v>7.0000283142786446E-2</v>
      </c>
      <c r="T58" s="2">
        <f>ROUND((P58)*(LEFT(U58,5)+1),0)</f>
        <v>869173</v>
      </c>
      <c r="U58" s="81" t="str">
        <f>TEXT('MYP Assumptions'!$M$65,"0.00%")&amp;", projected increase"</f>
        <v>7.00%, projected increase</v>
      </c>
      <c r="W58" s="83">
        <f t="shared" si="26"/>
        <v>6.999987344291643E-2</v>
      </c>
      <c r="X58" s="2">
        <f>ROUND((T58)*(LEFT(Y58,5)+1),0)</f>
        <v>930015</v>
      </c>
      <c r="Y58" s="81" t="str">
        <f>TEXT('MYP Assumptions'!$M$65,"0.00%")&amp;", projected increase"</f>
        <v>7.00%, projected increase</v>
      </c>
      <c r="AA58" s="83">
        <f t="shared" si="27"/>
        <v>6.999994623742628E-2</v>
      </c>
      <c r="AB58" s="2">
        <f>ROUND((X58)*(LEFT(AC58,5)+1),0)</f>
        <v>995116</v>
      </c>
      <c r="AC58" s="81" t="str">
        <f>TEXT('MYP Assumptions'!$M$65,"0.00%")&amp;", projected increase"</f>
        <v>7.00%, projected increase</v>
      </c>
    </row>
    <row r="59" spans="1:29" x14ac:dyDescent="0.25">
      <c r="A59" s="959"/>
      <c r="B59" s="939" t="s">
        <v>88</v>
      </c>
      <c r="C59" s="857" t="s">
        <v>81</v>
      </c>
      <c r="D59" s="2">
        <f>2767.03+1393.05</f>
        <v>4160.08</v>
      </c>
      <c r="E59" s="854" t="str">
        <f>TEXT('MYP Assumptions'!$D$59,"0.00%")&amp;", SUI rate"</f>
        <v>0.05%, SUI rate</v>
      </c>
      <c r="F59" s="2"/>
      <c r="G59" s="83">
        <f t="shared" si="22"/>
        <v>0.16728524451452859</v>
      </c>
      <c r="H59" s="2">
        <f>3167+1689</f>
        <v>4856</v>
      </c>
      <c r="I59" s="854" t="str">
        <f>TEXT('MYP Assumptions'!E59,"0.00%")&amp;", no rate change"</f>
        <v>0.05%, no rate change</v>
      </c>
      <c r="J59" s="66"/>
      <c r="K59" s="83">
        <f t="shared" si="28"/>
        <v>-1.0914332784184515E-2</v>
      </c>
      <c r="L59" s="2">
        <f>ROUND((L51+L40)*LEFT(M59,5),0)</f>
        <v>4803</v>
      </c>
      <c r="M59" s="854" t="str">
        <f>TEXT('MYP Assumptions'!F59,"0.00%")&amp;", no rate change"</f>
        <v>0.05%, no rate change</v>
      </c>
      <c r="O59" s="83">
        <f t="shared" si="24"/>
        <v>1.9987507807620236E-2</v>
      </c>
      <c r="P59" s="2">
        <f>ROUND((P51+P40)*LEFT(Q59,5),0)</f>
        <v>4899</v>
      </c>
      <c r="Q59" s="854" t="str">
        <f>TEXT('MYP Assumptions'!G59,"0.00%")&amp;", no rate change"</f>
        <v>0.05%, no rate change</v>
      </c>
      <c r="S59" s="83">
        <f t="shared" si="25"/>
        <v>-9.6550316391100219E-2</v>
      </c>
      <c r="T59" s="2">
        <f>ROUND((T51+T40)*LEFT(U59,5),0)</f>
        <v>4426</v>
      </c>
      <c r="U59" s="81" t="str">
        <f>TEXT('MYP Assumptions'!H59,"0.00%")&amp;", no rate change"</f>
        <v>0.05%, no rate change</v>
      </c>
      <c r="W59" s="83">
        <f t="shared" si="26"/>
        <v>1.9882512426570267E-2</v>
      </c>
      <c r="X59" s="2">
        <f>ROUND((X51+X40)*LEFT(Y59,5),0)</f>
        <v>4514</v>
      </c>
      <c r="Y59" s="81" t="str">
        <f>TEXT('MYP Assumptions'!I59,"0.00%")&amp;", no rate change"</f>
        <v>0.05%, no rate change</v>
      </c>
      <c r="AA59" s="83">
        <f t="shared" si="27"/>
        <v>1.9937970757642889E-2</v>
      </c>
      <c r="AB59" s="2">
        <f>ROUND((AB51+AB40)*LEFT(AC59,5),0)</f>
        <v>4604</v>
      </c>
      <c r="AC59" s="81" t="str">
        <f>TEXT('MYP Assumptions'!J59,"0.00%")&amp;", no rate change"</f>
        <v>0.05%, no rate change</v>
      </c>
    </row>
    <row r="60" spans="1:29" x14ac:dyDescent="0.25">
      <c r="A60" s="959"/>
      <c r="B60" s="939" t="s">
        <v>89</v>
      </c>
      <c r="C60" s="857" t="s">
        <v>82</v>
      </c>
      <c r="D60" s="2">
        <f>60870.16+30641.44</f>
        <v>91511.6</v>
      </c>
      <c r="E60" s="854" t="str">
        <f>TEXT('MYP Assumptions'!$D$60,"0.00%")&amp;", W/C rate"</f>
        <v>1.10%, W/C rate</v>
      </c>
      <c r="F60" s="2"/>
      <c r="G60" s="83">
        <f t="shared" si="22"/>
        <v>0.1580826911560938</v>
      </c>
      <c r="H60" s="2">
        <f>69069+36909</f>
        <v>105978</v>
      </c>
      <c r="I60" s="854" t="str">
        <f>TEXT('MYP Assumptions'!E60,"0.00%")&amp;", no rate change"</f>
        <v>0.80%, no rate change</v>
      </c>
      <c r="J60" s="66"/>
      <c r="K60" s="83">
        <f t="shared" si="28"/>
        <v>-0.27490611258940534</v>
      </c>
      <c r="L60" s="2">
        <f>ROUND((L51+L40)*LEFT(M60,5),0)</f>
        <v>76844</v>
      </c>
      <c r="M60" s="854" t="str">
        <f>TEXT('MYP Assumptions'!F60,"0.00%")&amp;", no rate change"</f>
        <v>0.80%, no rate change</v>
      </c>
      <c r="O60" s="83">
        <f t="shared" si="24"/>
        <v>2.0079641871844255E-2</v>
      </c>
      <c r="P60" s="2">
        <f>ROUND((P51+P40)*LEFT(Q60,5),0)</f>
        <v>78387</v>
      </c>
      <c r="Q60" s="854" t="str">
        <f>TEXT('MYP Assumptions'!G60,"0.00%")&amp;", no rate change"</f>
        <v>0.80%, no rate change</v>
      </c>
      <c r="S60" s="83">
        <f t="shared" si="25"/>
        <v>-9.6508349598785514E-2</v>
      </c>
      <c r="T60" s="2">
        <f>ROUND((T51+T40)*LEFT(U60,5),0)</f>
        <v>70822</v>
      </c>
      <c r="U60" s="81" t="str">
        <f>TEXT('MYP Assumptions'!H60,"0.00%")&amp;", no rate change"</f>
        <v>0.80%, no rate change</v>
      </c>
      <c r="W60" s="83">
        <f t="shared" si="26"/>
        <v>1.9852588178814492E-2</v>
      </c>
      <c r="X60" s="2">
        <f>ROUND((X51+X40)*LEFT(Y60,5),0)</f>
        <v>72228</v>
      </c>
      <c r="Y60" s="81" t="str">
        <f>TEXT('MYP Assumptions'!I60,"0.00%")&amp;", no rate change"</f>
        <v>0.80%, no rate change</v>
      </c>
      <c r="AA60" s="83">
        <f t="shared" si="27"/>
        <v>1.9839951265437226E-2</v>
      </c>
      <c r="AB60" s="2">
        <f>ROUND((AB51+AB40)*LEFT(AC60,5),0)</f>
        <v>73661</v>
      </c>
      <c r="AC60" s="81" t="str">
        <f>TEXT('MYP Assumptions'!J60,"0.00%")&amp;", no rate change"</f>
        <v>0.80%, no rate change</v>
      </c>
    </row>
    <row r="61" spans="1:29" x14ac:dyDescent="0.25">
      <c r="A61" s="959"/>
      <c r="B61" s="939" t="s">
        <v>91</v>
      </c>
      <c r="C61" s="857" t="s">
        <v>93</v>
      </c>
      <c r="D61" s="2">
        <f>31200+12750+3388</f>
        <v>47338</v>
      </c>
      <c r="E61" s="863"/>
      <c r="F61" s="2"/>
      <c r="G61" s="83">
        <f t="shared" si="22"/>
        <v>0.19603701043559085</v>
      </c>
      <c r="H61" s="2">
        <f>39850+15367+1401</f>
        <v>56618</v>
      </c>
      <c r="I61" s="854" t="s">
        <v>166</v>
      </c>
      <c r="J61" s="66"/>
      <c r="K61" s="83">
        <f t="shared" ref="K61" si="29">IF(H61=0,"0.00%",(L61-H61)/H61)</f>
        <v>0</v>
      </c>
      <c r="L61" s="2">
        <f>H61</f>
        <v>56618</v>
      </c>
      <c r="M61" s="854" t="s">
        <v>166</v>
      </c>
      <c r="O61" s="83">
        <f t="shared" si="24"/>
        <v>0</v>
      </c>
      <c r="P61" s="2">
        <f>L61</f>
        <v>56618</v>
      </c>
      <c r="Q61" s="854" t="s">
        <v>166</v>
      </c>
      <c r="S61" s="83">
        <f t="shared" ref="S61" si="30">IF(P61=0,"0.00%",(T61-P61)/P61)</f>
        <v>0</v>
      </c>
      <c r="T61" s="2">
        <f>P61</f>
        <v>56618</v>
      </c>
      <c r="U61" s="81" t="s">
        <v>166</v>
      </c>
      <c r="W61" s="83">
        <f t="shared" ref="W61" si="31">IF(T61=0,"0.00%",(X61-T61)/T61)</f>
        <v>0</v>
      </c>
      <c r="X61" s="2">
        <f>T61</f>
        <v>56618</v>
      </c>
      <c r="Y61" s="81" t="s">
        <v>166</v>
      </c>
      <c r="AA61" s="83">
        <f t="shared" ref="AA61" si="32">IF(X61=0,"0.00%",(AB61-X61)/X61)</f>
        <v>0</v>
      </c>
      <c r="AB61" s="2">
        <f>X61</f>
        <v>56618</v>
      </c>
      <c r="AC61" s="81" t="s">
        <v>166</v>
      </c>
    </row>
    <row r="62" spans="1:29" x14ac:dyDescent="0.25">
      <c r="A62" s="959"/>
      <c r="B62" s="939"/>
      <c r="E62" s="863"/>
      <c r="F62" s="2"/>
      <c r="G62" s="83" t="str">
        <f t="shared" si="22"/>
        <v xml:space="preserve"> - </v>
      </c>
      <c r="H62" s="2"/>
      <c r="I62" s="854"/>
      <c r="J62" s="66"/>
      <c r="K62" s="83"/>
      <c r="L62" s="2"/>
      <c r="M62" s="854"/>
      <c r="O62" s="83"/>
      <c r="Q62" s="854"/>
      <c r="S62" s="83"/>
      <c r="T62" s="2"/>
      <c r="U62" s="81"/>
      <c r="W62" s="83"/>
      <c r="X62" s="2"/>
      <c r="Y62" s="81"/>
      <c r="AA62" s="83"/>
      <c r="AB62" s="2"/>
      <c r="AC62" s="81"/>
    </row>
    <row r="63" spans="1:29" x14ac:dyDescent="0.25">
      <c r="A63" s="960"/>
      <c r="B63" s="939"/>
      <c r="D63" s="8">
        <f>SUM(D54:D62)</f>
        <v>2213165.5100000002</v>
      </c>
      <c r="E63" s="863"/>
      <c r="F63" s="2"/>
      <c r="G63" s="83">
        <f t="shared" si="22"/>
        <v>0.16106454234414655</v>
      </c>
      <c r="H63" s="8">
        <f>SUM(H54:H62)</f>
        <v>2569628</v>
      </c>
      <c r="I63" s="1292">
        <f>+H63-D63</f>
        <v>356462.48999999976</v>
      </c>
      <c r="J63" s="29"/>
      <c r="K63" s="83">
        <f t="shared" si="28"/>
        <v>0.12350464736529956</v>
      </c>
      <c r="L63" s="8">
        <f>SUM(L54:L62)</f>
        <v>2886989</v>
      </c>
      <c r="M63" s="1292">
        <f>+L63-H63</f>
        <v>317361</v>
      </c>
      <c r="O63" s="83">
        <f t="shared" si="24"/>
        <v>0.10730834097393513</v>
      </c>
      <c r="P63" s="8">
        <f>SUM(P54:P62)</f>
        <v>3196787</v>
      </c>
      <c r="Q63" s="1292">
        <f>+P63-L63</f>
        <v>309798</v>
      </c>
      <c r="S63" s="83">
        <f t="shared" si="25"/>
        <v>1.0010363530632475E-2</v>
      </c>
      <c r="T63" s="8">
        <f>SUM(T54:T62)</f>
        <v>3228788</v>
      </c>
      <c r="U63" s="73"/>
      <c r="W63" s="83">
        <f t="shared" si="26"/>
        <v>4.9594151118004651E-2</v>
      </c>
      <c r="X63" s="8">
        <f>SUM(X54:X62)</f>
        <v>3388917</v>
      </c>
      <c r="Y63" s="73"/>
      <c r="AA63" s="83">
        <f t="shared" si="27"/>
        <v>4.365553951306568E-2</v>
      </c>
      <c r="AB63" s="8">
        <f>SUM(AB54:AB62)</f>
        <v>3536862</v>
      </c>
      <c r="AC63" s="73"/>
    </row>
    <row r="64" spans="1:29" x14ac:dyDescent="0.25">
      <c r="A64" s="956"/>
      <c r="B64" s="939"/>
      <c r="E64" s="863"/>
      <c r="F64" s="2"/>
      <c r="H64" s="2"/>
      <c r="I64" s="871"/>
      <c r="J64" s="66"/>
      <c r="L64" s="2"/>
      <c r="M64" s="948"/>
      <c r="O64" s="83"/>
      <c r="Q64" s="948"/>
      <c r="T64" s="2"/>
      <c r="U64" s="73"/>
      <c r="X64" s="2"/>
      <c r="Y64" s="73"/>
      <c r="AB64" s="2"/>
      <c r="AC64" s="73"/>
    </row>
    <row r="65" spans="1:29" x14ac:dyDescent="0.25">
      <c r="A65" s="960"/>
      <c r="B65" s="936" t="s">
        <v>26</v>
      </c>
      <c r="D65" s="8">
        <f>SUM(D63,D51,D40)</f>
        <v>10925785.859999999</v>
      </c>
      <c r="E65" s="863"/>
      <c r="F65" s="2"/>
      <c r="G65" s="83">
        <f>IF(D65=0,"0.00%",(H65-D65)/D65)</f>
        <v>9.8317425745336792E-2</v>
      </c>
      <c r="H65" s="8">
        <f>SUM(H63,H51,H40)</f>
        <v>11999981</v>
      </c>
      <c r="I65" s="1292">
        <f>+H65-D65</f>
        <v>1074195.1400000006</v>
      </c>
      <c r="J65" s="29"/>
      <c r="K65" s="83">
        <f>IF(H65=0,"0.00%",(L65-H65)/H65)</f>
        <v>4.1039231645450105E-2</v>
      </c>
      <c r="L65" s="8">
        <f>SUM(L63,L51,L40)</f>
        <v>12492451</v>
      </c>
      <c r="M65" s="1292">
        <f>+L65-H65</f>
        <v>492470</v>
      </c>
      <c r="O65" s="83">
        <f t="shared" si="24"/>
        <v>4.0239741584737858E-2</v>
      </c>
      <c r="P65" s="8">
        <f>SUM(P63,P51,P40)</f>
        <v>12995144</v>
      </c>
      <c r="Q65" s="1292">
        <f>+P65-L65</f>
        <v>502693</v>
      </c>
      <c r="S65" s="83">
        <f>IF(P65=0,"0.00%",(T65-P65)/P65)</f>
        <v>-7.030233755008794E-2</v>
      </c>
      <c r="T65" s="8">
        <f>SUM(T63,T51,T40)</f>
        <v>12081555</v>
      </c>
      <c r="U65" s="73"/>
      <c r="W65" s="83">
        <f>IF(T65=0,"0.00%",(X65-T65)/T65)</f>
        <v>2.7795511422163785E-2</v>
      </c>
      <c r="X65" s="8">
        <f>SUM(X63,X51,X40)</f>
        <v>12417368</v>
      </c>
      <c r="Y65" s="73"/>
      <c r="AA65" s="83">
        <f>IF(X65=0,"0.00%",(AB65-X65)/X65)</f>
        <v>2.6345518631645613E-2</v>
      </c>
      <c r="AB65" s="8">
        <f>SUM(AB63,AB51,AB40)</f>
        <v>12744510</v>
      </c>
      <c r="AC65" s="73"/>
    </row>
    <row r="66" spans="1:29" x14ac:dyDescent="0.25">
      <c r="A66" s="1041"/>
      <c r="E66" s="863"/>
      <c r="F66" s="2"/>
      <c r="H66" s="2"/>
      <c r="I66" s="871"/>
      <c r="J66" s="66"/>
      <c r="L66" s="2"/>
      <c r="M66" s="948"/>
      <c r="Q66" s="948"/>
      <c r="T66" s="2"/>
      <c r="U66" s="73"/>
      <c r="X66" s="2"/>
      <c r="Y66" s="73"/>
      <c r="AB66" s="2"/>
      <c r="AC66" s="73"/>
    </row>
    <row r="67" spans="1:29" x14ac:dyDescent="0.25">
      <c r="A67" s="959"/>
      <c r="E67" s="863"/>
      <c r="F67" s="2"/>
      <c r="H67" s="2"/>
      <c r="I67" s="871"/>
      <c r="J67" s="66"/>
      <c r="L67" s="2"/>
      <c r="M67" s="948"/>
      <c r="Q67" s="948"/>
      <c r="T67" s="2"/>
      <c r="U67" s="73"/>
      <c r="X67" s="2"/>
      <c r="Y67" s="73"/>
      <c r="AB67" s="2"/>
      <c r="AC67" s="73"/>
    </row>
    <row r="68" spans="1:29" x14ac:dyDescent="0.25">
      <c r="A68" s="1041"/>
      <c r="B68" s="940" t="s">
        <v>25</v>
      </c>
      <c r="C68" s="873"/>
      <c r="E68" s="863"/>
      <c r="F68" s="2"/>
      <c r="H68" s="2"/>
      <c r="I68" s="871"/>
      <c r="J68" s="66"/>
      <c r="L68" s="2"/>
      <c r="M68" s="948"/>
      <c r="Q68" s="948"/>
      <c r="T68" s="2"/>
      <c r="U68" s="73"/>
      <c r="X68" s="2"/>
      <c r="Y68" s="73"/>
      <c r="AB68" s="2"/>
      <c r="AC68" s="73"/>
    </row>
    <row r="69" spans="1:29" x14ac:dyDescent="0.25">
      <c r="A69" s="959"/>
      <c r="B69" s="939" t="s">
        <v>253</v>
      </c>
      <c r="C69" s="857" t="s">
        <v>254</v>
      </c>
      <c r="D69" s="2">
        <v>27771.86</v>
      </c>
      <c r="E69" s="863"/>
      <c r="F69" s="2"/>
      <c r="G69" s="83">
        <f t="shared" ref="G69:G76" si="33">IF(D69=0,"0.00%",(H69-D69)/D69)</f>
        <v>0.12433952929332062</v>
      </c>
      <c r="H69" s="2">
        <v>31225</v>
      </c>
      <c r="I69" s="854"/>
      <c r="J69" s="66"/>
      <c r="K69" s="83">
        <f t="shared" ref="K69:K76" si="34">IF(H69=0,"0.00%",(L69-H69)/H69)</f>
        <v>-0.19935948759007205</v>
      </c>
      <c r="L69" s="2">
        <v>25000</v>
      </c>
      <c r="M69" s="854" t="s">
        <v>174</v>
      </c>
      <c r="O69" s="83">
        <f t="shared" ref="O69:O76" si="35">IF(L69=0,"0.00%",(P69-L69)/L69)</f>
        <v>-0.2</v>
      </c>
      <c r="P69" s="2">
        <v>20000</v>
      </c>
      <c r="Q69" s="854" t="s">
        <v>174</v>
      </c>
      <c r="S69" s="83">
        <f t="shared" ref="S69:S76" si="36">IF(P69=0,"0.00%",(T69-P69)/P69)</f>
        <v>2.7300000000000001E-2</v>
      </c>
      <c r="T69" s="2">
        <f>ROUND(P69*(LEFT(U69,5)+1),0)</f>
        <v>20546</v>
      </c>
      <c r="U69" s="81" t="str">
        <f>TEXT('MYP Assumptions'!H75,"0.00%")&amp;", CPI"</f>
        <v>2.73%, CPI</v>
      </c>
      <c r="W69" s="83">
        <f t="shared" ref="W69:W76" si="37">IF(T69=0,"0.00%",(X69-T69)/T69)</f>
        <v>2.7304584834030955E-2</v>
      </c>
      <c r="X69" s="2">
        <f>ROUND(T69*(LEFT(Y69,5)+1),0)</f>
        <v>21107</v>
      </c>
      <c r="Y69" s="81" t="str">
        <f>TEXT('MYP Assumptions'!I75,"0.00%")&amp;", CPI"</f>
        <v>2.73%, CPI</v>
      </c>
      <c r="AA69" s="83">
        <f t="shared" ref="AA69:AA76" si="38">IF(X69=0,"0.00%",(AB69-X69)/X69)</f>
        <v>2.7289524802198324E-2</v>
      </c>
      <c r="AB69" s="2">
        <f>ROUND(X69*(LEFT(AC69,5)+1),0)</f>
        <v>21683</v>
      </c>
      <c r="AC69" s="81" t="str">
        <f>TEXT('MYP Assumptions'!J75,"0.00%")&amp;", CPI"</f>
        <v>2.73%, CPI</v>
      </c>
    </row>
    <row r="70" spans="1:29" hidden="1" x14ac:dyDescent="0.25">
      <c r="A70" s="959"/>
      <c r="B70" s="939"/>
      <c r="D70" s="2">
        <v>0</v>
      </c>
      <c r="E70" s="863"/>
      <c r="F70" s="2"/>
      <c r="G70" s="83" t="str">
        <f t="shared" si="33"/>
        <v>0.00%</v>
      </c>
      <c r="H70" s="2">
        <f t="shared" ref="H70:H75" si="39">ROUND(D70*(LEFT(I70,5)+1),0)</f>
        <v>0</v>
      </c>
      <c r="I70" s="854" t="str">
        <f>TEXT('MYP Assumptions'!E75,"0.00%")&amp;", CPI"</f>
        <v>3.42%, CPI</v>
      </c>
      <c r="J70" s="66"/>
      <c r="K70" s="83" t="str">
        <f t="shared" si="34"/>
        <v>0.00%</v>
      </c>
      <c r="L70" s="2">
        <f t="shared" ref="L70:L75" si="40">ROUND(H70*(LEFT(M70,5)+1),0)</f>
        <v>0</v>
      </c>
      <c r="M70" s="854" t="str">
        <f>TEXT('MYP Assumptions'!F75,"0.00%")&amp;", CPI"</f>
        <v>3.35%, CPI</v>
      </c>
      <c r="O70" s="83" t="str">
        <f t="shared" si="35"/>
        <v>0.00%</v>
      </c>
      <c r="P70" s="2">
        <f t="shared" ref="P70:P75" si="41">ROUND(L70*(LEFT(Q70,5)+1),0)</f>
        <v>0</v>
      </c>
      <c r="Q70" s="854" t="str">
        <f>TEXT('MYP Assumptions'!G75,"0.00%")&amp;", CPI"</f>
        <v>3.02%, CPI</v>
      </c>
      <c r="S70" s="83" t="str">
        <f t="shared" si="36"/>
        <v>0.00%</v>
      </c>
      <c r="T70" s="2">
        <f t="shared" ref="T70:T75" si="42">ROUND(P70*(LEFT(U70,5)+1),0)</f>
        <v>0</v>
      </c>
      <c r="U70" s="81" t="str">
        <f>TEXT('MYP Assumptions'!H75,"0.00%")&amp;", CPI"</f>
        <v>2.73%, CPI</v>
      </c>
      <c r="W70" s="83" t="str">
        <f t="shared" si="37"/>
        <v>0.00%</v>
      </c>
      <c r="X70" s="2">
        <f t="shared" ref="X70:X75" si="43">ROUND(T70*(LEFT(Y70,5)+1),0)</f>
        <v>0</v>
      </c>
      <c r="Y70" s="81" t="str">
        <f>TEXT('MYP Assumptions'!I75,"0.00%")&amp;", CPI"</f>
        <v>2.73%, CPI</v>
      </c>
      <c r="AA70" s="83" t="str">
        <f t="shared" si="38"/>
        <v>0.00%</v>
      </c>
      <c r="AB70" s="2">
        <f t="shared" ref="AB70:AB75" si="44">ROUND(X70*(LEFT(AC70,5)+1),0)</f>
        <v>0</v>
      </c>
      <c r="AC70" s="81" t="str">
        <f>TEXT('MYP Assumptions'!J75,"0.00%")&amp;", CPI"</f>
        <v>2.73%, CPI</v>
      </c>
    </row>
    <row r="71" spans="1:29" hidden="1" x14ac:dyDescent="0.25">
      <c r="A71" s="959"/>
      <c r="B71" s="939"/>
      <c r="D71" s="2">
        <v>0</v>
      </c>
      <c r="E71" s="863"/>
      <c r="F71" s="2"/>
      <c r="G71" s="83" t="str">
        <f t="shared" si="33"/>
        <v>0.00%</v>
      </c>
      <c r="H71" s="2">
        <f t="shared" si="39"/>
        <v>0</v>
      </c>
      <c r="I71" s="854" t="str">
        <f>TEXT('MYP Assumptions'!E75,"0.00%")&amp;", CPI"</f>
        <v>3.42%, CPI</v>
      </c>
      <c r="J71" s="66"/>
      <c r="K71" s="83" t="str">
        <f t="shared" si="34"/>
        <v>0.00%</v>
      </c>
      <c r="L71" s="2">
        <f t="shared" si="40"/>
        <v>0</v>
      </c>
      <c r="M71" s="854" t="str">
        <f>TEXT('MYP Assumptions'!F75,"0.00%")&amp;", CPI"</f>
        <v>3.35%, CPI</v>
      </c>
      <c r="O71" s="83" t="str">
        <f t="shared" si="35"/>
        <v>0.00%</v>
      </c>
      <c r="P71" s="2">
        <f t="shared" si="41"/>
        <v>0</v>
      </c>
      <c r="Q71" s="854" t="str">
        <f>TEXT('MYP Assumptions'!G75,"0.00%")&amp;", CPI"</f>
        <v>3.02%, CPI</v>
      </c>
      <c r="S71" s="83" t="str">
        <f t="shared" si="36"/>
        <v>0.00%</v>
      </c>
      <c r="T71" s="2">
        <f t="shared" si="42"/>
        <v>0</v>
      </c>
      <c r="U71" s="81" t="str">
        <f>TEXT('MYP Assumptions'!H75,"0.00%")&amp;", CPI"</f>
        <v>2.73%, CPI</v>
      </c>
      <c r="W71" s="83" t="str">
        <f t="shared" si="37"/>
        <v>0.00%</v>
      </c>
      <c r="X71" s="2">
        <f t="shared" si="43"/>
        <v>0</v>
      </c>
      <c r="Y71" s="81" t="str">
        <f>TEXT('MYP Assumptions'!I75,"0.00%")&amp;", CPI"</f>
        <v>2.73%, CPI</v>
      </c>
      <c r="AA71" s="83" t="str">
        <f t="shared" si="38"/>
        <v>0.00%</v>
      </c>
      <c r="AB71" s="2">
        <f t="shared" si="44"/>
        <v>0</v>
      </c>
      <c r="AC71" s="81" t="str">
        <f>TEXT('MYP Assumptions'!J75,"0.00%")&amp;", CPI"</f>
        <v>2.73%, CPI</v>
      </c>
    </row>
    <row r="72" spans="1:29" hidden="1" x14ac:dyDescent="0.25">
      <c r="A72" s="959"/>
      <c r="B72" s="939"/>
      <c r="D72" s="2">
        <v>0</v>
      </c>
      <c r="E72" s="863"/>
      <c r="F72" s="2"/>
      <c r="G72" s="83" t="str">
        <f t="shared" si="33"/>
        <v>0.00%</v>
      </c>
      <c r="H72" s="2">
        <f t="shared" si="39"/>
        <v>0</v>
      </c>
      <c r="I72" s="854" t="str">
        <f>TEXT('MYP Assumptions'!E75,"0.00%")&amp;", CPI"</f>
        <v>3.42%, CPI</v>
      </c>
      <c r="J72" s="66"/>
      <c r="K72" s="83" t="str">
        <f t="shared" si="34"/>
        <v>0.00%</v>
      </c>
      <c r="L72" s="2">
        <f t="shared" si="40"/>
        <v>0</v>
      </c>
      <c r="M72" s="854" t="str">
        <f>TEXT('MYP Assumptions'!F75,"0.00%")&amp;", CPI"</f>
        <v>3.35%, CPI</v>
      </c>
      <c r="O72" s="83" t="str">
        <f t="shared" si="35"/>
        <v>0.00%</v>
      </c>
      <c r="P72" s="2">
        <f t="shared" si="41"/>
        <v>0</v>
      </c>
      <c r="Q72" s="854" t="str">
        <f>TEXT('MYP Assumptions'!G75,"0.00%")&amp;", CPI"</f>
        <v>3.02%, CPI</v>
      </c>
      <c r="S72" s="83" t="str">
        <f t="shared" si="36"/>
        <v>0.00%</v>
      </c>
      <c r="T72" s="2">
        <f t="shared" si="42"/>
        <v>0</v>
      </c>
      <c r="U72" s="81" t="str">
        <f>TEXT('MYP Assumptions'!H75,"0.00%")&amp;", CPI"</f>
        <v>2.73%, CPI</v>
      </c>
      <c r="W72" s="83" t="str">
        <f t="shared" si="37"/>
        <v>0.00%</v>
      </c>
      <c r="X72" s="2">
        <f t="shared" si="43"/>
        <v>0</v>
      </c>
      <c r="Y72" s="81" t="str">
        <f>TEXT('MYP Assumptions'!I75,"0.00%")&amp;", CPI"</f>
        <v>2.73%, CPI</v>
      </c>
      <c r="AA72" s="83" t="str">
        <f t="shared" si="38"/>
        <v>0.00%</v>
      </c>
      <c r="AB72" s="2">
        <f t="shared" si="44"/>
        <v>0</v>
      </c>
      <c r="AC72" s="81" t="str">
        <f>TEXT('MYP Assumptions'!J75,"0.00%")&amp;", CPI"</f>
        <v>2.73%, CPI</v>
      </c>
    </row>
    <row r="73" spans="1:29" hidden="1" x14ac:dyDescent="0.25">
      <c r="A73" s="959"/>
      <c r="B73" s="939"/>
      <c r="D73" s="2">
        <v>0</v>
      </c>
      <c r="E73" s="863"/>
      <c r="F73" s="2"/>
      <c r="G73" s="83" t="str">
        <f t="shared" si="33"/>
        <v>0.00%</v>
      </c>
      <c r="H73" s="2">
        <f t="shared" si="39"/>
        <v>0</v>
      </c>
      <c r="I73" s="854" t="str">
        <f>TEXT('MYP Assumptions'!E75,"0.00%")&amp;", CPI"</f>
        <v>3.42%, CPI</v>
      </c>
      <c r="J73" s="66"/>
      <c r="K73" s="83" t="str">
        <f t="shared" si="34"/>
        <v>0.00%</v>
      </c>
      <c r="L73" s="2">
        <f t="shared" si="40"/>
        <v>0</v>
      </c>
      <c r="M73" s="854" t="str">
        <f>TEXT('MYP Assumptions'!F75,"0.00%")&amp;", CPI"</f>
        <v>3.35%, CPI</v>
      </c>
      <c r="O73" s="83" t="str">
        <f t="shared" si="35"/>
        <v>0.00%</v>
      </c>
      <c r="P73" s="2">
        <f t="shared" si="41"/>
        <v>0</v>
      </c>
      <c r="Q73" s="854" t="str">
        <f>TEXT('MYP Assumptions'!G75,"0.00%")&amp;", CPI"</f>
        <v>3.02%, CPI</v>
      </c>
      <c r="S73" s="83" t="str">
        <f t="shared" si="36"/>
        <v>0.00%</v>
      </c>
      <c r="T73" s="2">
        <f t="shared" si="42"/>
        <v>0</v>
      </c>
      <c r="U73" s="81" t="str">
        <f>TEXT('MYP Assumptions'!H75,"0.00%")&amp;", CPI"</f>
        <v>2.73%, CPI</v>
      </c>
      <c r="W73" s="83" t="str">
        <f t="shared" si="37"/>
        <v>0.00%</v>
      </c>
      <c r="X73" s="2">
        <f t="shared" si="43"/>
        <v>0</v>
      </c>
      <c r="Y73" s="81" t="str">
        <f>TEXT('MYP Assumptions'!I75,"0.00%")&amp;", CPI"</f>
        <v>2.73%, CPI</v>
      </c>
      <c r="AA73" s="83" t="str">
        <f t="shared" si="38"/>
        <v>0.00%</v>
      </c>
      <c r="AB73" s="2">
        <f t="shared" si="44"/>
        <v>0</v>
      </c>
      <c r="AC73" s="81" t="str">
        <f>TEXT('MYP Assumptions'!J75,"0.00%")&amp;", CPI"</f>
        <v>2.73%, CPI</v>
      </c>
    </row>
    <row r="74" spans="1:29" hidden="1" x14ac:dyDescent="0.25">
      <c r="A74" s="959"/>
      <c r="B74" s="939"/>
      <c r="D74" s="2">
        <v>0</v>
      </c>
      <c r="E74" s="863"/>
      <c r="F74" s="2"/>
      <c r="G74" s="83" t="str">
        <f t="shared" si="33"/>
        <v>0.00%</v>
      </c>
      <c r="H74" s="2">
        <f t="shared" si="39"/>
        <v>0</v>
      </c>
      <c r="I74" s="854" t="str">
        <f>TEXT('MYP Assumptions'!E75,"0.00%")&amp;", CPI"</f>
        <v>3.42%, CPI</v>
      </c>
      <c r="J74" s="66"/>
      <c r="K74" s="83" t="str">
        <f t="shared" si="34"/>
        <v>0.00%</v>
      </c>
      <c r="L74" s="2">
        <f t="shared" si="40"/>
        <v>0</v>
      </c>
      <c r="M74" s="854" t="str">
        <f>TEXT('MYP Assumptions'!F75,"0.00%")&amp;", CPI"</f>
        <v>3.35%, CPI</v>
      </c>
      <c r="O74" s="83" t="str">
        <f t="shared" si="35"/>
        <v>0.00%</v>
      </c>
      <c r="P74" s="2">
        <f t="shared" si="41"/>
        <v>0</v>
      </c>
      <c r="Q74" s="854" t="str">
        <f>TEXT('MYP Assumptions'!G75,"0.00%")&amp;", CPI"</f>
        <v>3.02%, CPI</v>
      </c>
      <c r="S74" s="83" t="str">
        <f t="shared" si="36"/>
        <v>0.00%</v>
      </c>
      <c r="T74" s="2">
        <f t="shared" si="42"/>
        <v>0</v>
      </c>
      <c r="U74" s="81" t="str">
        <f>TEXT('MYP Assumptions'!H75,"0.00%")&amp;", CPI"</f>
        <v>2.73%, CPI</v>
      </c>
      <c r="W74" s="83" t="str">
        <f t="shared" si="37"/>
        <v>0.00%</v>
      </c>
      <c r="X74" s="2">
        <f t="shared" si="43"/>
        <v>0</v>
      </c>
      <c r="Y74" s="81" t="str">
        <f>TEXT('MYP Assumptions'!I75,"0.00%")&amp;", CPI"</f>
        <v>2.73%, CPI</v>
      </c>
      <c r="AA74" s="83" t="str">
        <f t="shared" si="38"/>
        <v>0.00%</v>
      </c>
      <c r="AB74" s="2">
        <f t="shared" si="44"/>
        <v>0</v>
      </c>
      <c r="AC74" s="81" t="str">
        <f>TEXT('MYP Assumptions'!J75,"0.00%")&amp;", CPI"</f>
        <v>2.73%, CPI</v>
      </c>
    </row>
    <row r="75" spans="1:29" hidden="1" x14ac:dyDescent="0.25">
      <c r="A75" s="959"/>
      <c r="B75" s="939"/>
      <c r="C75" s="941"/>
      <c r="D75" s="2">
        <v>0</v>
      </c>
      <c r="E75" s="863"/>
      <c r="F75" s="2"/>
      <c r="G75" s="83" t="str">
        <f t="shared" si="33"/>
        <v>0.00%</v>
      </c>
      <c r="H75" s="2">
        <f t="shared" si="39"/>
        <v>0</v>
      </c>
      <c r="I75" s="854" t="str">
        <f>TEXT('MYP Assumptions'!E75,"0.00%")&amp;", CPI"</f>
        <v>3.42%, CPI</v>
      </c>
      <c r="J75" s="66"/>
      <c r="K75" s="83" t="str">
        <f t="shared" si="34"/>
        <v>0.00%</v>
      </c>
      <c r="L75" s="2">
        <f t="shared" si="40"/>
        <v>0</v>
      </c>
      <c r="M75" s="854" t="str">
        <f>TEXT('MYP Assumptions'!F75,"0.00%")&amp;", CPI"</f>
        <v>3.35%, CPI</v>
      </c>
      <c r="O75" s="83" t="str">
        <f t="shared" si="35"/>
        <v>0.00%</v>
      </c>
      <c r="P75" s="2">
        <f t="shared" si="41"/>
        <v>0</v>
      </c>
      <c r="Q75" s="854" t="str">
        <f>TEXT('MYP Assumptions'!G75,"0.00%")&amp;", CPI"</f>
        <v>3.02%, CPI</v>
      </c>
      <c r="S75" s="83" t="str">
        <f t="shared" si="36"/>
        <v>0.00%</v>
      </c>
      <c r="T75" s="2">
        <f t="shared" si="42"/>
        <v>0</v>
      </c>
      <c r="U75" s="81" t="str">
        <f>TEXT('MYP Assumptions'!H75,"0.00%")&amp;", CPI"</f>
        <v>2.73%, CPI</v>
      </c>
      <c r="W75" s="83" t="str">
        <f t="shared" si="37"/>
        <v>0.00%</v>
      </c>
      <c r="X75" s="2">
        <f t="shared" si="43"/>
        <v>0</v>
      </c>
      <c r="Y75" s="81" t="str">
        <f>TEXT('MYP Assumptions'!I75,"0.00%")&amp;", CPI"</f>
        <v>2.73%, CPI</v>
      </c>
      <c r="AA75" s="83" t="str">
        <f t="shared" si="38"/>
        <v>0.00%</v>
      </c>
      <c r="AB75" s="2">
        <f t="shared" si="44"/>
        <v>0</v>
      </c>
      <c r="AC75" s="81" t="str">
        <f>TEXT('MYP Assumptions'!J75,"0.00%")&amp;", CPI"</f>
        <v>2.73%, CPI</v>
      </c>
    </row>
    <row r="76" spans="1:29" x14ac:dyDescent="0.25">
      <c r="A76" s="960"/>
      <c r="B76" s="857"/>
      <c r="D76" s="8">
        <f>SUM(D69:D75)</f>
        <v>27771.86</v>
      </c>
      <c r="E76" s="863"/>
      <c r="F76" s="2"/>
      <c r="G76" s="83">
        <f t="shared" si="33"/>
        <v>0.12433952929332062</v>
      </c>
      <c r="H76" s="8">
        <f>SUM(H69:H75)</f>
        <v>31225</v>
      </c>
      <c r="I76" s="1292">
        <f>+H76-D76</f>
        <v>3453.1399999999994</v>
      </c>
      <c r="J76" s="29"/>
      <c r="K76" s="83">
        <f t="shared" si="34"/>
        <v>-0.19935948759007205</v>
      </c>
      <c r="L76" s="8">
        <f>SUM(L69:L75)</f>
        <v>25000</v>
      </c>
      <c r="M76" s="1292">
        <f>+L76-H76</f>
        <v>-6225</v>
      </c>
      <c r="O76" s="83">
        <f t="shared" si="35"/>
        <v>-0.2</v>
      </c>
      <c r="P76" s="8">
        <f>SUM(P69:P75)</f>
        <v>20000</v>
      </c>
      <c r="Q76" s="1292">
        <f>+P76-L76</f>
        <v>-5000</v>
      </c>
      <c r="S76" s="83">
        <f t="shared" si="36"/>
        <v>2.7300000000000001E-2</v>
      </c>
      <c r="T76" s="8">
        <f>SUM(T69:T75)</f>
        <v>20546</v>
      </c>
      <c r="U76" s="73"/>
      <c r="W76" s="83">
        <f t="shared" si="37"/>
        <v>2.7304584834030955E-2</v>
      </c>
      <c r="X76" s="8">
        <f>SUM(X69:X75)</f>
        <v>21107</v>
      </c>
      <c r="Y76" s="73"/>
      <c r="AA76" s="83">
        <f t="shared" si="38"/>
        <v>2.7289524802198324E-2</v>
      </c>
      <c r="AB76" s="8">
        <f>SUM(AB69:AB75)</f>
        <v>21683</v>
      </c>
      <c r="AC76" s="73"/>
    </row>
    <row r="77" spans="1:29" x14ac:dyDescent="0.25">
      <c r="A77" s="959"/>
      <c r="E77" s="863"/>
      <c r="F77" s="2"/>
      <c r="H77" s="2"/>
      <c r="I77" s="871"/>
      <c r="J77" s="66"/>
      <c r="L77" s="2"/>
      <c r="M77" s="948"/>
      <c r="Q77" s="948"/>
      <c r="T77" s="2"/>
      <c r="U77" s="73"/>
      <c r="X77" s="2"/>
      <c r="Y77" s="73"/>
      <c r="AB77" s="2"/>
      <c r="AC77" s="73"/>
    </row>
    <row r="78" spans="1:29" s="4" customFormat="1" x14ac:dyDescent="0.25">
      <c r="A78" s="1039"/>
      <c r="B78" s="936" t="s">
        <v>16</v>
      </c>
      <c r="C78" s="873"/>
      <c r="D78" s="6"/>
      <c r="E78" s="864"/>
      <c r="F78" s="6"/>
      <c r="G78" s="373"/>
      <c r="H78" s="6"/>
      <c r="I78" s="873"/>
      <c r="J78" s="58"/>
      <c r="K78" s="380"/>
      <c r="L78" s="6"/>
      <c r="M78" s="950"/>
      <c r="O78" s="380"/>
      <c r="P78" s="6"/>
      <c r="Q78" s="950"/>
      <c r="R78" s="111"/>
      <c r="U78" s="71"/>
      <c r="Y78" s="71"/>
      <c r="AC78" s="71"/>
    </row>
    <row r="79" spans="1:29" x14ac:dyDescent="0.25">
      <c r="A79" s="959"/>
      <c r="B79" s="939">
        <v>5100</v>
      </c>
      <c r="C79" s="857" t="s">
        <v>255</v>
      </c>
      <c r="D79" s="2">
        <v>2216745.9900000002</v>
      </c>
      <c r="E79" s="863"/>
      <c r="F79" s="2"/>
      <c r="G79" s="83">
        <f t="shared" ref="G79:G84" si="45">IF(D79=0,"0.00%",(H79-D79)/D79)</f>
        <v>3.6670913296655049E-3</v>
      </c>
      <c r="H79" s="2">
        <v>2224875</v>
      </c>
      <c r="I79" s="854"/>
      <c r="J79" s="66"/>
      <c r="K79" s="83">
        <f t="shared" ref="K79:K94" si="46">IF(H79=0,"0.00%",(L79-H79)/H79)</f>
        <v>0</v>
      </c>
      <c r="L79" s="2">
        <f>+H79</f>
        <v>2224875</v>
      </c>
      <c r="M79" s="854"/>
      <c r="O79" s="83">
        <f t="shared" ref="O79:O94" si="47">IF(L79=0,"0.00%",(P79-L79)/L79)</f>
        <v>0</v>
      </c>
      <c r="P79" s="2">
        <f>+L79</f>
        <v>2224875</v>
      </c>
      <c r="Q79" s="854"/>
      <c r="S79" s="83">
        <f t="shared" ref="S79:S94" si="48">IF(P79=0,"0.00%",(T79-P79)/P79)</f>
        <v>2.7299960671947864E-2</v>
      </c>
      <c r="T79" s="2">
        <f>ROUND(P79*(LEFT(U79,5)+1),0)</f>
        <v>2285614</v>
      </c>
      <c r="U79" s="81" t="str">
        <f>TEXT('MYP Assumptions'!H75,"0.00%")&amp;", CPI"</f>
        <v>2.73%, CPI</v>
      </c>
      <c r="W79" s="83">
        <f t="shared" ref="W79:W94" si="49">IF(T79=0,"0.00%",(X79-T79)/T79)</f>
        <v>2.7299885282466768E-2</v>
      </c>
      <c r="X79" s="2">
        <f>ROUND(T79*(LEFT(Y79,5)+1),0)</f>
        <v>2348011</v>
      </c>
      <c r="Y79" s="81" t="str">
        <f>TEXT('MYP Assumptions'!I75,"0.00%")&amp;", CPI"</f>
        <v>2.73%, CPI</v>
      </c>
      <c r="AA79" s="83">
        <f t="shared" ref="AA79:AA94" si="50">IF(X79=0,"0.00%",(AB79-X79)/X79)</f>
        <v>2.7300127639947172E-2</v>
      </c>
      <c r="AB79" s="2">
        <f>ROUND(X79*(LEFT(AC79,5)+1),0)</f>
        <v>2412112</v>
      </c>
      <c r="AC79" s="81" t="str">
        <f>TEXT('MYP Assumptions'!J75,"0.00%")&amp;", CPI"</f>
        <v>2.73%, CPI</v>
      </c>
    </row>
    <row r="80" spans="1:29" x14ac:dyDescent="0.25">
      <c r="A80" s="959"/>
      <c r="B80" s="939">
        <v>5123</v>
      </c>
      <c r="C80" s="857" t="s">
        <v>256</v>
      </c>
      <c r="D80" s="2">
        <v>170481.16</v>
      </c>
      <c r="E80" s="863"/>
      <c r="F80" s="2"/>
      <c r="G80" s="83">
        <f t="shared" si="45"/>
        <v>0.96590637933247281</v>
      </c>
      <c r="H80" s="2">
        <v>335150</v>
      </c>
      <c r="I80" s="854"/>
      <c r="J80" s="66"/>
      <c r="K80" s="83">
        <f t="shared" si="46"/>
        <v>-0.25406534387587648</v>
      </c>
      <c r="L80" s="2">
        <v>250000</v>
      </c>
      <c r="M80" s="854"/>
      <c r="O80" s="83">
        <f t="shared" si="47"/>
        <v>0</v>
      </c>
      <c r="P80" s="2">
        <f>+L80</f>
        <v>250000</v>
      </c>
      <c r="Q80" s="854"/>
      <c r="S80" s="83">
        <f t="shared" si="48"/>
        <v>2.7300000000000001E-2</v>
      </c>
      <c r="T80" s="2">
        <f t="shared" ref="T80:T90" si="51">ROUND(P80*(LEFT(U80,5)+1),0)</f>
        <v>256825</v>
      </c>
      <c r="U80" s="81" t="str">
        <f>TEXT('MYP Assumptions'!H75,"0.00%")&amp;", CPI"</f>
        <v>2.73%, CPI</v>
      </c>
      <c r="W80" s="83">
        <f t="shared" si="49"/>
        <v>2.7298744281125279E-2</v>
      </c>
      <c r="X80" s="2">
        <f t="shared" ref="X80:X90" si="52">ROUND(T80*(LEFT(Y80,5)+1),0)</f>
        <v>263836</v>
      </c>
      <c r="Y80" s="81" t="str">
        <f>TEXT('MYP Assumptions'!I75,"0.00%")&amp;", CPI"</f>
        <v>2.73%, CPI</v>
      </c>
      <c r="AA80" s="83">
        <f t="shared" si="50"/>
        <v>2.7301050652678179E-2</v>
      </c>
      <c r="AB80" s="2">
        <f t="shared" ref="AB80:AB90" si="53">ROUND(X80*(LEFT(AC80,5)+1),0)</f>
        <v>271039</v>
      </c>
      <c r="AC80" s="81" t="str">
        <f>TEXT('MYP Assumptions'!J75,"0.00%")&amp;", CPI"</f>
        <v>2.73%, CPI</v>
      </c>
    </row>
    <row r="81" spans="1:29" x14ac:dyDescent="0.25">
      <c r="A81" s="959"/>
      <c r="B81" s="939">
        <v>5204</v>
      </c>
      <c r="C81" s="857" t="s">
        <v>257</v>
      </c>
      <c r="D81" s="2">
        <v>7933.44</v>
      </c>
      <c r="E81" s="863"/>
      <c r="F81" s="2"/>
      <c r="G81" s="83">
        <f t="shared" si="45"/>
        <v>1.2171264924169138E-2</v>
      </c>
      <c r="H81" s="2">
        <v>8030</v>
      </c>
      <c r="I81" s="854"/>
      <c r="J81" s="66"/>
      <c r="K81" s="83">
        <f t="shared" si="46"/>
        <v>-0.37733499377334995</v>
      </c>
      <c r="L81" s="2">
        <v>5000</v>
      </c>
      <c r="M81" s="854"/>
      <c r="O81" s="83">
        <f t="shared" si="47"/>
        <v>0</v>
      </c>
      <c r="P81" s="2">
        <f>+L81</f>
        <v>5000</v>
      </c>
      <c r="Q81" s="854"/>
      <c r="S81" s="83">
        <f t="shared" si="48"/>
        <v>2.7400000000000001E-2</v>
      </c>
      <c r="T81" s="2">
        <f t="shared" si="51"/>
        <v>5137</v>
      </c>
      <c r="U81" s="81" t="str">
        <f>TEXT('MYP Assumptions'!H75,"0.00%")&amp;", CPI"</f>
        <v>2.73%, CPI</v>
      </c>
      <c r="W81" s="83">
        <f t="shared" si="49"/>
        <v>2.7253260657971578E-2</v>
      </c>
      <c r="X81" s="2">
        <f t="shared" si="52"/>
        <v>5277</v>
      </c>
      <c r="Y81" s="81" t="str">
        <f>TEXT('MYP Assumptions'!I75,"0.00%")&amp;", CPI"</f>
        <v>2.73%, CPI</v>
      </c>
      <c r="AA81" s="83">
        <f t="shared" si="50"/>
        <v>2.7288231949971573E-2</v>
      </c>
      <c r="AB81" s="2">
        <f t="shared" si="53"/>
        <v>5421</v>
      </c>
      <c r="AC81" s="81" t="str">
        <f>TEXT('MYP Assumptions'!J75,"0.00%")&amp;", CPI"</f>
        <v>2.73%, CPI</v>
      </c>
    </row>
    <row r="82" spans="1:29" x14ac:dyDescent="0.25">
      <c r="A82" s="959"/>
      <c r="B82" s="939">
        <v>5213</v>
      </c>
      <c r="C82" s="857" t="s">
        <v>258</v>
      </c>
      <c r="D82" s="2">
        <v>6932.31</v>
      </c>
      <c r="E82" s="863"/>
      <c r="F82" s="2"/>
      <c r="G82" s="83">
        <f t="shared" si="45"/>
        <v>0.23696141690143682</v>
      </c>
      <c r="H82" s="2">
        <v>8575</v>
      </c>
      <c r="I82" s="854"/>
      <c r="J82" s="66"/>
      <c r="K82" s="83">
        <f t="shared" si="46"/>
        <v>-0.41690962099125367</v>
      </c>
      <c r="L82" s="2">
        <v>5000</v>
      </c>
      <c r="M82" s="854"/>
      <c r="O82" s="83">
        <f t="shared" si="47"/>
        <v>0</v>
      </c>
      <c r="P82" s="2">
        <f t="shared" ref="P82:P92" si="54">+L82</f>
        <v>5000</v>
      </c>
      <c r="Q82" s="854"/>
      <c r="S82" s="83">
        <f t="shared" si="48"/>
        <v>2.7400000000000001E-2</v>
      </c>
      <c r="T82" s="2">
        <f t="shared" si="51"/>
        <v>5137</v>
      </c>
      <c r="U82" s="81" t="str">
        <f>TEXT('MYP Assumptions'!H75,"0.00%")&amp;", CPI"</f>
        <v>2.73%, CPI</v>
      </c>
      <c r="W82" s="83">
        <f t="shared" si="49"/>
        <v>2.7253260657971578E-2</v>
      </c>
      <c r="X82" s="2">
        <f t="shared" si="52"/>
        <v>5277</v>
      </c>
      <c r="Y82" s="81" t="str">
        <f>TEXT('MYP Assumptions'!I75,"0.00%")&amp;", CPI"</f>
        <v>2.73%, CPI</v>
      </c>
      <c r="AA82" s="83">
        <f t="shared" si="50"/>
        <v>2.7288231949971573E-2</v>
      </c>
      <c r="AB82" s="2">
        <f t="shared" si="53"/>
        <v>5421</v>
      </c>
      <c r="AC82" s="81" t="str">
        <f>TEXT('MYP Assumptions'!J75,"0.00%")&amp;", CPI"</f>
        <v>2.73%, CPI</v>
      </c>
    </row>
    <row r="83" spans="1:29" x14ac:dyDescent="0.25">
      <c r="A83" s="959"/>
      <c r="B83" s="939">
        <v>5310</v>
      </c>
      <c r="C83" s="857" t="s">
        <v>12</v>
      </c>
      <c r="D83" s="2">
        <v>150</v>
      </c>
      <c r="E83" s="863"/>
      <c r="F83" s="2"/>
      <c r="G83" s="83">
        <f t="shared" si="45"/>
        <v>0</v>
      </c>
      <c r="H83" s="2">
        <v>150</v>
      </c>
      <c r="I83" s="854"/>
      <c r="J83" s="66"/>
      <c r="K83" s="83">
        <f t="shared" si="46"/>
        <v>0</v>
      </c>
      <c r="L83" s="2">
        <v>150</v>
      </c>
      <c r="M83" s="854"/>
      <c r="O83" s="83">
        <f t="shared" si="47"/>
        <v>0</v>
      </c>
      <c r="P83" s="2">
        <f t="shared" si="54"/>
        <v>150</v>
      </c>
      <c r="Q83" s="854"/>
      <c r="S83" s="83">
        <f t="shared" si="48"/>
        <v>2.6666666666666668E-2</v>
      </c>
      <c r="T83" s="2">
        <f t="shared" si="51"/>
        <v>154</v>
      </c>
      <c r="U83" s="81" t="str">
        <f>TEXT('MYP Assumptions'!H75,"0.00%")&amp;", CPI"</f>
        <v>2.73%, CPI</v>
      </c>
      <c r="W83" s="83">
        <f t="shared" si="49"/>
        <v>2.5974025974025976E-2</v>
      </c>
      <c r="X83" s="2">
        <f t="shared" si="52"/>
        <v>158</v>
      </c>
      <c r="Y83" s="81" t="str">
        <f>TEXT('MYP Assumptions'!I75,"0.00%")&amp;", CPI"</f>
        <v>2.73%, CPI</v>
      </c>
      <c r="AA83" s="83">
        <f t="shared" si="50"/>
        <v>2.5316455696202531E-2</v>
      </c>
      <c r="AB83" s="2">
        <f t="shared" si="53"/>
        <v>162</v>
      </c>
      <c r="AC83" s="81" t="str">
        <f>TEXT('MYP Assumptions'!J75,"0.00%")&amp;", CPI"</f>
        <v>2.73%, CPI</v>
      </c>
    </row>
    <row r="84" spans="1:29" x14ac:dyDescent="0.25">
      <c r="A84" s="959"/>
      <c r="B84" s="939" t="s">
        <v>962</v>
      </c>
      <c r="C84" s="857" t="s">
        <v>259</v>
      </c>
      <c r="D84" s="2">
        <f>1503+2240</f>
        <v>3743</v>
      </c>
      <c r="E84" s="863"/>
      <c r="F84" s="2"/>
      <c r="G84" s="83">
        <f t="shared" si="45"/>
        <v>-0.18113812449906491</v>
      </c>
      <c r="H84" s="2">
        <v>3065</v>
      </c>
      <c r="I84" s="854"/>
      <c r="J84" s="66"/>
      <c r="K84" s="83">
        <f t="shared" si="46"/>
        <v>-0.18433931484502447</v>
      </c>
      <c r="L84" s="2">
        <v>2500</v>
      </c>
      <c r="M84" s="854"/>
      <c r="O84" s="83">
        <f t="shared" si="47"/>
        <v>0</v>
      </c>
      <c r="P84" s="2">
        <f t="shared" si="54"/>
        <v>2500</v>
      </c>
      <c r="Q84" s="854"/>
      <c r="S84" s="83">
        <f t="shared" si="48"/>
        <v>2.7199999999999998E-2</v>
      </c>
      <c r="T84" s="2">
        <f t="shared" si="51"/>
        <v>2568</v>
      </c>
      <c r="U84" s="81" t="str">
        <f>TEXT('MYP Assumptions'!H75,"0.00%")&amp;", CPI"</f>
        <v>2.73%, CPI</v>
      </c>
      <c r="W84" s="83">
        <f t="shared" si="49"/>
        <v>2.7258566978193146E-2</v>
      </c>
      <c r="X84" s="2">
        <f t="shared" si="52"/>
        <v>2638</v>
      </c>
      <c r="Y84" s="81" t="str">
        <f>TEXT('MYP Assumptions'!I75,"0.00%")&amp;", CPI"</f>
        <v>2.73%, CPI</v>
      </c>
      <c r="AA84" s="83">
        <f t="shared" si="50"/>
        <v>2.7293404094010616E-2</v>
      </c>
      <c r="AB84" s="2">
        <f t="shared" si="53"/>
        <v>2710</v>
      </c>
      <c r="AC84" s="81" t="str">
        <f>TEXT('MYP Assumptions'!J75,"0.00%")&amp;", CPI"</f>
        <v>2.73%, CPI</v>
      </c>
    </row>
    <row r="85" spans="1:29" x14ac:dyDescent="0.25">
      <c r="A85" s="959"/>
      <c r="B85" s="939">
        <v>5607</v>
      </c>
      <c r="C85" s="857" t="s">
        <v>260</v>
      </c>
      <c r="D85" s="2">
        <v>428.19</v>
      </c>
      <c r="E85" s="863"/>
      <c r="F85" s="2"/>
      <c r="G85" s="83">
        <f>IF(D85=0,"0.00%",(H85-D85)/D85)</f>
        <v>2.7581213947079571E-2</v>
      </c>
      <c r="H85" s="2">
        <v>440</v>
      </c>
      <c r="I85" s="854"/>
      <c r="J85" s="66"/>
      <c r="K85" s="83">
        <f t="shared" si="46"/>
        <v>-9.0909090909090912E-2</v>
      </c>
      <c r="L85" s="2">
        <v>400</v>
      </c>
      <c r="M85" s="854"/>
      <c r="O85" s="83">
        <f t="shared" si="47"/>
        <v>0</v>
      </c>
      <c r="P85" s="2">
        <f t="shared" si="54"/>
        <v>400</v>
      </c>
      <c r="Q85" s="854"/>
      <c r="S85" s="83">
        <f t="shared" si="48"/>
        <v>2.75E-2</v>
      </c>
      <c r="T85" s="2">
        <f t="shared" si="51"/>
        <v>411</v>
      </c>
      <c r="U85" s="81" t="str">
        <f>TEXT('MYP Assumptions'!H75,"0.00%")&amp;", CPI"</f>
        <v>2.73%, CPI</v>
      </c>
      <c r="W85" s="83">
        <f t="shared" si="49"/>
        <v>2.6763990267639901E-2</v>
      </c>
      <c r="X85" s="2">
        <f t="shared" si="52"/>
        <v>422</v>
      </c>
      <c r="Y85" s="81" t="str">
        <f>TEXT('MYP Assumptions'!I75,"0.00%")&amp;", CPI"</f>
        <v>2.73%, CPI</v>
      </c>
      <c r="AA85" s="83">
        <f t="shared" si="50"/>
        <v>2.843601895734597E-2</v>
      </c>
      <c r="AB85" s="2">
        <f t="shared" si="53"/>
        <v>434</v>
      </c>
      <c r="AC85" s="81" t="str">
        <f>TEXT('MYP Assumptions'!J75,"0.00%")&amp;", CPI"</f>
        <v>2.73%, CPI</v>
      </c>
    </row>
    <row r="86" spans="1:29" x14ac:dyDescent="0.25">
      <c r="A86" s="959"/>
      <c r="B86" s="939">
        <v>5752</v>
      </c>
      <c r="C86" s="857" t="s">
        <v>261</v>
      </c>
      <c r="D86" s="2">
        <v>0</v>
      </c>
      <c r="E86" s="863"/>
      <c r="F86" s="2"/>
      <c r="G86" s="83" t="str">
        <f t="shared" ref="G86:G94" si="55">IF(D86=0,"0.00%",(H86-D86)/D86)</f>
        <v>0.00%</v>
      </c>
      <c r="H86" s="2">
        <v>150</v>
      </c>
      <c r="I86" s="854"/>
      <c r="J86" s="66"/>
      <c r="K86" s="83">
        <f t="shared" si="46"/>
        <v>0</v>
      </c>
      <c r="L86" s="2">
        <v>150</v>
      </c>
      <c r="M86" s="854"/>
      <c r="O86" s="83">
        <f t="shared" si="47"/>
        <v>0</v>
      </c>
      <c r="P86" s="2">
        <f t="shared" si="54"/>
        <v>150</v>
      </c>
      <c r="Q86" s="854"/>
      <c r="S86" s="83">
        <f t="shared" si="48"/>
        <v>2.6666666666666668E-2</v>
      </c>
      <c r="T86" s="2">
        <f t="shared" si="51"/>
        <v>154</v>
      </c>
      <c r="U86" s="81" t="str">
        <f>TEXT('MYP Assumptions'!H75,"0.00%")&amp;", CPI"</f>
        <v>2.73%, CPI</v>
      </c>
      <c r="W86" s="83">
        <f t="shared" si="49"/>
        <v>2.5974025974025976E-2</v>
      </c>
      <c r="X86" s="2">
        <f t="shared" si="52"/>
        <v>158</v>
      </c>
      <c r="Y86" s="81" t="str">
        <f>TEXT('MYP Assumptions'!I75,"0.00%")&amp;", CPI"</f>
        <v>2.73%, CPI</v>
      </c>
      <c r="AA86" s="83">
        <f t="shared" si="50"/>
        <v>2.5316455696202531E-2</v>
      </c>
      <c r="AB86" s="2">
        <f t="shared" si="53"/>
        <v>162</v>
      </c>
      <c r="AC86" s="81" t="str">
        <f>TEXT('MYP Assumptions'!J75,"0.00%")&amp;", CPI"</f>
        <v>2.73%, CPI</v>
      </c>
    </row>
    <row r="87" spans="1:29" x14ac:dyDescent="0.25">
      <c r="A87" s="959"/>
      <c r="B87" s="939">
        <v>5804</v>
      </c>
      <c r="C87" s="857" t="s">
        <v>262</v>
      </c>
      <c r="D87" s="2">
        <v>119483.17</v>
      </c>
      <c r="E87" s="863"/>
      <c r="F87" s="2"/>
      <c r="G87" s="83">
        <f t="shared" si="55"/>
        <v>-0.45599032901453818</v>
      </c>
      <c r="H87" s="2">
        <v>65000</v>
      </c>
      <c r="I87" s="854"/>
      <c r="J87" s="66"/>
      <c r="K87" s="83">
        <f t="shared" si="46"/>
        <v>-0.23076923076923078</v>
      </c>
      <c r="L87" s="2">
        <v>50000</v>
      </c>
      <c r="M87" s="854"/>
      <c r="O87" s="83">
        <f t="shared" si="47"/>
        <v>0</v>
      </c>
      <c r="P87" s="2">
        <f t="shared" si="54"/>
        <v>50000</v>
      </c>
      <c r="Q87" s="854"/>
      <c r="S87" s="83">
        <f t="shared" si="48"/>
        <v>2.7300000000000001E-2</v>
      </c>
      <c r="T87" s="2">
        <f t="shared" si="51"/>
        <v>51365</v>
      </c>
      <c r="U87" s="81" t="str">
        <f>TEXT('MYP Assumptions'!H75,"0.00%")&amp;", CPI"</f>
        <v>2.73%, CPI</v>
      </c>
      <c r="W87" s="83">
        <f t="shared" si="49"/>
        <v>2.7294850579188162E-2</v>
      </c>
      <c r="X87" s="2">
        <f t="shared" si="52"/>
        <v>52767</v>
      </c>
      <c r="Y87" s="81" t="str">
        <f>TEXT('MYP Assumptions'!I75,"0.00%")&amp;", CPI"</f>
        <v>2.73%, CPI</v>
      </c>
      <c r="AA87" s="83">
        <f t="shared" si="50"/>
        <v>2.7308734625807796E-2</v>
      </c>
      <c r="AB87" s="2">
        <f t="shared" si="53"/>
        <v>54208</v>
      </c>
      <c r="AC87" s="81" t="str">
        <f>TEXT('MYP Assumptions'!J75,"0.00%")&amp;", CPI"</f>
        <v>2.73%, CPI</v>
      </c>
    </row>
    <row r="88" spans="1:29" x14ac:dyDescent="0.25">
      <c r="A88" s="959"/>
      <c r="B88" s="939">
        <v>5806</v>
      </c>
      <c r="C88" s="857" t="s">
        <v>263</v>
      </c>
      <c r="D88" s="2">
        <v>0</v>
      </c>
      <c r="E88" s="863"/>
      <c r="F88" s="2"/>
      <c r="G88" s="83" t="str">
        <f t="shared" si="55"/>
        <v>0.00%</v>
      </c>
      <c r="H88" s="2">
        <v>250</v>
      </c>
      <c r="I88" s="854"/>
      <c r="J88" s="66"/>
      <c r="K88" s="83">
        <f t="shared" si="46"/>
        <v>0</v>
      </c>
      <c r="L88" s="2">
        <v>250</v>
      </c>
      <c r="M88" s="854"/>
      <c r="O88" s="83">
        <f t="shared" si="47"/>
        <v>0</v>
      </c>
      <c r="P88" s="2">
        <f t="shared" si="54"/>
        <v>250</v>
      </c>
      <c r="Q88" s="854"/>
      <c r="S88" s="83">
        <f t="shared" si="48"/>
        <v>2.8000000000000001E-2</v>
      </c>
      <c r="T88" s="2">
        <f t="shared" si="51"/>
        <v>257</v>
      </c>
      <c r="U88" s="81" t="str">
        <f>TEXT('MYP Assumptions'!H75,"0.00%")&amp;", CPI"</f>
        <v>2.73%, CPI</v>
      </c>
      <c r="W88" s="83">
        <f t="shared" si="49"/>
        <v>2.7237354085603113E-2</v>
      </c>
      <c r="X88" s="2">
        <f t="shared" si="52"/>
        <v>264</v>
      </c>
      <c r="Y88" s="81" t="str">
        <f>TEXT('MYP Assumptions'!I75,"0.00%")&amp;", CPI"</f>
        <v>2.73%, CPI</v>
      </c>
      <c r="AA88" s="83">
        <f t="shared" si="50"/>
        <v>2.6515151515151516E-2</v>
      </c>
      <c r="AB88" s="2">
        <f t="shared" si="53"/>
        <v>271</v>
      </c>
      <c r="AC88" s="81" t="str">
        <f>TEXT('MYP Assumptions'!J75,"0.00%")&amp;", CPI"</f>
        <v>2.73%, CPI</v>
      </c>
    </row>
    <row r="89" spans="1:29" x14ac:dyDescent="0.25">
      <c r="A89" s="959"/>
      <c r="B89" s="939">
        <v>5810</v>
      </c>
      <c r="C89" s="857" t="s">
        <v>264</v>
      </c>
      <c r="D89" s="2">
        <v>3135</v>
      </c>
      <c r="E89" s="863"/>
      <c r="F89" s="2"/>
      <c r="G89" s="83">
        <f t="shared" si="55"/>
        <v>0.59489633173843703</v>
      </c>
      <c r="H89" s="2">
        <v>5000</v>
      </c>
      <c r="I89" s="854"/>
      <c r="J89" s="66"/>
      <c r="K89" s="83">
        <f t="shared" si="46"/>
        <v>-0.5</v>
      </c>
      <c r="L89" s="2">
        <v>2500</v>
      </c>
      <c r="M89" s="854"/>
      <c r="O89" s="83">
        <f t="shared" si="47"/>
        <v>0</v>
      </c>
      <c r="P89" s="2">
        <f t="shared" si="54"/>
        <v>2500</v>
      </c>
      <c r="Q89" s="854"/>
      <c r="S89" s="83">
        <f t="shared" si="48"/>
        <v>2.7199999999999998E-2</v>
      </c>
      <c r="T89" s="2">
        <f t="shared" si="51"/>
        <v>2568</v>
      </c>
      <c r="U89" s="81" t="str">
        <f>TEXT('MYP Assumptions'!H75,"0.00%")&amp;", CPI"</f>
        <v>2.73%, CPI</v>
      </c>
      <c r="W89" s="83">
        <f t="shared" si="49"/>
        <v>2.7258566978193146E-2</v>
      </c>
      <c r="X89" s="2">
        <f t="shared" si="52"/>
        <v>2638</v>
      </c>
      <c r="Y89" s="81" t="str">
        <f>TEXT('MYP Assumptions'!I75,"0.00%")&amp;", CPI"</f>
        <v>2.73%, CPI</v>
      </c>
      <c r="AA89" s="83">
        <f t="shared" si="50"/>
        <v>2.7293404094010616E-2</v>
      </c>
      <c r="AB89" s="2">
        <f t="shared" si="53"/>
        <v>2710</v>
      </c>
      <c r="AC89" s="81" t="str">
        <f>TEXT('MYP Assumptions'!J75,"0.00%")&amp;", CPI"</f>
        <v>2.73%, CPI</v>
      </c>
    </row>
    <row r="90" spans="1:29" x14ac:dyDescent="0.25">
      <c r="A90" s="959"/>
      <c r="B90" s="939">
        <v>5813</v>
      </c>
      <c r="C90" s="857" t="s">
        <v>6</v>
      </c>
      <c r="D90" s="2">
        <v>76295.58</v>
      </c>
      <c r="E90" s="863"/>
      <c r="F90" s="2"/>
      <c r="G90" s="83">
        <f t="shared" si="55"/>
        <v>0.78647308271331051</v>
      </c>
      <c r="H90" s="2">
        <v>136300</v>
      </c>
      <c r="I90" s="854"/>
      <c r="J90" s="66"/>
      <c r="K90" s="83">
        <f t="shared" si="46"/>
        <v>-0.26632428466617752</v>
      </c>
      <c r="L90" s="2">
        <v>100000</v>
      </c>
      <c r="M90" s="854"/>
      <c r="O90" s="83">
        <f t="shared" si="47"/>
        <v>0</v>
      </c>
      <c r="P90" s="2">
        <f t="shared" si="54"/>
        <v>100000</v>
      </c>
      <c r="Q90" s="854"/>
      <c r="S90" s="83">
        <f t="shared" si="48"/>
        <v>2.7300000000000001E-2</v>
      </c>
      <c r="T90" s="2">
        <f t="shared" si="51"/>
        <v>102730</v>
      </c>
      <c r="U90" s="81" t="str">
        <f>TEXT('MYP Assumptions'!$H$75,"0.00%")&amp;", CPI"</f>
        <v>2.73%, CPI</v>
      </c>
      <c r="W90" s="83">
        <f t="shared" si="49"/>
        <v>2.7304584834030955E-2</v>
      </c>
      <c r="X90" s="2">
        <f t="shared" si="52"/>
        <v>105535</v>
      </c>
      <c r="Y90" s="81" t="str">
        <f>TEXT('MYP Assumptions'!$I$75,"0.00%")&amp;", CPI"</f>
        <v>2.73%, CPI</v>
      </c>
      <c r="AA90" s="83">
        <f t="shared" si="50"/>
        <v>2.7299000331643529E-2</v>
      </c>
      <c r="AB90" s="2">
        <f t="shared" si="53"/>
        <v>108416</v>
      </c>
      <c r="AC90" s="81" t="str">
        <f>TEXT('MYP Assumptions'!$J$75,"0.00%")&amp;", CPI"</f>
        <v>2.73%, CPI</v>
      </c>
    </row>
    <row r="91" spans="1:29" x14ac:dyDescent="0.25">
      <c r="A91" s="959"/>
      <c r="B91" s="939">
        <v>5814</v>
      </c>
      <c r="C91" s="857" t="s">
        <v>4</v>
      </c>
      <c r="D91" s="2">
        <v>56267.37</v>
      </c>
      <c r="E91" s="863"/>
      <c r="F91" s="2"/>
      <c r="G91" s="83">
        <f t="shared" si="55"/>
        <v>0.53197137168486808</v>
      </c>
      <c r="H91" s="2">
        <v>86200</v>
      </c>
      <c r="I91" s="854"/>
      <c r="J91" s="66"/>
      <c r="K91" s="83">
        <f t="shared" ref="K91:K92" si="56">IF(H91=0,"0.00%",(L91-H91)/H91)</f>
        <v>-0.12993039443155452</v>
      </c>
      <c r="L91" s="2">
        <v>75000</v>
      </c>
      <c r="M91" s="854"/>
      <c r="O91" s="83">
        <f t="shared" ref="O91:O92" si="57">IF(L91=0,"0.00%",(P91-L91)/L91)</f>
        <v>0</v>
      </c>
      <c r="P91" s="2">
        <f t="shared" si="54"/>
        <v>75000</v>
      </c>
      <c r="Q91" s="854"/>
      <c r="S91" s="83">
        <f t="shared" ref="S91:S92" si="58">IF(P91=0,"0.00%",(T91-P91)/P91)</f>
        <v>2.7306666666666667E-2</v>
      </c>
      <c r="T91" s="2">
        <f t="shared" ref="T91:T92" si="59">ROUND(P91*(LEFT(U91,5)+1),0)</f>
        <v>77048</v>
      </c>
      <c r="U91" s="81" t="str">
        <f>TEXT('MYP Assumptions'!$H$75,"0.00%")&amp;", CPI"</f>
        <v>2.73%, CPI</v>
      </c>
      <c r="W91" s="83">
        <f t="shared" ref="W91:W92" si="60">IF(T91=0,"0.00%",(X91-T91)/T91)</f>
        <v>2.7294673450316685E-2</v>
      </c>
      <c r="X91" s="2">
        <f t="shared" ref="X91:X92" si="61">ROUND(T91*(LEFT(Y91,5)+1),0)</f>
        <v>79151</v>
      </c>
      <c r="Y91" s="81" t="str">
        <f>TEXT('MYP Assumptions'!$I$75,"0.00%")&amp;", CPI"</f>
        <v>2.73%, CPI</v>
      </c>
      <c r="AA91" s="83">
        <f t="shared" ref="AA91:AA92" si="62">IF(X91=0,"0.00%",(AB91-X91)/X91)</f>
        <v>2.7302245075867645E-2</v>
      </c>
      <c r="AB91" s="2">
        <f t="shared" ref="AB91:AB92" si="63">ROUND(X91*(LEFT(AC91,5)+1),0)</f>
        <v>81312</v>
      </c>
      <c r="AC91" s="81" t="str">
        <f>TEXT('MYP Assumptions'!$J$75,"0.00%")&amp;", CPI"</f>
        <v>2.73%, CPI</v>
      </c>
    </row>
    <row r="92" spans="1:29" x14ac:dyDescent="0.25">
      <c r="A92" s="959"/>
      <c r="B92" s="939">
        <v>5817</v>
      </c>
      <c r="C92" s="857" t="s">
        <v>265</v>
      </c>
      <c r="D92" s="2">
        <v>1815.9</v>
      </c>
      <c r="E92" s="863"/>
      <c r="F92" s="2"/>
      <c r="G92" s="83">
        <f t="shared" si="55"/>
        <v>-0.242799713640619</v>
      </c>
      <c r="H92" s="2">
        <v>1375</v>
      </c>
      <c r="I92" s="854"/>
      <c r="J92" s="66"/>
      <c r="K92" s="83">
        <f t="shared" si="56"/>
        <v>-0.27272727272727271</v>
      </c>
      <c r="L92" s="2">
        <v>1000</v>
      </c>
      <c r="M92" s="854"/>
      <c r="O92" s="83">
        <f t="shared" si="57"/>
        <v>0</v>
      </c>
      <c r="P92" s="2">
        <f t="shared" si="54"/>
        <v>1000</v>
      </c>
      <c r="Q92" s="854"/>
      <c r="S92" s="83">
        <f t="shared" si="58"/>
        <v>2.7E-2</v>
      </c>
      <c r="T92" s="2">
        <f t="shared" si="59"/>
        <v>1027</v>
      </c>
      <c r="U92" s="81" t="str">
        <f>TEXT('MYP Assumptions'!$H$75,"0.00%")&amp;", CPI"</f>
        <v>2.73%, CPI</v>
      </c>
      <c r="W92" s="83">
        <f t="shared" si="60"/>
        <v>2.7263875365141188E-2</v>
      </c>
      <c r="X92" s="2">
        <f t="shared" si="61"/>
        <v>1055</v>
      </c>
      <c r="Y92" s="81" t="str">
        <f>TEXT('MYP Assumptions'!$I$75,"0.00%")&amp;", CPI"</f>
        <v>2.73%, CPI</v>
      </c>
      <c r="AA92" s="83">
        <f t="shared" si="62"/>
        <v>2.7488151658767772E-2</v>
      </c>
      <c r="AB92" s="2">
        <f t="shared" si="63"/>
        <v>1084</v>
      </c>
      <c r="AC92" s="81" t="str">
        <f>TEXT('MYP Assumptions'!$J$75,"0.00%")&amp;", CPI"</f>
        <v>2.73%, CPI</v>
      </c>
    </row>
    <row r="93" spans="1:29" x14ac:dyDescent="0.25">
      <c r="A93" s="959"/>
      <c r="B93" s="939"/>
      <c r="E93" s="863"/>
      <c r="F93" s="2"/>
      <c r="G93" s="83"/>
      <c r="H93" s="2"/>
      <c r="I93" s="854"/>
      <c r="J93" s="66"/>
      <c r="K93" s="83"/>
      <c r="L93" s="2"/>
      <c r="M93" s="854"/>
      <c r="O93" s="83"/>
      <c r="Q93" s="854"/>
      <c r="S93" s="83"/>
      <c r="T93" s="2"/>
      <c r="U93" s="81"/>
      <c r="W93" s="83"/>
      <c r="X93" s="2"/>
      <c r="Y93" s="81"/>
      <c r="AA93" s="83"/>
      <c r="AB93" s="2"/>
      <c r="AC93" s="81"/>
    </row>
    <row r="94" spans="1:29" x14ac:dyDescent="0.25">
      <c r="A94" s="960"/>
      <c r="D94" s="8">
        <f>SUM(D79:D93)</f>
        <v>2663411.1100000003</v>
      </c>
      <c r="E94" s="863"/>
      <c r="F94" s="2"/>
      <c r="G94" s="83">
        <f t="shared" si="55"/>
        <v>7.9277618542335976E-2</v>
      </c>
      <c r="H94" s="8">
        <f>SUM(H79:H93)</f>
        <v>2874560</v>
      </c>
      <c r="I94" s="1292">
        <f>+H94-D94</f>
        <v>211148.88999999966</v>
      </c>
      <c r="J94" s="29"/>
      <c r="K94" s="83">
        <f t="shared" si="46"/>
        <v>-5.4872745741957031E-2</v>
      </c>
      <c r="L94" s="8">
        <f>SUM(L79:L93)</f>
        <v>2716825</v>
      </c>
      <c r="M94" s="1292">
        <f>+L94-H94</f>
        <v>-157735</v>
      </c>
      <c r="O94" s="83">
        <f t="shared" si="47"/>
        <v>0</v>
      </c>
      <c r="P94" s="8">
        <f>SUM(P79:P93)</f>
        <v>2716825</v>
      </c>
      <c r="Q94" s="1292">
        <f>+P94-L94</f>
        <v>0</v>
      </c>
      <c r="S94" s="83">
        <f t="shared" si="48"/>
        <v>2.7300249371969117E-2</v>
      </c>
      <c r="T94" s="8">
        <f>SUM(T79:T93)</f>
        <v>2790995</v>
      </c>
      <c r="U94" s="73"/>
      <c r="W94" s="83">
        <f t="shared" si="49"/>
        <v>2.7299224828421405E-2</v>
      </c>
      <c r="X94" s="8">
        <f>SUM(X79:X93)</f>
        <v>2867187</v>
      </c>
      <c r="Y94" s="73"/>
      <c r="AA94" s="83">
        <f t="shared" si="50"/>
        <v>2.7300277240375322E-2</v>
      </c>
      <c r="AB94" s="8">
        <f>SUM(AB79:AB93)</f>
        <v>2945462</v>
      </c>
      <c r="AC94" s="73"/>
    </row>
    <row r="95" spans="1:29" x14ac:dyDescent="0.25">
      <c r="A95" s="959"/>
      <c r="B95" s="936"/>
      <c r="E95" s="863"/>
      <c r="F95" s="2"/>
      <c r="G95" s="83"/>
      <c r="H95" s="2"/>
      <c r="I95" s="871"/>
      <c r="J95" s="66"/>
      <c r="L95" s="2"/>
      <c r="M95" s="948"/>
      <c r="Q95" s="948"/>
      <c r="T95" s="2"/>
      <c r="U95" s="73"/>
      <c r="X95" s="2"/>
      <c r="Y95" s="73"/>
      <c r="AB95" s="2"/>
      <c r="AC95" s="73"/>
    </row>
    <row r="96" spans="1:29" x14ac:dyDescent="0.25">
      <c r="A96" s="959"/>
      <c r="B96" s="936" t="s">
        <v>529</v>
      </c>
      <c r="E96" s="863"/>
      <c r="F96" s="2"/>
      <c r="G96" s="83"/>
      <c r="H96" s="2"/>
      <c r="I96" s="871"/>
      <c r="J96" s="66"/>
      <c r="L96" s="2"/>
      <c r="M96" s="948"/>
      <c r="Q96" s="948"/>
      <c r="T96" s="2"/>
      <c r="U96" s="73"/>
      <c r="X96" s="2"/>
      <c r="Y96" s="73"/>
      <c r="AB96" s="2"/>
      <c r="AC96" s="73"/>
    </row>
    <row r="97" spans="1:29" x14ac:dyDescent="0.25">
      <c r="A97" s="959"/>
      <c r="B97" s="939">
        <v>7142</v>
      </c>
      <c r="C97" s="857" t="s">
        <v>266</v>
      </c>
      <c r="D97" s="2">
        <v>744179.16</v>
      </c>
      <c r="E97" s="863"/>
      <c r="F97" s="2"/>
      <c r="G97" s="83">
        <f t="shared" ref="G97:G99" si="64">IF(D97=0,"0.00%",(H97-D97)/D97)</f>
        <v>-0.27843047902604534</v>
      </c>
      <c r="H97" s="2">
        <v>536977</v>
      </c>
      <c r="I97" s="854"/>
      <c r="J97" s="66"/>
      <c r="K97" s="83">
        <f t="shared" ref="K97:K99" si="65">IF(H97=0,"0.00%",(L97-H97)/H97)</f>
        <v>0</v>
      </c>
      <c r="L97" s="2">
        <f>+H97</f>
        <v>536977</v>
      </c>
      <c r="M97" s="854"/>
      <c r="O97" s="83">
        <f t="shared" ref="O97:O99" si="66">IF(L97=0,"0.00%",(P97-L97)/L97)</f>
        <v>0</v>
      </c>
      <c r="P97" s="2">
        <f t="shared" ref="P97:P98" si="67">+L97</f>
        <v>536977</v>
      </c>
      <c r="Q97" s="854"/>
      <c r="T97" s="2">
        <f>+P97</f>
        <v>536977</v>
      </c>
      <c r="U97" s="36" t="s">
        <v>174</v>
      </c>
      <c r="X97" s="2">
        <f>+T97</f>
        <v>536977</v>
      </c>
      <c r="Y97" s="36" t="s">
        <v>174</v>
      </c>
      <c r="AB97" s="2">
        <f>+X97</f>
        <v>536977</v>
      </c>
      <c r="AC97" s="36" t="s">
        <v>174</v>
      </c>
    </row>
    <row r="98" spans="1:29" x14ac:dyDescent="0.25">
      <c r="A98" s="959"/>
      <c r="B98" s="939">
        <v>7145</v>
      </c>
      <c r="C98" s="857" t="s">
        <v>267</v>
      </c>
      <c r="D98" s="2">
        <v>651050.71</v>
      </c>
      <c r="E98" s="863"/>
      <c r="F98" s="2"/>
      <c r="G98" s="83">
        <f t="shared" si="64"/>
        <v>0.40236848831637101</v>
      </c>
      <c r="H98" s="2">
        <v>913013</v>
      </c>
      <c r="I98" s="854"/>
      <c r="J98" s="66"/>
      <c r="K98" s="83">
        <f t="shared" si="65"/>
        <v>0</v>
      </c>
      <c r="L98" s="2">
        <f>+H98</f>
        <v>913013</v>
      </c>
      <c r="M98" s="854"/>
      <c r="O98" s="83">
        <f t="shared" si="66"/>
        <v>0</v>
      </c>
      <c r="P98" s="2">
        <f t="shared" si="67"/>
        <v>913013</v>
      </c>
      <c r="Q98" s="854"/>
      <c r="T98" s="2">
        <v>0</v>
      </c>
      <c r="U98" s="36"/>
      <c r="X98" s="2">
        <v>0</v>
      </c>
      <c r="Y98" s="36"/>
      <c r="AB98" s="2">
        <v>0</v>
      </c>
      <c r="AC98" s="36"/>
    </row>
    <row r="99" spans="1:29" x14ac:dyDescent="0.25">
      <c r="A99" s="959"/>
      <c r="B99" s="939">
        <v>7221</v>
      </c>
      <c r="C99" s="857" t="s">
        <v>268</v>
      </c>
      <c r="D99" s="2">
        <v>56455</v>
      </c>
      <c r="E99" s="863"/>
      <c r="F99" s="2"/>
      <c r="G99" s="83">
        <f t="shared" si="64"/>
        <v>-8.5979984058099368E-2</v>
      </c>
      <c r="H99" s="2">
        <v>51601</v>
      </c>
      <c r="I99" s="854"/>
      <c r="J99" s="66"/>
      <c r="K99" s="83">
        <f t="shared" si="65"/>
        <v>0</v>
      </c>
      <c r="L99" s="2">
        <f>+H99</f>
        <v>51601</v>
      </c>
      <c r="M99" s="854"/>
      <c r="O99" s="83">
        <f t="shared" si="66"/>
        <v>0</v>
      </c>
      <c r="P99" s="2">
        <f>+L99</f>
        <v>51601</v>
      </c>
      <c r="Q99" s="854"/>
      <c r="T99" s="2">
        <v>0</v>
      </c>
      <c r="U99" s="36"/>
      <c r="X99" s="2">
        <v>0</v>
      </c>
      <c r="Y99" s="36"/>
      <c r="AB99" s="2">
        <v>0</v>
      </c>
      <c r="AC99" s="36"/>
    </row>
    <row r="100" spans="1:29" x14ac:dyDescent="0.25">
      <c r="A100" s="959"/>
      <c r="B100" s="936"/>
      <c r="E100" s="863"/>
      <c r="F100" s="2"/>
      <c r="G100" s="83"/>
      <c r="H100" s="2"/>
      <c r="I100" s="871"/>
      <c r="J100" s="66"/>
      <c r="L100" s="2"/>
      <c r="M100" s="871"/>
      <c r="Q100" s="871"/>
      <c r="T100" s="2"/>
      <c r="U100" s="36"/>
      <c r="X100" s="2"/>
      <c r="Y100" s="36"/>
      <c r="AB100" s="2"/>
      <c r="AC100" s="36"/>
    </row>
    <row r="101" spans="1:29" s="13" customFormat="1" x14ac:dyDescent="0.25">
      <c r="A101" s="956"/>
      <c r="B101" s="938"/>
      <c r="C101" s="938"/>
      <c r="D101" s="160">
        <f>SUM(D97:D100)</f>
        <v>1451684.87</v>
      </c>
      <c r="E101" s="861"/>
      <c r="F101" s="10"/>
      <c r="G101" s="83">
        <f t="shared" ref="G101" si="68">IF(D101=0,"0.00%",(H101-D101)/D101)</f>
        <v>3.4378074078845973E-2</v>
      </c>
      <c r="H101" s="160">
        <f>SUM(H97:H100)</f>
        <v>1501591</v>
      </c>
      <c r="I101" s="1292">
        <f>+H101-D101</f>
        <v>49906.129999999888</v>
      </c>
      <c r="J101" s="57"/>
      <c r="K101" s="83">
        <f t="shared" ref="K101" si="69">IF(H101=0,"0.00%",(L101-H101)/H101)</f>
        <v>0</v>
      </c>
      <c r="L101" s="160">
        <f>SUM(L97:L100)</f>
        <v>1501591</v>
      </c>
      <c r="M101" s="1292">
        <f>+L101-H101</f>
        <v>0</v>
      </c>
      <c r="O101" s="83">
        <f t="shared" ref="O101" si="70">IF(L101=0,"0.00%",(P101-L101)/L101)</f>
        <v>0</v>
      </c>
      <c r="P101" s="160">
        <f>SUM(P97:P100)</f>
        <v>1501591</v>
      </c>
      <c r="Q101" s="1292">
        <f>+P101-L101</f>
        <v>0</v>
      </c>
      <c r="R101" s="111"/>
      <c r="T101" s="160">
        <f>SUM(T97:T100)</f>
        <v>536977</v>
      </c>
      <c r="U101" s="6"/>
      <c r="X101" s="160">
        <f>SUM(X97:X100)</f>
        <v>536977</v>
      </c>
      <c r="Y101" s="6"/>
      <c r="AB101" s="160">
        <f>SUM(AB97:AB100)</f>
        <v>536977</v>
      </c>
      <c r="AC101" s="6"/>
    </row>
    <row r="102" spans="1:29" x14ac:dyDescent="0.25">
      <c r="A102" s="959"/>
      <c r="E102" s="863"/>
      <c r="F102" s="2"/>
      <c r="H102" s="2"/>
      <c r="I102" s="871"/>
      <c r="J102" s="66"/>
      <c r="L102" s="2"/>
      <c r="M102" s="871"/>
      <c r="Q102" s="871"/>
      <c r="T102" s="2"/>
      <c r="U102" s="36"/>
      <c r="X102" s="2"/>
      <c r="Y102" s="36"/>
      <c r="AB102" s="2"/>
      <c r="AC102" s="36"/>
    </row>
    <row r="103" spans="1:29" x14ac:dyDescent="0.25">
      <c r="A103" s="959"/>
      <c r="E103" s="863"/>
      <c r="F103" s="2"/>
      <c r="H103" s="2"/>
      <c r="I103" s="871"/>
      <c r="J103" s="66"/>
      <c r="L103" s="2"/>
      <c r="M103" s="871"/>
      <c r="Q103" s="871"/>
      <c r="T103" s="2"/>
      <c r="U103" s="36"/>
      <c r="X103" s="2"/>
      <c r="Y103" s="36"/>
      <c r="AB103" s="2"/>
      <c r="AC103" s="36"/>
    </row>
    <row r="104" spans="1:29" x14ac:dyDescent="0.25">
      <c r="A104" s="960"/>
      <c r="B104" s="936" t="s">
        <v>0</v>
      </c>
      <c r="D104" s="8">
        <f>SUM(D94,D76,D65,D16,D101)</f>
        <v>15484154.140000001</v>
      </c>
      <c r="E104" s="863"/>
      <c r="F104" s="2"/>
      <c r="G104" s="83">
        <f>IF(D104=0,"0.00%",(H104-D104)/D104)</f>
        <v>9.5023198987607041E-2</v>
      </c>
      <c r="H104" s="8">
        <f>SUM(H94,H76,H65,H16,H101)</f>
        <v>16955508</v>
      </c>
      <c r="I104" s="1292">
        <f>+H104-D104</f>
        <v>1471353.8599999994</v>
      </c>
      <c r="J104" s="29"/>
      <c r="K104" s="83">
        <f>IF(H104=0,"0.00%",(L104-H104)/H104)</f>
        <v>2.0458071795902547E-2</v>
      </c>
      <c r="L104" s="8">
        <f>SUM(L94,L76,L65,L16,L101)</f>
        <v>17302385</v>
      </c>
      <c r="M104" s="1292">
        <f>+L104-H104</f>
        <v>346877</v>
      </c>
      <c r="O104" s="83">
        <f>IF(L104=0,"0.00%",(P104-L104)/L104)</f>
        <v>3.0041523177296078E-2</v>
      </c>
      <c r="P104" s="8">
        <f>SUM(P94,P76,P65,P16,P101)</f>
        <v>17822175</v>
      </c>
      <c r="Q104" s="1292">
        <f>+P104-L104</f>
        <v>519790</v>
      </c>
      <c r="S104" s="83">
        <f>IF(P104=0,"0.00%",(T104-P104)/P104)</f>
        <v>-0.10857973283283326</v>
      </c>
      <c r="T104" s="8">
        <f>SUM(T94,T76,T65,T16,T101)</f>
        <v>15887048</v>
      </c>
      <c r="U104" s="5"/>
      <c r="W104" s="83">
        <f>IF(T104=0,"0.00%",(X104-T104)/T104)</f>
        <v>2.6767905529082557E-2</v>
      </c>
      <c r="X104" s="8">
        <f>SUM(X94,X76,X65,X16,X101)</f>
        <v>16312311</v>
      </c>
      <c r="Y104" s="5"/>
      <c r="AA104" s="83">
        <f>IF(X104=0,"0.00%",(AB104-X104)/X104)</f>
        <v>2.5647868042731652E-2</v>
      </c>
      <c r="AB104" s="8">
        <f>SUM(AB94,AB76,AB65,AB16,AB101)</f>
        <v>16730687</v>
      </c>
      <c r="AC104" s="5"/>
    </row>
    <row r="105" spans="1:29" x14ac:dyDescent="0.25">
      <c r="A105" s="959"/>
      <c r="E105" s="863"/>
      <c r="F105" s="2"/>
      <c r="H105" s="2"/>
      <c r="I105" s="871"/>
      <c r="J105" s="66"/>
      <c r="L105" s="2"/>
      <c r="M105" s="948"/>
      <c r="Q105" s="948"/>
      <c r="T105" s="2"/>
      <c r="U105" s="73"/>
      <c r="X105" s="2"/>
      <c r="Y105" s="73"/>
      <c r="AB105" s="2"/>
      <c r="AC105" s="73"/>
    </row>
    <row r="106" spans="1:29" x14ac:dyDescent="0.25">
      <c r="A106" s="959"/>
      <c r="B106" s="936" t="s">
        <v>138</v>
      </c>
      <c r="D106" s="3">
        <f>D14-D104</f>
        <v>0</v>
      </c>
      <c r="G106" s="83" t="str">
        <f>IF(D106=0,"0.00%",(H106-D106)/D106)</f>
        <v>0.00%</v>
      </c>
      <c r="H106" s="3">
        <f>H14-H104</f>
        <v>0</v>
      </c>
      <c r="I106" s="871"/>
      <c r="J106" s="66"/>
      <c r="K106" s="83" t="str">
        <f>IF(H106=0,"0.00%",(L106-H106)/H106)</f>
        <v>0.00%</v>
      </c>
      <c r="L106" s="3">
        <f>L14-L104</f>
        <v>0</v>
      </c>
      <c r="M106" s="948"/>
      <c r="O106" s="83" t="str">
        <f>IF(L106=0,"0.00%",(P106-L106)/L106)</f>
        <v>0.00%</v>
      </c>
      <c r="P106" s="3">
        <f>P14-P104</f>
        <v>0</v>
      </c>
      <c r="Q106" s="948"/>
      <c r="S106" s="83" t="str">
        <f>IF(P106=0,"0.00%",(T106-P106)/P106)</f>
        <v>0.00%</v>
      </c>
      <c r="T106" s="3">
        <f>T14-T104</f>
        <v>2421247.1400000006</v>
      </c>
      <c r="U106" s="73"/>
      <c r="W106" s="83">
        <f>IF(T106=0,"0.00%",(X106-T106)/T106)</f>
        <v>-5.747508343985074</v>
      </c>
      <c r="X106" s="3">
        <f>X14-X104</f>
        <v>-11494891</v>
      </c>
      <c r="Y106" s="73"/>
      <c r="AA106" s="83">
        <f>IF(X106=0,"0.00%",(AB106-X106)/X106)</f>
        <v>2.8115795095403687E-2</v>
      </c>
      <c r="AB106" s="3">
        <f>AB14-AB104</f>
        <v>-11818079</v>
      </c>
      <c r="AC106" s="73"/>
    </row>
    <row r="107" spans="1:29" x14ac:dyDescent="0.25">
      <c r="B107" s="936"/>
      <c r="C107" s="930"/>
      <c r="D107" s="3"/>
      <c r="H107" s="3"/>
      <c r="I107" s="871"/>
      <c r="J107" s="66"/>
      <c r="L107" s="3"/>
      <c r="M107" s="948"/>
      <c r="P107" s="3"/>
      <c r="Q107" s="948"/>
      <c r="T107" s="44"/>
      <c r="U107" s="73"/>
      <c r="X107" s="44"/>
      <c r="Y107" s="73"/>
      <c r="AB107" s="44"/>
      <c r="AC107" s="73"/>
    </row>
    <row r="108" spans="1:29" x14ac:dyDescent="0.25">
      <c r="B108" s="936" t="s">
        <v>136</v>
      </c>
      <c r="C108" s="932"/>
      <c r="D108" s="3">
        <f>D7+D106</f>
        <v>0</v>
      </c>
      <c r="G108" s="83" t="str">
        <f>IF(D108=0,"0.00%",(H108-D108)/D108)</f>
        <v>0.00%</v>
      </c>
      <c r="H108" s="3">
        <f>H7+H106</f>
        <v>0</v>
      </c>
      <c r="I108" s="871"/>
      <c r="J108" s="66"/>
      <c r="K108" s="83" t="str">
        <f>IF(H108=0,"0.00%",(L108-H108)/H108)</f>
        <v>0.00%</v>
      </c>
      <c r="L108" s="3">
        <f>L7+L106</f>
        <v>0</v>
      </c>
      <c r="M108" s="948"/>
      <c r="O108" s="83" t="str">
        <f>IF(L108=0,"0.00%",(P108-L108)/L108)</f>
        <v>0.00%</v>
      </c>
      <c r="P108" s="3">
        <f>P7+P106</f>
        <v>0</v>
      </c>
      <c r="Q108" s="948"/>
      <c r="S108" s="83" t="str">
        <f>IF(P108=0,"0.00%",(T108-P108)/P108)</f>
        <v>0.00%</v>
      </c>
      <c r="T108" s="49">
        <f>T7+T106</f>
        <v>2421247.1400000006</v>
      </c>
      <c r="U108" s="73"/>
      <c r="W108" s="83">
        <f>IF(T108=0,"0.00%",(X108-T108)/T108)</f>
        <v>-4.747508343985074</v>
      </c>
      <c r="X108" s="49">
        <f>X7+X106</f>
        <v>-9073643.8599999994</v>
      </c>
      <c r="Y108" s="73"/>
      <c r="AA108" s="83">
        <f>IF(X108=0,"0.00%",(AB108-X108)/X108)</f>
        <v>1.3024622943488551</v>
      </c>
      <c r="AB108" s="49">
        <f>AB7+AB106</f>
        <v>-20891722.859999999</v>
      </c>
      <c r="AC108" s="73"/>
    </row>
    <row r="109" spans="1:29" x14ac:dyDescent="0.25">
      <c r="C109" s="873"/>
      <c r="G109" s="374"/>
      <c r="H109" s="5"/>
      <c r="I109" s="872"/>
      <c r="J109" s="29"/>
      <c r="L109" s="5"/>
      <c r="M109" s="948"/>
      <c r="P109" s="5"/>
      <c r="Q109" s="948"/>
      <c r="T109" s="5"/>
      <c r="U109" s="73"/>
      <c r="X109" s="5"/>
      <c r="Y109" s="73"/>
      <c r="AB109" s="5"/>
      <c r="AC109" s="73"/>
    </row>
    <row r="110" spans="1:29" x14ac:dyDescent="0.25">
      <c r="C110" s="868"/>
      <c r="G110" s="374"/>
      <c r="H110" s="36"/>
      <c r="I110" s="871"/>
      <c r="J110" s="66"/>
      <c r="L110" s="2"/>
      <c r="M110" s="948"/>
      <c r="Q110" s="948"/>
      <c r="T110" s="2"/>
      <c r="U110" s="73"/>
      <c r="X110" s="2"/>
      <c r="Y110" s="73"/>
      <c r="AB110" s="2"/>
      <c r="AC110" s="73"/>
    </row>
    <row r="111" spans="1:29" x14ac:dyDescent="0.25">
      <c r="C111" s="868"/>
      <c r="G111" s="374"/>
      <c r="H111" s="36"/>
      <c r="I111" s="871"/>
      <c r="J111" s="66"/>
      <c r="L111" s="2"/>
      <c r="M111" s="948"/>
      <c r="Q111" s="948"/>
      <c r="T111" s="2"/>
      <c r="U111" s="73"/>
      <c r="X111" s="2"/>
      <c r="Y111" s="73"/>
      <c r="AB111" s="2"/>
      <c r="AC111" s="73"/>
    </row>
    <row r="112" spans="1:29" x14ac:dyDescent="0.25">
      <c r="C112" s="868"/>
      <c r="G112" s="374"/>
      <c r="H112" s="36"/>
      <c r="I112" s="871"/>
      <c r="J112" s="66"/>
      <c r="L112" s="2"/>
      <c r="M112" s="948"/>
      <c r="Q112" s="948"/>
      <c r="T112" s="2"/>
      <c r="U112" s="73"/>
      <c r="X112" s="2"/>
      <c r="Y112" s="73"/>
      <c r="AB112" s="2"/>
      <c r="AC112" s="73"/>
    </row>
    <row r="113" spans="1:29" x14ac:dyDescent="0.25">
      <c r="C113" s="868"/>
      <c r="G113" s="374"/>
      <c r="H113" s="36"/>
      <c r="I113" s="871"/>
      <c r="J113" s="66"/>
      <c r="L113" s="2"/>
      <c r="M113" s="948"/>
      <c r="Q113" s="948"/>
      <c r="T113" s="2"/>
      <c r="U113" s="73"/>
      <c r="X113" s="2"/>
      <c r="Y113" s="73"/>
      <c r="AB113" s="2"/>
      <c r="AC113" s="73"/>
    </row>
    <row r="114" spans="1:29" s="137" customFormat="1" ht="11.25" x14ac:dyDescent="0.2">
      <c r="A114" s="1042"/>
      <c r="B114" s="942"/>
      <c r="C114" s="943" t="s">
        <v>269</v>
      </c>
      <c r="D114" s="134">
        <f>+D94+D76+D63+D51+D40+D101</f>
        <v>15068653.699999999</v>
      </c>
      <c r="E114" s="865"/>
      <c r="G114" s="133" t="s">
        <v>269</v>
      </c>
      <c r="H114" s="134">
        <f>+H94+H76+H63+H51+H40+H101</f>
        <v>16407357</v>
      </c>
      <c r="I114" s="874"/>
      <c r="J114" s="135"/>
      <c r="K114" s="133" t="s">
        <v>269</v>
      </c>
      <c r="L114" s="134">
        <f>+L94+L76+L63+L51+L40+L101</f>
        <v>16735867</v>
      </c>
      <c r="M114" s="951"/>
      <c r="O114" s="133" t="s">
        <v>269</v>
      </c>
      <c r="P114" s="134">
        <f>+P94+P76+P63+P51+P40+P101</f>
        <v>17233560</v>
      </c>
      <c r="Q114" s="951"/>
      <c r="R114" s="139"/>
      <c r="S114" s="157" t="s">
        <v>269</v>
      </c>
      <c r="T114" s="134">
        <f>+T94+T76+T63+T51+T40+T101</f>
        <v>15430073</v>
      </c>
      <c r="U114" s="138"/>
      <c r="W114" s="157" t="s">
        <v>269</v>
      </c>
      <c r="X114" s="134">
        <f>+X94+X76+X63+X51+X40+X101</f>
        <v>15842639</v>
      </c>
      <c r="Y114" s="138"/>
      <c r="AA114" s="157" t="s">
        <v>269</v>
      </c>
      <c r="AB114" s="134">
        <f>+AB94+AB76+AB63+AB51+AB40+AB101</f>
        <v>16248632</v>
      </c>
      <c r="AC114" s="138"/>
    </row>
    <row r="115" spans="1:29" s="137" customFormat="1" ht="11.25" x14ac:dyDescent="0.2">
      <c r="A115" s="1043"/>
      <c r="B115" s="942"/>
      <c r="C115" s="944" t="s">
        <v>224</v>
      </c>
      <c r="D115" s="142">
        <f>+D16</f>
        <v>415500.44</v>
      </c>
      <c r="E115" s="866"/>
      <c r="F115" s="144"/>
      <c r="G115" s="375" t="s">
        <v>224</v>
      </c>
      <c r="H115" s="142">
        <f>+H16</f>
        <v>548151</v>
      </c>
      <c r="I115" s="875"/>
      <c r="J115" s="143"/>
      <c r="K115" s="375" t="s">
        <v>224</v>
      </c>
      <c r="L115" s="142">
        <f>+L16</f>
        <v>566518</v>
      </c>
      <c r="M115" s="951"/>
      <c r="O115" s="375" t="s">
        <v>224</v>
      </c>
      <c r="P115" s="142">
        <f>+P16</f>
        <v>588615</v>
      </c>
      <c r="Q115" s="865"/>
      <c r="R115" s="139"/>
      <c r="S115" s="141" t="s">
        <v>224</v>
      </c>
      <c r="T115" s="142">
        <f>+T16</f>
        <v>456975</v>
      </c>
      <c r="W115" s="141" t="s">
        <v>224</v>
      </c>
      <c r="X115" s="142">
        <f>+X16</f>
        <v>469672</v>
      </c>
      <c r="AA115" s="141" t="s">
        <v>224</v>
      </c>
      <c r="AB115" s="142">
        <f>+AB16</f>
        <v>482055</v>
      </c>
    </row>
    <row r="116" spans="1:29" s="137" customFormat="1" ht="11.25" x14ac:dyDescent="0.2">
      <c r="A116" s="1043"/>
      <c r="B116" s="942"/>
      <c r="C116" s="944"/>
      <c r="D116" s="145">
        <f>+D114+D115</f>
        <v>15484154.139999999</v>
      </c>
      <c r="E116" s="866"/>
      <c r="F116" s="144"/>
      <c r="G116" s="375"/>
      <c r="H116" s="145">
        <f>+H114+H115</f>
        <v>16955508</v>
      </c>
      <c r="I116" s="875"/>
      <c r="J116" s="143"/>
      <c r="K116" s="375"/>
      <c r="L116" s="145">
        <f>+L114+L115</f>
        <v>17302385</v>
      </c>
      <c r="M116" s="865"/>
      <c r="O116" s="375"/>
      <c r="P116" s="145">
        <f>+P114+P115</f>
        <v>17822175</v>
      </c>
      <c r="Q116" s="865"/>
      <c r="R116" s="139"/>
      <c r="S116" s="141"/>
      <c r="T116" s="145">
        <f>+T114+T115</f>
        <v>15887048</v>
      </c>
      <c r="W116" s="141"/>
      <c r="X116" s="145">
        <f>+X114+X115</f>
        <v>16312311</v>
      </c>
      <c r="AA116" s="141"/>
      <c r="AB116" s="145">
        <f>+AB114+AB115</f>
        <v>16730687</v>
      </c>
    </row>
    <row r="117" spans="1:29" ht="15" customHeight="1" x14ac:dyDescent="0.25">
      <c r="A117" s="959"/>
      <c r="B117" s="945"/>
      <c r="C117" s="945"/>
      <c r="D117" s="5">
        <f>+D104-D116</f>
        <v>0</v>
      </c>
      <c r="E117" s="863"/>
      <c r="F117" s="2"/>
      <c r="G117" s="376"/>
      <c r="H117" s="5">
        <f>+H104-H116</f>
        <v>0</v>
      </c>
      <c r="K117" s="376"/>
      <c r="L117" s="5">
        <f>+L104-L116</f>
        <v>0</v>
      </c>
      <c r="O117" s="376"/>
      <c r="P117" s="5">
        <f>+P104-P116</f>
        <v>0</v>
      </c>
      <c r="S117" s="103"/>
      <c r="T117" s="5">
        <f>+T104-T116</f>
        <v>0</v>
      </c>
      <c r="W117" s="103"/>
      <c r="X117" s="5">
        <f>+X104-X116</f>
        <v>0</v>
      </c>
      <c r="AA117" s="103"/>
      <c r="AB117" s="5">
        <f>+AB104-AB116</f>
        <v>0</v>
      </c>
    </row>
    <row r="118" spans="1:29" x14ac:dyDescent="0.25">
      <c r="A118" s="959"/>
      <c r="B118" s="945"/>
      <c r="C118" s="945"/>
      <c r="D118" s="36"/>
      <c r="E118" s="863"/>
      <c r="F118" s="2"/>
    </row>
    <row r="119" spans="1:29" x14ac:dyDescent="0.25">
      <c r="A119" s="959"/>
      <c r="B119" s="932"/>
      <c r="C119" s="868"/>
      <c r="D119" s="25"/>
      <c r="E119" s="863"/>
      <c r="F119" s="2"/>
    </row>
    <row r="120" spans="1:29" x14ac:dyDescent="0.25">
      <c r="B120" s="932"/>
      <c r="C120" s="868"/>
      <c r="D120" s="36"/>
    </row>
    <row r="121" spans="1:29" x14ac:dyDescent="0.25">
      <c r="B121" s="932"/>
      <c r="C121" s="868"/>
      <c r="D121" s="36"/>
    </row>
    <row r="122" spans="1:29" ht="15" customHeight="1" x14ac:dyDescent="0.25">
      <c r="B122" s="932"/>
      <c r="C122" s="868"/>
      <c r="D122" s="36"/>
    </row>
    <row r="123" spans="1:29" x14ac:dyDescent="0.25">
      <c r="B123" s="932"/>
      <c r="C123" s="868"/>
      <c r="D123" s="36"/>
    </row>
    <row r="124" spans="1:29" x14ac:dyDescent="0.25">
      <c r="B124" s="932"/>
      <c r="C124" s="868"/>
      <c r="D124" s="36"/>
    </row>
    <row r="125" spans="1:29" ht="15" customHeight="1" x14ac:dyDescent="0.25">
      <c r="B125" s="2209"/>
      <c r="C125" s="2209"/>
      <c r="D125" s="36"/>
    </row>
    <row r="126" spans="1:29" x14ac:dyDescent="0.25">
      <c r="B126" s="2209"/>
      <c r="C126" s="2209"/>
      <c r="D126" s="36"/>
    </row>
    <row r="127" spans="1:29" x14ac:dyDescent="0.25">
      <c r="B127" s="932"/>
      <c r="C127" s="868"/>
      <c r="D127" s="6"/>
    </row>
    <row r="128" spans="1:29" x14ac:dyDescent="0.25">
      <c r="B128" s="932"/>
      <c r="C128" s="868"/>
      <c r="D128" s="36"/>
    </row>
    <row r="129" spans="2:4" x14ac:dyDescent="0.25">
      <c r="B129" s="932"/>
      <c r="C129" s="868"/>
      <c r="D129" s="36"/>
    </row>
    <row r="130" spans="2:4" ht="28.5" customHeight="1" x14ac:dyDescent="0.25">
      <c r="B130" s="932"/>
      <c r="C130" s="868"/>
      <c r="D130" s="25"/>
    </row>
    <row r="131" spans="2:4" x14ac:dyDescent="0.25">
      <c r="B131" s="932"/>
      <c r="C131" s="868"/>
      <c r="D131" s="36"/>
    </row>
    <row r="132" spans="2:4" x14ac:dyDescent="0.25">
      <c r="B132" s="932"/>
      <c r="C132" s="868"/>
      <c r="D132" s="36"/>
    </row>
    <row r="133" spans="2:4" x14ac:dyDescent="0.25">
      <c r="B133" s="932"/>
      <c r="C133" s="868"/>
      <c r="D133" s="36"/>
    </row>
    <row r="134" spans="2:4" x14ac:dyDescent="0.25">
      <c r="B134" s="932"/>
      <c r="C134" s="868"/>
      <c r="D134" s="36"/>
    </row>
    <row r="135" spans="2:4" x14ac:dyDescent="0.25">
      <c r="B135" s="932"/>
      <c r="C135" s="868"/>
      <c r="D135" s="36"/>
    </row>
    <row r="136" spans="2:4" x14ac:dyDescent="0.25">
      <c r="B136" s="932"/>
      <c r="C136" s="868"/>
      <c r="D136" s="36"/>
    </row>
    <row r="137" spans="2:4" x14ac:dyDescent="0.25">
      <c r="B137" s="932"/>
      <c r="C137" s="868"/>
      <c r="D137" s="36"/>
    </row>
    <row r="138" spans="2:4" x14ac:dyDescent="0.25">
      <c r="B138" s="932"/>
      <c r="C138" s="868"/>
      <c r="D138" s="36"/>
    </row>
    <row r="139" spans="2:4" x14ac:dyDescent="0.25">
      <c r="B139" s="932"/>
      <c r="C139" s="868"/>
      <c r="D139" s="36"/>
    </row>
    <row r="140" spans="2:4" x14ac:dyDescent="0.25">
      <c r="B140" s="932"/>
      <c r="C140" s="868"/>
      <c r="D140" s="36"/>
    </row>
    <row r="141" spans="2:4" x14ac:dyDescent="0.25">
      <c r="B141" s="932"/>
      <c r="C141" s="868"/>
      <c r="D141" s="36"/>
    </row>
    <row r="142" spans="2:4" x14ac:dyDescent="0.25">
      <c r="B142" s="932"/>
      <c r="C142" s="868"/>
      <c r="D142" s="36"/>
    </row>
    <row r="143" spans="2:4" x14ac:dyDescent="0.25">
      <c r="B143" s="932"/>
      <c r="C143" s="868"/>
      <c r="D143" s="36"/>
    </row>
    <row r="144" spans="2:4" x14ac:dyDescent="0.25">
      <c r="B144" s="932"/>
      <c r="C144" s="868"/>
      <c r="D144" s="36"/>
    </row>
    <row r="145" spans="2:4" x14ac:dyDescent="0.25">
      <c r="B145" s="932"/>
      <c r="C145" s="868"/>
      <c r="D145" s="36"/>
    </row>
  </sheetData>
  <sheetProtection password="B79F" sheet="1" objects="1" scenarios="1"/>
  <mergeCells count="1">
    <mergeCell ref="B125:C126"/>
  </mergeCells>
  <pageMargins left="0.25" right="0.25" top="0.5" bottom="0.5" header="0.25" footer="0.25"/>
  <pageSetup paperSize="5" scale="53" orientation="portrait" r:id="rId1"/>
  <headerFooter>
    <oddHeader>&amp;L&amp;F</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26"/>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1.7109375" style="146" customWidth="1"/>
    <col min="2" max="2" width="8.5703125" style="930" customWidth="1"/>
    <col min="3" max="3" width="18.28515625" style="857" customWidth="1"/>
    <col min="4" max="4" width="16" style="2" customWidth="1"/>
    <col min="5" max="5" width="17.7109375" style="857" hidden="1" customWidth="1"/>
    <col min="6" max="6" width="6.7109375" style="39" customWidth="1"/>
    <col min="7" max="7" width="9.42578125" style="52" bestFit="1" customWidth="1"/>
    <col min="8" max="8" width="13.85546875" style="122" bestFit="1" customWidth="1"/>
    <col min="9" max="9" width="26" style="868" hidden="1" customWidth="1"/>
    <col min="10" max="10" width="5.7109375" style="59" customWidth="1"/>
    <col min="11" max="11" width="8.7109375" style="377" bestFit="1" customWidth="1"/>
    <col min="12" max="12" width="14" style="123" bestFit="1" customWidth="1"/>
    <col min="13" max="13" width="26" style="857" hidden="1" customWidth="1"/>
    <col min="14" max="14" width="5.7109375" style="39" customWidth="1"/>
    <col min="15" max="15" width="9.42578125" style="377" bestFit="1" customWidth="1"/>
    <col min="16" max="16" width="14" style="2" bestFit="1" customWidth="1"/>
    <col min="17" max="17" width="24.85546875" style="857"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930" t="s">
        <v>61</v>
      </c>
      <c r="C1" s="931" t="s">
        <v>273</v>
      </c>
      <c r="D1" s="1044"/>
      <c r="E1" s="855"/>
      <c r="F1" s="98"/>
      <c r="G1" s="369"/>
      <c r="H1" s="1045"/>
      <c r="I1" s="855"/>
      <c r="K1" s="382"/>
      <c r="L1" s="122"/>
      <c r="M1" s="855"/>
      <c r="N1" s="51"/>
      <c r="O1" s="382"/>
      <c r="P1" s="122"/>
      <c r="Q1" s="855"/>
      <c r="R1" s="51"/>
      <c r="T1" s="86">
        <v>0</v>
      </c>
      <c r="U1" s="98"/>
      <c r="X1" s="86">
        <v>0</v>
      </c>
      <c r="Y1" s="98"/>
      <c r="AB1" s="86">
        <v>0</v>
      </c>
      <c r="AC1" s="98"/>
    </row>
    <row r="2" spans="1:29" ht="17.25" x14ac:dyDescent="0.4">
      <c r="B2" s="932" t="s">
        <v>59</v>
      </c>
      <c r="C2" s="933">
        <v>6512</v>
      </c>
      <c r="D2" s="1045"/>
      <c r="E2" s="855"/>
      <c r="F2" s="98"/>
      <c r="G2" s="1863"/>
      <c r="H2" s="1045"/>
      <c r="I2" s="855"/>
      <c r="K2" s="382"/>
      <c r="L2" s="87"/>
      <c r="M2" s="855"/>
      <c r="N2" s="51"/>
      <c r="O2" s="382"/>
      <c r="P2" s="87"/>
      <c r="Q2" s="855"/>
      <c r="R2" s="51"/>
      <c r="T2" s="87">
        <v>0</v>
      </c>
      <c r="U2" s="98"/>
      <c r="X2" s="87">
        <v>0</v>
      </c>
      <c r="Y2" s="98"/>
      <c r="AB2" s="87">
        <v>0</v>
      </c>
      <c r="AC2" s="98"/>
    </row>
    <row r="3" spans="1:29" x14ac:dyDescent="0.25">
      <c r="D3" s="1046"/>
      <c r="E3" s="867"/>
      <c r="F3" s="1047"/>
      <c r="G3" s="1864"/>
      <c r="H3" s="1046"/>
      <c r="I3" s="867"/>
      <c r="K3" s="382"/>
      <c r="L3" s="122"/>
      <c r="M3" s="868"/>
      <c r="N3" s="51"/>
      <c r="O3" s="382"/>
      <c r="P3" s="122"/>
      <c r="Q3" s="868"/>
      <c r="R3" s="51"/>
      <c r="T3" s="86">
        <f>SUM(T1:T2)</f>
        <v>0</v>
      </c>
      <c r="U3" s="51"/>
      <c r="X3" s="86">
        <f>SUM(X1:X2)</f>
        <v>0</v>
      </c>
      <c r="Y3" s="51"/>
      <c r="AB3" s="86">
        <f>SUM(AB1:AB2)</f>
        <v>0</v>
      </c>
      <c r="AC3" s="51"/>
    </row>
    <row r="4" spans="1:29" x14ac:dyDescent="0.25">
      <c r="L4" s="122"/>
      <c r="M4" s="868"/>
      <c r="P4" s="122"/>
      <c r="Q4" s="868"/>
      <c r="T4" s="86"/>
      <c r="U4" s="51"/>
      <c r="X4" s="86"/>
      <c r="Y4" s="51"/>
      <c r="AB4" s="86"/>
      <c r="AC4" s="51"/>
    </row>
    <row r="5" spans="1:29" ht="15.75" x14ac:dyDescent="0.25">
      <c r="B5" s="934" t="s">
        <v>56</v>
      </c>
      <c r="P5" s="123"/>
      <c r="T5" s="73"/>
      <c r="X5" s="73"/>
      <c r="AB5" s="73"/>
    </row>
    <row r="6" spans="1:29" s="89" customFormat="1" ht="15.75" x14ac:dyDescent="0.25">
      <c r="A6" s="147"/>
      <c r="B6" s="935"/>
      <c r="C6" s="935"/>
      <c r="D6" s="284" t="s">
        <v>55</v>
      </c>
      <c r="E6" s="858"/>
      <c r="G6" s="371"/>
      <c r="H6" s="324" t="str">
        <f>LEFT(D6,4)+1&amp;"-"&amp;RIGHT(D6,4)+1</f>
        <v>2017-2018</v>
      </c>
      <c r="I6" s="869"/>
      <c r="J6" s="93"/>
      <c r="K6" s="378"/>
      <c r="L6" s="124" t="str">
        <f>LEFT(H6,4)+1&amp;"-"&amp;RIGHT(H6,4)+1</f>
        <v>2018-2019</v>
      </c>
      <c r="M6" s="946"/>
      <c r="N6" s="96"/>
      <c r="O6" s="381"/>
      <c r="P6" s="124" t="str">
        <f>LEFT(L6,4)+1&amp;"-"&amp;RIGHT(L6,4)+1</f>
        <v>2019-2020</v>
      </c>
      <c r="Q6" s="94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936" t="s">
        <v>54</v>
      </c>
      <c r="D7" s="2">
        <v>0</v>
      </c>
      <c r="E7" s="928"/>
      <c r="H7" s="2">
        <f>D89</f>
        <v>0</v>
      </c>
      <c r="I7" s="928"/>
      <c r="J7" s="60"/>
      <c r="L7" s="2">
        <f>H89</f>
        <v>0</v>
      </c>
      <c r="M7" s="928"/>
      <c r="P7" s="2">
        <f>L89</f>
        <v>0</v>
      </c>
      <c r="Q7" s="928"/>
      <c r="T7" s="2">
        <f>P89</f>
        <v>0</v>
      </c>
      <c r="U7" s="105"/>
      <c r="X7" s="2">
        <f>T89</f>
        <v>-1765</v>
      </c>
      <c r="Y7" s="105"/>
      <c r="AB7" s="2">
        <f>X89</f>
        <v>-21980</v>
      </c>
      <c r="AC7" s="105"/>
    </row>
    <row r="8" spans="1:29" x14ac:dyDescent="0.25">
      <c r="E8" s="928"/>
      <c r="H8" s="2"/>
      <c r="I8" s="928"/>
      <c r="L8" s="2"/>
      <c r="M8" s="928"/>
      <c r="Q8" s="928"/>
      <c r="U8" s="105"/>
      <c r="Y8" s="105"/>
      <c r="AC8" s="105"/>
    </row>
    <row r="9" spans="1:29" x14ac:dyDescent="0.25">
      <c r="B9" s="930" t="s">
        <v>52</v>
      </c>
      <c r="C9" s="857" t="s">
        <v>53</v>
      </c>
      <c r="D9" s="2">
        <v>18000</v>
      </c>
      <c r="E9" s="928" t="s">
        <v>467</v>
      </c>
      <c r="G9" s="83">
        <f>IF(D9=0,"0.00%",(H9-D9)/D9)</f>
        <v>0</v>
      </c>
      <c r="H9" s="2">
        <v>18000</v>
      </c>
      <c r="I9" s="871" t="s">
        <v>174</v>
      </c>
      <c r="J9" s="61"/>
      <c r="K9" s="83">
        <f>IF(H9=0,"0.00%",(L9-H9)/H9)</f>
        <v>0</v>
      </c>
      <c r="L9" s="2">
        <f>+H9</f>
        <v>18000</v>
      </c>
      <c r="M9" s="871" t="s">
        <v>174</v>
      </c>
      <c r="O9" s="83">
        <f t="shared" ref="O9" si="0">IF(L9=0,"0.00%",(P9-L9)/L9)</f>
        <v>0</v>
      </c>
      <c r="P9" s="2">
        <f>+L9</f>
        <v>18000</v>
      </c>
      <c r="Q9" s="871" t="s">
        <v>174</v>
      </c>
      <c r="S9" s="83"/>
      <c r="T9" s="2">
        <f>ROUND(P9*(+LEFT(U9,5)+1),0)</f>
        <v>18463</v>
      </c>
      <c r="U9" s="36" t="str">
        <f>TEXT('MYP Assumptions'!H47,"0.00%")&amp;" = COLA"</f>
        <v>2.57% = COLA</v>
      </c>
      <c r="W9" s="83">
        <f>IF(T9=0,"0.00%",(X9-T9)/T9)</f>
        <v>-1</v>
      </c>
      <c r="X9" s="3">
        <f>X3</f>
        <v>0</v>
      </c>
      <c r="Y9" s="105"/>
      <c r="AA9" s="83" t="str">
        <f>IF(X9=0,"0.00%",(AB9-X9)/X9)</f>
        <v>0.00%</v>
      </c>
      <c r="AB9" s="3">
        <f>AB3</f>
        <v>0</v>
      </c>
      <c r="AC9" s="105"/>
    </row>
    <row r="10" spans="1:29" x14ac:dyDescent="0.25">
      <c r="C10" s="857" t="s">
        <v>51</v>
      </c>
      <c r="D10" s="2">
        <v>0</v>
      </c>
      <c r="E10" s="928"/>
      <c r="G10" s="83" t="str">
        <f t="shared" ref="G10:G15" si="1">IF(D10=0,"0.00%",(H10-D10)/D10)</f>
        <v>0.00%</v>
      </c>
      <c r="H10" s="2">
        <v>0</v>
      </c>
      <c r="I10" s="871"/>
      <c r="J10" s="61"/>
      <c r="K10" s="83" t="str">
        <f t="shared" ref="K10" si="2">IF(H10=0,"0.00%",(L10-H10)/H10)</f>
        <v>0.00%</v>
      </c>
      <c r="L10" s="2">
        <v>0</v>
      </c>
      <c r="M10" s="871"/>
      <c r="O10" s="83" t="str">
        <f t="shared" ref="O10" si="3">IF(L10=0,"0.00%",(P10-L10)/L10)</f>
        <v>0.00%</v>
      </c>
      <c r="P10" s="2">
        <v>0</v>
      </c>
      <c r="Q10" s="871"/>
      <c r="S10" s="83"/>
      <c r="T10" s="2">
        <v>0</v>
      </c>
      <c r="U10" s="36"/>
      <c r="W10" s="83" t="str">
        <f>IF(T10=0,"0.00%",(X10-T10)/T10)</f>
        <v>0.00%</v>
      </c>
      <c r="X10" s="3">
        <f>-T2</f>
        <v>0</v>
      </c>
      <c r="Y10" s="105"/>
      <c r="AA10" s="83" t="str">
        <f>IF(X10=0,"0.00%",(AB10-X10)/X10)</f>
        <v>0.00%</v>
      </c>
      <c r="AB10" s="3">
        <f>-X2</f>
        <v>0</v>
      </c>
      <c r="AC10" s="105"/>
    </row>
    <row r="11" spans="1:29" x14ac:dyDescent="0.25">
      <c r="B11" s="936" t="s">
        <v>137</v>
      </c>
      <c r="D11" s="8">
        <f>SUM(D9:D10)</f>
        <v>18000</v>
      </c>
      <c r="E11" s="928"/>
      <c r="G11" s="83">
        <f t="shared" si="1"/>
        <v>0</v>
      </c>
      <c r="H11" s="8">
        <f>SUM(H9:H10)</f>
        <v>18000</v>
      </c>
      <c r="I11" s="1292">
        <f>+H11-D11</f>
        <v>0</v>
      </c>
      <c r="J11" s="62"/>
      <c r="K11" s="83">
        <f>IF(H11=0,"0.00%",(L11-H11)/H11)</f>
        <v>0</v>
      </c>
      <c r="L11" s="8">
        <f>SUM(L9:L10)</f>
        <v>18000</v>
      </c>
      <c r="M11" s="1292">
        <f>+L11-H11</f>
        <v>0</v>
      </c>
      <c r="O11" s="83">
        <f>IF(L11=0,"0.00%",(P11-L11)/L11)</f>
        <v>0</v>
      </c>
      <c r="P11" s="8">
        <f>SUM(P9:P10)</f>
        <v>18000</v>
      </c>
      <c r="Q11" s="1292">
        <f>+P11-L11</f>
        <v>0</v>
      </c>
      <c r="S11" s="83">
        <f>IF(P11=0,"0.00%",(T11-P11)/P11)</f>
        <v>2.5722222222222223E-2</v>
      </c>
      <c r="T11" s="78">
        <f>SUM(T9:T10)</f>
        <v>18463</v>
      </c>
      <c r="U11" s="105"/>
      <c r="W11" s="83">
        <f>IF(T11=0,"0.00%",(X11-T11)/T11)</f>
        <v>-1</v>
      </c>
      <c r="X11" s="78">
        <f>SUM(X9:X10)</f>
        <v>0</v>
      </c>
      <c r="Y11" s="105"/>
      <c r="AA11" s="83" t="str">
        <f>IF(X11=0,"0.00%",(AB11-X11)/X11)</f>
        <v>0.00%</v>
      </c>
      <c r="AB11" s="78">
        <f>SUM(AB9:AB10)</f>
        <v>0</v>
      </c>
      <c r="AC11" s="105"/>
    </row>
    <row r="12" spans="1:29" x14ac:dyDescent="0.25">
      <c r="E12" s="928"/>
      <c r="H12" s="3"/>
      <c r="I12" s="928"/>
      <c r="J12" s="63"/>
      <c r="K12" s="52"/>
      <c r="L12" s="3"/>
      <c r="M12" s="928"/>
      <c r="O12" s="52"/>
      <c r="P12" s="3"/>
      <c r="Q12" s="928"/>
      <c r="S12" s="46"/>
      <c r="T12" s="44"/>
      <c r="U12" s="105"/>
      <c r="W12" s="46"/>
      <c r="X12" s="44"/>
      <c r="Y12" s="105"/>
      <c r="AA12" s="46"/>
      <c r="AB12" s="44"/>
      <c r="AC12" s="105"/>
    </row>
    <row r="13" spans="1:29" x14ac:dyDescent="0.25">
      <c r="C13" s="938" t="s">
        <v>64</v>
      </c>
      <c r="D13" s="9">
        <f>ROUND(D11-(D11/(1+E13)),2)</f>
        <v>642.24</v>
      </c>
      <c r="E13" s="52">
        <v>3.6999999999999998E-2</v>
      </c>
      <c r="G13" s="83">
        <f t="shared" si="1"/>
        <v>0.19114349775784753</v>
      </c>
      <c r="H13" s="9">
        <f>ROUND(H11-(H11/(1+I13)),0)</f>
        <v>765</v>
      </c>
      <c r="I13" s="1051">
        <v>4.4400000000000002E-2</v>
      </c>
      <c r="J13" s="64"/>
      <c r="K13" s="83">
        <f>IF(H13=0,"0.00%",(L13-H13)/H13)</f>
        <v>-0.36601307189542481</v>
      </c>
      <c r="L13" s="9">
        <v>485</v>
      </c>
      <c r="M13" s="1051" t="s">
        <v>1034</v>
      </c>
      <c r="O13" s="83">
        <f>IF(L13=0,"0.00%",(P13-L13)/L13)</f>
        <v>-0.6721649484536083</v>
      </c>
      <c r="P13" s="9">
        <v>159</v>
      </c>
      <c r="Q13" s="1051" t="s">
        <v>1034</v>
      </c>
      <c r="S13" s="83">
        <f>IF(P13=0,"0.00%",(T13-P13)/P13)</f>
        <v>3.1446540880503147</v>
      </c>
      <c r="T13" s="77">
        <f>ROUND(T11-(T11/(1+E13)),0)</f>
        <v>659</v>
      </c>
      <c r="U13" s="105"/>
      <c r="W13" s="83">
        <f>IF(T13=0,"0.00%",(X13-T13)/T13)</f>
        <v>-1</v>
      </c>
      <c r="X13" s="77">
        <f>ROUND(X11-(X11/(1+E13)),0)</f>
        <v>0</v>
      </c>
      <c r="Y13" s="105"/>
      <c r="AA13" s="83" t="str">
        <f>IF(X13=0,"0.00%",(AB13-X13)/X13)</f>
        <v>0.00%</v>
      </c>
      <c r="AB13" s="77">
        <f>ROUND(AB11-(AB11/(1+G13)),0)</f>
        <v>0</v>
      </c>
      <c r="AC13" s="105"/>
    </row>
    <row r="14" spans="1:29" x14ac:dyDescent="0.25">
      <c r="E14" s="928"/>
      <c r="H14" s="3"/>
      <c r="I14" s="928"/>
      <c r="J14" s="63"/>
      <c r="K14" s="52"/>
      <c r="L14" s="3"/>
      <c r="M14" s="928"/>
      <c r="O14" s="52"/>
      <c r="P14" s="3"/>
      <c r="Q14" s="928"/>
      <c r="S14" s="46"/>
      <c r="T14" s="44"/>
      <c r="U14" s="105"/>
      <c r="W14" s="46"/>
      <c r="X14" s="44"/>
      <c r="Y14" s="105"/>
      <c r="AA14" s="46"/>
      <c r="AB14" s="44"/>
      <c r="AC14" s="105"/>
    </row>
    <row r="15" spans="1:29" x14ac:dyDescent="0.25">
      <c r="B15" s="936" t="s">
        <v>50</v>
      </c>
      <c r="D15" s="10">
        <f>D11-D13</f>
        <v>17357.759999999998</v>
      </c>
      <c r="E15" s="928"/>
      <c r="G15" s="83">
        <f t="shared" si="1"/>
        <v>-7.0723411315744894E-3</v>
      </c>
      <c r="H15" s="9">
        <f>H11-H13</f>
        <v>17235</v>
      </c>
      <c r="I15" s="1292">
        <f>+H15-D15</f>
        <v>-122.7599999999984</v>
      </c>
      <c r="J15" s="62"/>
      <c r="K15" s="83">
        <f>IF(H15=0,"0.00%",(L15-H15)/H15)</f>
        <v>1.624601102407891E-2</v>
      </c>
      <c r="L15" s="9">
        <f>L11-L13</f>
        <v>17515</v>
      </c>
      <c r="M15" s="1292">
        <f>+L15-H15</f>
        <v>280</v>
      </c>
      <c r="O15" s="83">
        <f>IF(L15=0,"0.00%",(P15-L15)/L15)</f>
        <v>1.8612617756208965E-2</v>
      </c>
      <c r="P15" s="9">
        <f>P11-P13</f>
        <v>17841</v>
      </c>
      <c r="Q15" s="1292">
        <f>+P15-L15</f>
        <v>326</v>
      </c>
      <c r="S15" s="83">
        <f>IF(P15=0,"0.00%",(T15-P15)/P15)</f>
        <v>-2.0738747828036547E-3</v>
      </c>
      <c r="T15" s="19">
        <f>T11-T13</f>
        <v>17804</v>
      </c>
      <c r="U15" s="105"/>
      <c r="W15" s="83">
        <f>IF(T15=0,"0.00%",(X15-T15)/T15)</f>
        <v>-1</v>
      </c>
      <c r="X15" s="19">
        <f>X11-X13</f>
        <v>0</v>
      </c>
      <c r="Y15" s="105"/>
      <c r="AA15" s="83" t="str">
        <f>IF(X15=0,"0.00%",(AB15-X15)/X15)</f>
        <v>0.00%</v>
      </c>
      <c r="AB15" s="19">
        <f>AB11-AB13</f>
        <v>0</v>
      </c>
      <c r="AC15" s="105"/>
    </row>
    <row r="16" spans="1:29" x14ac:dyDescent="0.25">
      <c r="E16" s="928"/>
      <c r="H16" s="3"/>
      <c r="I16" s="928"/>
      <c r="J16" s="62"/>
      <c r="L16" s="3"/>
      <c r="M16" s="928"/>
      <c r="P16" s="3"/>
      <c r="Q16" s="928"/>
      <c r="T16" s="49"/>
      <c r="U16" s="105"/>
      <c r="X16" s="49"/>
      <c r="Y16" s="105"/>
      <c r="AB16" s="49"/>
      <c r="AC16" s="105"/>
    </row>
    <row r="17" spans="1:29" x14ac:dyDescent="0.25">
      <c r="C17" s="930"/>
      <c r="E17" s="928"/>
      <c r="H17" s="3"/>
      <c r="I17" s="928"/>
      <c r="J17" s="63"/>
      <c r="L17" s="3"/>
      <c r="M17" s="928"/>
      <c r="P17" s="3"/>
      <c r="Q17" s="928"/>
      <c r="T17" s="44"/>
      <c r="U17" s="105"/>
      <c r="X17" s="44"/>
      <c r="Y17" s="105"/>
      <c r="AB17" s="44"/>
      <c r="AC17" s="105"/>
    </row>
    <row r="18" spans="1:29" x14ac:dyDescent="0.25">
      <c r="A18" s="148"/>
      <c r="D18" s="29" t="s">
        <v>826</v>
      </c>
      <c r="E18" s="929"/>
      <c r="F18" s="32"/>
      <c r="H18" s="29" t="s">
        <v>177</v>
      </c>
      <c r="I18" s="929"/>
      <c r="J18" s="65"/>
      <c r="M18" s="929"/>
      <c r="Q18" s="929"/>
      <c r="U18" s="106"/>
      <c r="Y18" s="106"/>
      <c r="AC18" s="106"/>
    </row>
    <row r="19" spans="1:29" ht="17.25" x14ac:dyDescent="0.4">
      <c r="A19" s="149"/>
      <c r="D19" s="35" t="s">
        <v>827</v>
      </c>
      <c r="E19" s="860"/>
      <c r="F19" s="34"/>
      <c r="H19" s="35" t="s">
        <v>48</v>
      </c>
      <c r="I19" s="870"/>
      <c r="J19" s="29"/>
      <c r="L19" s="14" t="s">
        <v>48</v>
      </c>
      <c r="M19" s="1003"/>
      <c r="P19" s="14" t="s">
        <v>48</v>
      </c>
      <c r="Q19" s="1003"/>
      <c r="T19" s="14" t="s">
        <v>48</v>
      </c>
      <c r="U19" s="104">
        <v>0.02</v>
      </c>
      <c r="X19" s="14" t="s">
        <v>48</v>
      </c>
      <c r="Y19" s="104">
        <v>0.02</v>
      </c>
      <c r="AB19" s="14" t="s">
        <v>48</v>
      </c>
      <c r="AC19" s="104">
        <v>0.02</v>
      </c>
    </row>
    <row r="20" spans="1:29" s="13" customFormat="1" hidden="1" x14ac:dyDescent="0.25">
      <c r="A20" s="150"/>
      <c r="B20" s="936" t="s">
        <v>46</v>
      </c>
      <c r="C20" s="938"/>
      <c r="D20" s="10"/>
      <c r="E20" s="861"/>
      <c r="F20" s="10"/>
      <c r="G20" s="372"/>
      <c r="H20" s="10"/>
      <c r="I20" s="864"/>
      <c r="J20" s="57"/>
      <c r="K20" s="379"/>
      <c r="L20" s="10"/>
      <c r="M20" s="947"/>
      <c r="O20" s="379"/>
      <c r="P20" s="10"/>
      <c r="Q20" s="947"/>
      <c r="R20" s="111"/>
      <c r="T20" s="10"/>
      <c r="U20" s="74"/>
      <c r="X20" s="10"/>
      <c r="Y20" s="74"/>
      <c r="AB20" s="10"/>
      <c r="AC20" s="74"/>
    </row>
    <row r="21" spans="1:29" hidden="1" x14ac:dyDescent="0.25">
      <c r="A21" s="151"/>
      <c r="B21" s="939"/>
      <c r="D21" s="2">
        <v>0</v>
      </c>
      <c r="E21" s="863"/>
      <c r="F21" s="2"/>
      <c r="G21" s="83" t="str">
        <f t="shared" ref="G21:G30" si="4">IF(D21=0,"0.00%",(H21-D21)/D21)</f>
        <v>0.00%</v>
      </c>
      <c r="H21" s="2">
        <f t="shared" ref="H21:H27" si="5">ROUND(D21*(1+$I$19),0)</f>
        <v>0</v>
      </c>
      <c r="I21" s="854" t="str">
        <f t="shared" ref="I21:I28" si="6">TEXT($I$19,"0.0%")&amp;" = Est. S &amp; C"</f>
        <v>0.0% = Est. S &amp; C</v>
      </c>
      <c r="J21" s="66"/>
      <c r="K21" s="83" t="str">
        <f t="shared" ref="K21:K27" si="7">IF(H21=0,"0.00%",(L21-H21)/H21)</f>
        <v>0.00%</v>
      </c>
      <c r="L21" s="2">
        <f>ROUND(H21*(1+M19),0)</f>
        <v>0</v>
      </c>
      <c r="M21" s="871" t="str">
        <f>TEXT(M19,"0.0%")&amp;" = Est. S &amp; C"</f>
        <v>0.0% = Est. S &amp; C</v>
      </c>
      <c r="O21" s="83" t="str">
        <f t="shared" ref="O21:O27" si="8">IF(L21=0,"0.00%",(P21-L21)/L21)</f>
        <v>0.00%</v>
      </c>
      <c r="P21" s="2">
        <f>ROUND(L21*(1+Q19),0)</f>
        <v>0</v>
      </c>
      <c r="Q21" s="871" t="str">
        <f>TEXT(Q19,"0.0%")&amp;" = Est. S &amp; C"</f>
        <v>0.0% = Est. S &amp; C</v>
      </c>
      <c r="S21" s="83" t="str">
        <f t="shared" ref="S21:S27" si="9">IF(P21=0,"0.00%",(T21-P21)/P21)</f>
        <v>0.00%</v>
      </c>
      <c r="T21" s="2">
        <f>ROUND(P21*(1+U19),0)</f>
        <v>0</v>
      </c>
      <c r="U21" s="36" t="str">
        <f>TEXT(U19,"0.0%")&amp;" = Est. S &amp; C"</f>
        <v>2.0% = Est. S &amp; C</v>
      </c>
      <c r="W21" s="83" t="str">
        <f t="shared" ref="W21:W27" si="10">IF(T21=0,"0.00%",(X21-T21)/T21)</f>
        <v>0.00%</v>
      </c>
      <c r="X21" s="2">
        <f>ROUND(T21*(1+Y19),0)</f>
        <v>0</v>
      </c>
      <c r="Y21" s="36" t="str">
        <f>TEXT(Y19,"0.0%")&amp;" = Est. S &amp; C"</f>
        <v>2.0% = Est. S &amp; C</v>
      </c>
      <c r="AA21" s="83" t="str">
        <f t="shared" ref="AA21:AA27" si="11">IF(X21=0,"0.00%",(AB21-X21)/X21)</f>
        <v>0.00%</v>
      </c>
      <c r="AB21" s="2">
        <f>ROUND(X21*(1+AC19),0)</f>
        <v>0</v>
      </c>
      <c r="AC21" s="36" t="str">
        <f>TEXT(AC19,"0.0%")&amp;" = Est. S &amp; C"</f>
        <v>2.0% = Est. S &amp; C</v>
      </c>
    </row>
    <row r="22" spans="1:29" hidden="1" x14ac:dyDescent="0.25">
      <c r="A22" s="152"/>
      <c r="B22" s="939"/>
      <c r="D22" s="2">
        <v>0</v>
      </c>
      <c r="E22" s="863"/>
      <c r="F22" s="2"/>
      <c r="G22" s="83" t="str">
        <f t="shared" si="4"/>
        <v>0.00%</v>
      </c>
      <c r="H22" s="2">
        <f t="shared" si="5"/>
        <v>0</v>
      </c>
      <c r="I22" s="871" t="str">
        <f t="shared" si="6"/>
        <v>0.0% = Est. S &amp; C</v>
      </c>
      <c r="J22" s="66"/>
      <c r="K22" s="83" t="str">
        <f t="shared" si="7"/>
        <v>0.00%</v>
      </c>
      <c r="L22" s="2">
        <f>ROUND(H22*(1+M19),0)</f>
        <v>0</v>
      </c>
      <c r="M22" s="871" t="str">
        <f>TEXT(M19,"0.0%")&amp;" = Est. S &amp; C"</f>
        <v>0.0% = Est. S &amp; C</v>
      </c>
      <c r="O22" s="83" t="str">
        <f t="shared" si="8"/>
        <v>0.00%</v>
      </c>
      <c r="P22" s="2">
        <f>ROUND(L22*(1+Q19),0)</f>
        <v>0</v>
      </c>
      <c r="Q22" s="871" t="str">
        <f>TEXT(Q19,"0.0%")&amp;" = Est. S &amp; C"</f>
        <v>0.0% = Est. S &amp; C</v>
      </c>
      <c r="S22" s="83" t="str">
        <f t="shared" si="9"/>
        <v>0.00%</v>
      </c>
      <c r="T22" s="2">
        <f>ROUND(P22*(1+U19),0)</f>
        <v>0</v>
      </c>
      <c r="U22" s="36" t="str">
        <f>TEXT(U19,"0.0%")&amp;" = Est. S &amp; C"</f>
        <v>2.0% = Est. S &amp; C</v>
      </c>
      <c r="W22" s="83" t="str">
        <f t="shared" si="10"/>
        <v>0.00%</v>
      </c>
      <c r="X22" s="2">
        <f>ROUND(T22*(1+Y19),0)</f>
        <v>0</v>
      </c>
      <c r="Y22" s="36" t="str">
        <f>TEXT(Y19,"0.0%")&amp;" = Est. S &amp; C"</f>
        <v>2.0% = Est. S &amp; C</v>
      </c>
      <c r="AA22" s="83" t="str">
        <f t="shared" si="11"/>
        <v>0.00%</v>
      </c>
      <c r="AB22" s="2">
        <f>ROUND(X22*(1+AC19),0)</f>
        <v>0</v>
      </c>
      <c r="AC22" s="36" t="str">
        <f>TEXT(AC19,"0.0%")&amp;" = Est. S &amp; C"</f>
        <v>2.0% = Est. S &amp; C</v>
      </c>
    </row>
    <row r="23" spans="1:29" hidden="1" x14ac:dyDescent="0.25">
      <c r="A23" s="152"/>
      <c r="B23" s="939"/>
      <c r="D23" s="2">
        <v>0</v>
      </c>
      <c r="E23" s="863"/>
      <c r="F23" s="2"/>
      <c r="G23" s="83" t="str">
        <f t="shared" si="4"/>
        <v>0.00%</v>
      </c>
      <c r="H23" s="2">
        <f t="shared" si="5"/>
        <v>0</v>
      </c>
      <c r="I23" s="871" t="str">
        <f t="shared" si="6"/>
        <v>0.0% = Est. S &amp; C</v>
      </c>
      <c r="J23" s="66"/>
      <c r="K23" s="83" t="str">
        <f t="shared" si="7"/>
        <v>0.00%</v>
      </c>
      <c r="L23" s="2">
        <f>ROUND(H23*(1+M19),0)</f>
        <v>0</v>
      </c>
      <c r="M23" s="871" t="str">
        <f>TEXT(M19,"0.0%")&amp;" = Est. S &amp; C"</f>
        <v>0.0% = Est. S &amp; C</v>
      </c>
      <c r="O23" s="83" t="str">
        <f t="shared" si="8"/>
        <v>0.00%</v>
      </c>
      <c r="P23" s="2">
        <f>ROUND(L23*(1+Q19),0)</f>
        <v>0</v>
      </c>
      <c r="Q23" s="871" t="str">
        <f>TEXT(Q19,"0.0%")&amp;" = Est. S &amp; C"</f>
        <v>0.0% = Est. S &amp; C</v>
      </c>
      <c r="S23" s="83" t="str">
        <f t="shared" si="9"/>
        <v>0.00%</v>
      </c>
      <c r="T23" s="2">
        <f>ROUND(P23*(1+U19),0)</f>
        <v>0</v>
      </c>
      <c r="U23" s="36" t="str">
        <f>TEXT(U19,"0.0%")&amp;" = Est. S &amp; C"</f>
        <v>2.0% = Est. S &amp; C</v>
      </c>
      <c r="W23" s="83" t="str">
        <f t="shared" si="10"/>
        <v>0.00%</v>
      </c>
      <c r="X23" s="2">
        <f>ROUND(T23*(1+Y19),0)</f>
        <v>0</v>
      </c>
      <c r="Y23" s="36" t="str">
        <f>TEXT(Y19,"0.0%")&amp;" = Est. S &amp; C"</f>
        <v>2.0% = Est. S &amp; C</v>
      </c>
      <c r="AA23" s="83" t="str">
        <f t="shared" si="11"/>
        <v>0.00%</v>
      </c>
      <c r="AB23" s="2">
        <f>ROUND(X23*(1+AC19),0)</f>
        <v>0</v>
      </c>
      <c r="AC23" s="36" t="str">
        <f>TEXT(AC19,"0.0%")&amp;" = Est. S &amp; C"</f>
        <v>2.0% = Est. S &amp; C</v>
      </c>
    </row>
    <row r="24" spans="1:29" hidden="1" x14ac:dyDescent="0.25">
      <c r="A24" s="152"/>
      <c r="B24" s="939"/>
      <c r="D24" s="2">
        <v>0</v>
      </c>
      <c r="E24" s="863"/>
      <c r="F24" s="2"/>
      <c r="G24" s="83" t="str">
        <f t="shared" si="4"/>
        <v>0.00%</v>
      </c>
      <c r="H24" s="2">
        <f t="shared" si="5"/>
        <v>0</v>
      </c>
      <c r="I24" s="871" t="str">
        <f t="shared" si="6"/>
        <v>0.0% = Est. S &amp; C</v>
      </c>
      <c r="J24" s="66"/>
      <c r="K24" s="83" t="str">
        <f t="shared" si="7"/>
        <v>0.00%</v>
      </c>
      <c r="L24" s="2">
        <f>ROUND(H24*(1+M19),0)</f>
        <v>0</v>
      </c>
      <c r="M24" s="871" t="str">
        <f>TEXT(M19,"0.0%")&amp;" = Est. S &amp; C"</f>
        <v>0.0% = Est. S &amp; C</v>
      </c>
      <c r="O24" s="83" t="str">
        <f t="shared" si="8"/>
        <v>0.00%</v>
      </c>
      <c r="P24" s="2">
        <f>ROUND(L24*(1+Q19),0)</f>
        <v>0</v>
      </c>
      <c r="Q24" s="871" t="str">
        <f>TEXT(Q19,"0.0%")&amp;" = Est. S &amp; C"</f>
        <v>0.0% = Est. S &amp; C</v>
      </c>
      <c r="S24" s="83" t="str">
        <f t="shared" si="9"/>
        <v>0.00%</v>
      </c>
      <c r="T24" s="2">
        <f>ROUND(P24*(1+U19),0)</f>
        <v>0</v>
      </c>
      <c r="U24" s="36" t="str">
        <f>TEXT(U19,"0.0%")&amp;" = Est. S &amp; C"</f>
        <v>2.0% = Est. S &amp; C</v>
      </c>
      <c r="W24" s="83" t="str">
        <f t="shared" si="10"/>
        <v>0.00%</v>
      </c>
      <c r="X24" s="2">
        <f>ROUND(T24*(1+Y19),0)</f>
        <v>0</v>
      </c>
      <c r="Y24" s="36" t="str">
        <f>TEXT(Y19,"0.0%")&amp;" = Est. S &amp; C"</f>
        <v>2.0% = Est. S &amp; C</v>
      </c>
      <c r="AA24" s="83" t="str">
        <f t="shared" si="11"/>
        <v>0.00%</v>
      </c>
      <c r="AB24" s="2">
        <f>ROUND(X24*(1+AC19),0)</f>
        <v>0</v>
      </c>
      <c r="AC24" s="36" t="str">
        <f>TEXT(AC19,"0.0%")&amp;" = Est. S &amp; C"</f>
        <v>2.0% = Est. S &amp; C</v>
      </c>
    </row>
    <row r="25" spans="1:29" hidden="1" x14ac:dyDescent="0.25">
      <c r="A25" s="152"/>
      <c r="B25" s="939"/>
      <c r="D25" s="2">
        <v>0</v>
      </c>
      <c r="E25" s="863"/>
      <c r="F25" s="2"/>
      <c r="G25" s="83" t="str">
        <f t="shared" si="4"/>
        <v>0.00%</v>
      </c>
      <c r="H25" s="2">
        <f t="shared" si="5"/>
        <v>0</v>
      </c>
      <c r="I25" s="871" t="str">
        <f t="shared" si="6"/>
        <v>0.0% = Est. S &amp; C</v>
      </c>
      <c r="J25" s="66"/>
      <c r="K25" s="83" t="str">
        <f t="shared" si="7"/>
        <v>0.00%</v>
      </c>
      <c r="L25" s="2">
        <f>ROUND(H25*(1+M19),0)</f>
        <v>0</v>
      </c>
      <c r="M25" s="871" t="str">
        <f>TEXT(M19,"0.0%")&amp;" = Est. S &amp; C"</f>
        <v>0.0% = Est. S &amp; C</v>
      </c>
      <c r="O25" s="83" t="str">
        <f t="shared" si="8"/>
        <v>0.00%</v>
      </c>
      <c r="P25" s="2">
        <f>ROUND(L25*(1+Q19),0)</f>
        <v>0</v>
      </c>
      <c r="Q25" s="871" t="str">
        <f>TEXT(Q19,"0.0%")&amp;" = Est. S &amp; C"</f>
        <v>0.0% = Est. S &amp; C</v>
      </c>
      <c r="S25" s="83" t="str">
        <f t="shared" si="9"/>
        <v>0.00%</v>
      </c>
      <c r="T25" s="2">
        <f>ROUND(P25*(1+U19),0)</f>
        <v>0</v>
      </c>
      <c r="U25" s="36" t="str">
        <f>TEXT(U19,"0.0%")&amp;" = Est. S &amp; C"</f>
        <v>2.0% = Est. S &amp; C</v>
      </c>
      <c r="W25" s="83" t="str">
        <f t="shared" si="10"/>
        <v>0.00%</v>
      </c>
      <c r="X25" s="2">
        <f>ROUND(T25*(1+Y19),0)</f>
        <v>0</v>
      </c>
      <c r="Y25" s="36" t="str">
        <f>TEXT(Y19,"0.0%")&amp;" = Est. S &amp; C"</f>
        <v>2.0% = Est. S &amp; C</v>
      </c>
      <c r="AA25" s="83" t="str">
        <f t="shared" si="11"/>
        <v>0.00%</v>
      </c>
      <c r="AB25" s="2">
        <f>ROUND(X25*(1+AC19),0)</f>
        <v>0</v>
      </c>
      <c r="AC25" s="36" t="str">
        <f>TEXT(AC19,"0.0%")&amp;" = Est. S &amp; C"</f>
        <v>2.0% = Est. S &amp; C</v>
      </c>
    </row>
    <row r="26" spans="1:29" hidden="1" x14ac:dyDescent="0.25">
      <c r="A26" s="152"/>
      <c r="B26" s="939"/>
      <c r="D26" s="2">
        <v>0</v>
      </c>
      <c r="E26" s="863"/>
      <c r="F26" s="2"/>
      <c r="G26" s="83" t="str">
        <f t="shared" si="4"/>
        <v>0.00%</v>
      </c>
      <c r="H26" s="2">
        <f t="shared" si="5"/>
        <v>0</v>
      </c>
      <c r="I26" s="871" t="str">
        <f t="shared" si="6"/>
        <v>0.0% = Est. S &amp; C</v>
      </c>
      <c r="J26" s="66"/>
      <c r="K26" s="83" t="str">
        <f t="shared" si="7"/>
        <v>0.00%</v>
      </c>
      <c r="L26" s="2">
        <f>ROUND(H26*(1+M19),0)</f>
        <v>0</v>
      </c>
      <c r="M26" s="382" t="str">
        <f>TEXT(M19,"0.0%")&amp;" = Est. S &amp; C"</f>
        <v>0.0% = Est. S &amp; C</v>
      </c>
      <c r="O26" s="83" t="str">
        <f t="shared" si="8"/>
        <v>0.00%</v>
      </c>
      <c r="P26" s="2">
        <f>ROUND(L26*(1+Q19),0)</f>
        <v>0</v>
      </c>
      <c r="Q26" s="871" t="str">
        <f>TEXT(Q19,"0.0%")&amp;" = Est. S &amp; C"</f>
        <v>0.0% = Est. S &amp; C</v>
      </c>
      <c r="S26" s="83" t="str">
        <f t="shared" si="9"/>
        <v>0.00%</v>
      </c>
      <c r="T26" s="2">
        <f>ROUND(P26*(1+U19),0)</f>
        <v>0</v>
      </c>
      <c r="U26" s="36" t="str">
        <f>TEXT(U19,"0.0%")&amp;" = Est. S &amp; C"</f>
        <v>2.0% = Est. S &amp; C</v>
      </c>
      <c r="W26" s="83" t="str">
        <f t="shared" si="10"/>
        <v>0.00%</v>
      </c>
      <c r="X26" s="2">
        <f>ROUND(T26*(1+Y19),0)</f>
        <v>0</v>
      </c>
      <c r="Y26" s="36" t="str">
        <f>TEXT(Y19,"0.0%")&amp;" = Est. S &amp; C"</f>
        <v>2.0% = Est. S &amp; C</v>
      </c>
      <c r="AA26" s="83" t="str">
        <f t="shared" si="11"/>
        <v>0.00%</v>
      </c>
      <c r="AB26" s="2">
        <f>ROUND(X26*(1+AC19),0)</f>
        <v>0</v>
      </c>
      <c r="AC26" s="36" t="str">
        <f>TEXT(AC19,"0.0%")&amp;" = Est. S &amp; C"</f>
        <v>2.0% = Est. S &amp; C</v>
      </c>
    </row>
    <row r="27" spans="1:29" hidden="1" x14ac:dyDescent="0.25">
      <c r="A27" s="152"/>
      <c r="B27" s="939"/>
      <c r="D27" s="2">
        <v>0</v>
      </c>
      <c r="E27" s="863"/>
      <c r="F27" s="2"/>
      <c r="G27" s="83" t="str">
        <f t="shared" si="4"/>
        <v>0.00%</v>
      </c>
      <c r="H27" s="2">
        <f t="shared" si="5"/>
        <v>0</v>
      </c>
      <c r="I27" s="871" t="str">
        <f t="shared" si="6"/>
        <v>0.0% = Est. S &amp; C</v>
      </c>
      <c r="J27" s="66"/>
      <c r="K27" s="83" t="str">
        <f t="shared" si="7"/>
        <v>0.00%</v>
      </c>
      <c r="L27" s="2">
        <f>ROUND(H27*(1+M19),0)</f>
        <v>0</v>
      </c>
      <c r="M27" s="871" t="str">
        <f>TEXT(M19,"0.0%")&amp;" = Est. S &amp; C"</f>
        <v>0.0% = Est. S &amp; C</v>
      </c>
      <c r="O27" s="83" t="str">
        <f t="shared" si="8"/>
        <v>0.00%</v>
      </c>
      <c r="P27" s="2">
        <f>ROUND(L27*(1+Q19),0)</f>
        <v>0</v>
      </c>
      <c r="Q27" s="871" t="str">
        <f>TEXT(Q19,"0.0%")&amp;" = Est. S &amp; C"</f>
        <v>0.0% = Est. S &amp; C</v>
      </c>
      <c r="S27" s="83" t="str">
        <f t="shared" si="9"/>
        <v>0.00%</v>
      </c>
      <c r="T27" s="2">
        <f>ROUND(P27*(1+U19),0)</f>
        <v>0</v>
      </c>
      <c r="U27" s="36" t="str">
        <f>TEXT(U19,"0.0%")&amp;" = Est. S &amp; C"</f>
        <v>2.0% = Est. S &amp; C</v>
      </c>
      <c r="W27" s="83" t="str">
        <f t="shared" si="10"/>
        <v>0.00%</v>
      </c>
      <c r="X27" s="2">
        <f>ROUND(T27*(1+Y19),0)</f>
        <v>0</v>
      </c>
      <c r="Y27" s="36" t="str">
        <f>TEXT(Y19,"0.0%")&amp;" = Est. S &amp; C"</f>
        <v>2.0% = Est. S &amp; C</v>
      </c>
      <c r="AA27" s="83" t="str">
        <f t="shared" si="11"/>
        <v>0.00%</v>
      </c>
      <c r="AB27" s="2">
        <f>ROUND(X27*(1+AC19),0)</f>
        <v>0</v>
      </c>
      <c r="AC27" s="36" t="str">
        <f>TEXT(AC19,"0.0%")&amp;" = Est. S &amp; C"</f>
        <v>2.0% = Est. S &amp; C</v>
      </c>
    </row>
    <row r="28" spans="1:29" hidden="1" x14ac:dyDescent="0.25">
      <c r="A28" s="152"/>
      <c r="B28" s="939"/>
      <c r="D28" s="2">
        <v>0</v>
      </c>
      <c r="E28" s="863"/>
      <c r="F28" s="2"/>
      <c r="G28" s="83" t="str">
        <f>IF(D28=0,"0.00%",(H28-D28)/D28)</f>
        <v>0.00%</v>
      </c>
      <c r="H28" s="2">
        <f>ROUND(D28*(1+$I$19),0)</f>
        <v>0</v>
      </c>
      <c r="I28" s="871" t="str">
        <f t="shared" si="6"/>
        <v>0.0% = Est. S &amp; C</v>
      </c>
      <c r="J28" s="66"/>
      <c r="K28" s="83" t="str">
        <f>IF(H28=0,"0.00%",(L28-H28)/H28)</f>
        <v>0.00%</v>
      </c>
      <c r="L28" s="2">
        <f>ROUND(H28*(1+M20),0)</f>
        <v>0</v>
      </c>
      <c r="M28" s="871" t="str">
        <f>TEXT(M20,"0.0%")&amp;" = Est. S &amp; C"</f>
        <v>0.0% = Est. S &amp; C</v>
      </c>
      <c r="O28" s="83" t="str">
        <f>IF(L28=0,"0.00%",(P28-L28)/L28)</f>
        <v>0.00%</v>
      </c>
      <c r="P28" s="2">
        <f>ROUND(L28*(1+Q20),0)</f>
        <v>0</v>
      </c>
      <c r="Q28" s="871"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939"/>
      <c r="E29" s="863"/>
      <c r="F29" s="2"/>
      <c r="G29" s="83"/>
      <c r="H29" s="2"/>
      <c r="I29" s="871"/>
      <c r="J29" s="66"/>
      <c r="L29" s="2"/>
      <c r="M29" s="948"/>
      <c r="Q29" s="948"/>
      <c r="T29" s="2"/>
      <c r="U29" s="73"/>
      <c r="X29" s="2"/>
      <c r="Y29" s="73"/>
      <c r="AB29" s="2"/>
      <c r="AC29" s="73"/>
    </row>
    <row r="30" spans="1:29" hidden="1" x14ac:dyDescent="0.25">
      <c r="A30" s="153"/>
      <c r="B30" s="939"/>
      <c r="D30" s="8">
        <f>SUM(D21:D29)</f>
        <v>0</v>
      </c>
      <c r="E30" s="863"/>
      <c r="F30" s="2"/>
      <c r="G30" s="83" t="str">
        <f t="shared" si="4"/>
        <v>0.00%</v>
      </c>
      <c r="H30" s="8">
        <f>SUM(H21:H29)</f>
        <v>0</v>
      </c>
      <c r="I30" s="872"/>
      <c r="J30" s="29"/>
      <c r="K30" s="83" t="str">
        <f>IF(H30=0,"0.00%",(L30-H30)/H30)</f>
        <v>0.00%</v>
      </c>
      <c r="L30" s="8">
        <f>SUM(L21:L29)</f>
        <v>0</v>
      </c>
      <c r="M30" s="948"/>
      <c r="O30" s="83" t="str">
        <f>IF(L30=0,"0.00%",(P30-L30)/L30)</f>
        <v>0.00%</v>
      </c>
      <c r="P30" s="8">
        <f>SUM(P21:P29)</f>
        <v>0</v>
      </c>
      <c r="Q30" s="948"/>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2"/>
      <c r="E31" s="863"/>
      <c r="F31" s="2"/>
      <c r="H31" s="2"/>
      <c r="I31" s="854"/>
      <c r="J31" s="66"/>
      <c r="L31" s="2"/>
      <c r="M31" s="949"/>
      <c r="Q31" s="949"/>
      <c r="T31" s="2"/>
      <c r="U31" s="73"/>
      <c r="X31" s="2"/>
      <c r="Y31" s="73"/>
      <c r="AB31" s="2"/>
      <c r="AC31" s="73"/>
    </row>
    <row r="32" spans="1:29" s="4" customFormat="1" x14ac:dyDescent="0.25">
      <c r="A32" s="150"/>
      <c r="B32" s="940" t="s">
        <v>35</v>
      </c>
      <c r="C32" s="873"/>
      <c r="D32" s="6"/>
      <c r="E32" s="864"/>
      <c r="F32" s="6"/>
      <c r="G32" s="373"/>
      <c r="H32" s="6"/>
      <c r="I32" s="864"/>
      <c r="J32" s="57"/>
      <c r="K32" s="380"/>
      <c r="L32" s="6"/>
      <c r="M32" s="950"/>
      <c r="O32" s="380"/>
      <c r="P32" s="6"/>
      <c r="Q32" s="950"/>
      <c r="R32" s="111"/>
      <c r="T32" s="6"/>
      <c r="U32" s="71"/>
      <c r="X32" s="6"/>
      <c r="Y32" s="71"/>
      <c r="AB32" s="6"/>
      <c r="AC32" s="71"/>
    </row>
    <row r="33" spans="1:29" x14ac:dyDescent="0.25">
      <c r="A33" s="152"/>
      <c r="B33" s="939">
        <v>2208</v>
      </c>
      <c r="C33" s="857" t="s">
        <v>274</v>
      </c>
      <c r="D33" s="2">
        <v>13333.66</v>
      </c>
      <c r="E33" s="863"/>
      <c r="F33" s="2"/>
      <c r="G33" s="83">
        <f t="shared" ref="G33:G39" si="12">IF(D33=0,"0.00%",(H33-D33)/D33)</f>
        <v>4.6599358315721276E-2</v>
      </c>
      <c r="H33" s="2">
        <v>13955</v>
      </c>
      <c r="I33" s="871" t="s">
        <v>174</v>
      </c>
      <c r="J33" s="66"/>
      <c r="K33" s="83">
        <f t="shared" ref="K33:K39" si="13">IF(H33=0,"0.00%",(L33-H33)/H33)</f>
        <v>0</v>
      </c>
      <c r="L33" s="2">
        <f>+H33</f>
        <v>13955</v>
      </c>
      <c r="M33" s="871" t="s">
        <v>174</v>
      </c>
      <c r="O33" s="83">
        <f t="shared" ref="O33:O39" si="14">IF(L33=0,"0.00%",(P33-L33)/L33)</f>
        <v>0</v>
      </c>
      <c r="P33" s="2">
        <f>+L33</f>
        <v>13955</v>
      </c>
      <c r="Q33" s="871" t="s">
        <v>174</v>
      </c>
      <c r="S33" s="83">
        <f t="shared" ref="S33:S39" si="15">IF(P33=0,"0.00%",(T33-P33)/P33)</f>
        <v>0</v>
      </c>
      <c r="T33" s="2">
        <f>+P33</f>
        <v>13955</v>
      </c>
      <c r="U33" s="36" t="s">
        <v>174</v>
      </c>
      <c r="W33" s="83">
        <f t="shared" ref="W33:W39" si="16">IF(T33=0,"0.00%",(X33-T33)/T33)</f>
        <v>1.9992834109638122E-2</v>
      </c>
      <c r="X33" s="2">
        <f>ROUND(T33*(1+Y19),0)</f>
        <v>14234</v>
      </c>
      <c r="Y33" s="36" t="str">
        <f>TEXT(Y19,"0.0%")&amp;" = Est. S &amp; C"</f>
        <v>2.0% = Est. S &amp; C</v>
      </c>
      <c r="AA33" s="83">
        <f t="shared" ref="AA33:AA39" si="17">IF(X33=0,"0.00%",(AB33-X33)/X33)</f>
        <v>2.0022481382605029E-2</v>
      </c>
      <c r="AB33" s="2">
        <f>ROUND(X33*(1+AC19),0)</f>
        <v>14519</v>
      </c>
      <c r="AC33" s="36" t="str">
        <f>TEXT(AC19,"0.0%")&amp;" = Est. S &amp; C"</f>
        <v>2.0% = Est. S &amp; C</v>
      </c>
    </row>
    <row r="34" spans="1:29" hidden="1" x14ac:dyDescent="0.25">
      <c r="A34" s="152"/>
      <c r="B34" s="939"/>
      <c r="D34" s="2">
        <v>0</v>
      </c>
      <c r="E34" s="863"/>
      <c r="F34" s="2"/>
      <c r="G34" s="83" t="str">
        <f t="shared" si="12"/>
        <v>0.00%</v>
      </c>
      <c r="H34" s="2">
        <f t="shared" ref="H34:H39" si="18">ROUND(D34*(1+$I$19),0)</f>
        <v>0</v>
      </c>
      <c r="I34" s="871" t="str">
        <f t="shared" ref="I34:I39" si="19">TEXT($I$19,"0.0%")&amp;" = Est. S &amp; C"</f>
        <v>0.0% = Est. S &amp; C</v>
      </c>
      <c r="J34" s="66"/>
      <c r="K34" s="83" t="str">
        <f t="shared" si="13"/>
        <v>0.00%</v>
      </c>
      <c r="L34" s="2">
        <f>ROUND(H34*(1+M19),0)</f>
        <v>0</v>
      </c>
      <c r="M34" s="871" t="str">
        <f>TEXT(M19,"0.0%")&amp;" = Est. S &amp; C"</f>
        <v>0.0% = Est. S &amp; C</v>
      </c>
      <c r="O34" s="83" t="str">
        <f t="shared" si="14"/>
        <v>0.00%</v>
      </c>
      <c r="P34" s="2">
        <f>ROUND(L34*(1+Q19),0)</f>
        <v>0</v>
      </c>
      <c r="Q34" s="871" t="str">
        <f>TEXT(Q19,"0.0%")&amp;" = Est. S &amp; C"</f>
        <v>0.0% = Est. S &amp; C</v>
      </c>
      <c r="S34" s="83" t="str">
        <f t="shared" si="15"/>
        <v>0.00%</v>
      </c>
      <c r="T34" s="2">
        <f>ROUND(P34*(1+U19),0)</f>
        <v>0</v>
      </c>
      <c r="U34" s="36" t="str">
        <f>TEXT(U19,"0.0%")&amp;" = Est. S &amp; C"</f>
        <v>2.0% = Est. S &amp; C</v>
      </c>
      <c r="W34" s="83" t="str">
        <f t="shared" si="16"/>
        <v>0.00%</v>
      </c>
      <c r="X34" s="2">
        <f>ROUND(T34*(1+Y19),0)</f>
        <v>0</v>
      </c>
      <c r="Y34" s="36" t="str">
        <f>TEXT(Y19,"0.0%")&amp;" = Est. S &amp; C"</f>
        <v>2.0% = Est. S &amp; C</v>
      </c>
      <c r="AA34" s="83" t="str">
        <f t="shared" si="17"/>
        <v>0.00%</v>
      </c>
      <c r="AB34" s="2">
        <f>ROUND(X34*(1+AC19),0)</f>
        <v>0</v>
      </c>
      <c r="AC34" s="36" t="str">
        <f>TEXT(AC19,"0.0%")&amp;" = Est. S &amp; C"</f>
        <v>2.0% = Est. S &amp; C</v>
      </c>
    </row>
    <row r="35" spans="1:29" hidden="1" x14ac:dyDescent="0.25">
      <c r="A35" s="152"/>
      <c r="B35" s="939"/>
      <c r="D35" s="2">
        <v>0</v>
      </c>
      <c r="E35" s="863"/>
      <c r="F35" s="2"/>
      <c r="G35" s="83" t="str">
        <f t="shared" si="12"/>
        <v>0.00%</v>
      </c>
      <c r="H35" s="2">
        <f t="shared" si="18"/>
        <v>0</v>
      </c>
      <c r="I35" s="871" t="str">
        <f t="shared" si="19"/>
        <v>0.0% = Est. S &amp; C</v>
      </c>
      <c r="J35" s="66"/>
      <c r="K35" s="83" t="str">
        <f t="shared" si="13"/>
        <v>0.00%</v>
      </c>
      <c r="L35" s="2">
        <f>ROUND(H35*(1+M19),0)</f>
        <v>0</v>
      </c>
      <c r="M35" s="871" t="str">
        <f>TEXT(M19,"0.0%")&amp;" = Est. S &amp; C"</f>
        <v>0.0% = Est. S &amp; C</v>
      </c>
      <c r="O35" s="83" t="str">
        <f t="shared" si="14"/>
        <v>0.00%</v>
      </c>
      <c r="P35" s="2">
        <f>ROUND(L35*(1+Q19),0)</f>
        <v>0</v>
      </c>
      <c r="Q35" s="871" t="str">
        <f>TEXT(Q19,"0.0%")&amp;" = Est. S &amp; C"</f>
        <v>0.0% = Est. S &amp; C</v>
      </c>
      <c r="S35" s="83" t="str">
        <f t="shared" si="15"/>
        <v>0.00%</v>
      </c>
      <c r="T35" s="2">
        <f>ROUND(P35*(1+U19),0)</f>
        <v>0</v>
      </c>
      <c r="U35" s="36" t="str">
        <f>TEXT(U19,"0.0%")&amp;" = Est. S &amp; C"</f>
        <v>2.0% = Est. S &amp; C</v>
      </c>
      <c r="W35" s="83" t="str">
        <f t="shared" si="16"/>
        <v>0.00%</v>
      </c>
      <c r="X35" s="2">
        <f>ROUND(T35*(1+Y19),0)</f>
        <v>0</v>
      </c>
      <c r="Y35" s="36" t="str">
        <f>TEXT(Y19,"0.0%")&amp;" = Est. S &amp; C"</f>
        <v>2.0% = Est. S &amp; C</v>
      </c>
      <c r="AA35" s="83" t="str">
        <f t="shared" si="17"/>
        <v>0.00%</v>
      </c>
      <c r="AB35" s="2">
        <f>ROUND(X35*(1+AC19),0)</f>
        <v>0</v>
      </c>
      <c r="AC35" s="36" t="str">
        <f>TEXT(AC19,"0.0%")&amp;" = Est. S &amp; C"</f>
        <v>2.0% = Est. S &amp; C</v>
      </c>
    </row>
    <row r="36" spans="1:29" hidden="1" x14ac:dyDescent="0.25">
      <c r="A36" s="152"/>
      <c r="B36" s="939"/>
      <c r="D36" s="2">
        <v>0</v>
      </c>
      <c r="E36" s="863"/>
      <c r="F36" s="2"/>
      <c r="G36" s="83" t="str">
        <f t="shared" si="12"/>
        <v>0.00%</v>
      </c>
      <c r="H36" s="2">
        <f t="shared" si="18"/>
        <v>0</v>
      </c>
      <c r="I36" s="871" t="str">
        <f t="shared" si="19"/>
        <v>0.0% = Est. S &amp; C</v>
      </c>
      <c r="J36" s="66"/>
      <c r="K36" s="83" t="str">
        <f t="shared" si="13"/>
        <v>0.00%</v>
      </c>
      <c r="L36" s="2">
        <f>ROUND(H36*(1+M19),0)</f>
        <v>0</v>
      </c>
      <c r="M36" s="871" t="str">
        <f>TEXT(M19,"0.0%")&amp;" = Est. S &amp; C"</f>
        <v>0.0% = Est. S &amp; C</v>
      </c>
      <c r="O36" s="83" t="str">
        <f t="shared" si="14"/>
        <v>0.00%</v>
      </c>
      <c r="P36" s="2">
        <f>ROUND(L36*(1+Q19),0)</f>
        <v>0</v>
      </c>
      <c r="Q36" s="871" t="str">
        <f>TEXT(Q19,"0.0%")&amp;" = Est. S &amp; C"</f>
        <v>0.0% = Est. S &amp; C</v>
      </c>
      <c r="S36" s="83" t="str">
        <f t="shared" si="15"/>
        <v>0.00%</v>
      </c>
      <c r="T36" s="2">
        <f>ROUND(P36*(1+U19),0)</f>
        <v>0</v>
      </c>
      <c r="U36" s="36" t="str">
        <f>TEXT(U19,"0.0%")&amp;" = Est. S &amp; C"</f>
        <v>2.0% = Est. S &amp; C</v>
      </c>
      <c r="W36" s="83" t="str">
        <f t="shared" si="16"/>
        <v>0.00%</v>
      </c>
      <c r="X36" s="2">
        <f>ROUND(T36*(1+Y19),0)</f>
        <v>0</v>
      </c>
      <c r="Y36" s="36" t="str">
        <f>TEXT(Y19,"0.0%")&amp;" = Est. S &amp; C"</f>
        <v>2.0% = Est. S &amp; C</v>
      </c>
      <c r="AA36" s="83" t="str">
        <f t="shared" si="17"/>
        <v>0.00%</v>
      </c>
      <c r="AB36" s="2">
        <f>ROUND(X36*(1+AC19),0)</f>
        <v>0</v>
      </c>
      <c r="AC36" s="36" t="str">
        <f>TEXT(AC19,"0.0%")&amp;" = Est. S &amp; C"</f>
        <v>2.0% = Est. S &amp; C</v>
      </c>
    </row>
    <row r="37" spans="1:29" hidden="1" x14ac:dyDescent="0.25">
      <c r="A37" s="152"/>
      <c r="B37" s="939"/>
      <c r="D37" s="2">
        <v>0</v>
      </c>
      <c r="E37" s="863"/>
      <c r="F37" s="2"/>
      <c r="G37" s="83" t="str">
        <f t="shared" si="12"/>
        <v>0.00%</v>
      </c>
      <c r="H37" s="2">
        <f t="shared" si="18"/>
        <v>0</v>
      </c>
      <c r="I37" s="871" t="str">
        <f t="shared" si="19"/>
        <v>0.0% = Est. S &amp; C</v>
      </c>
      <c r="J37" s="66"/>
      <c r="K37" s="83" t="str">
        <f t="shared" si="13"/>
        <v>0.00%</v>
      </c>
      <c r="L37" s="2">
        <f>ROUND(H37*(1+M19),0)</f>
        <v>0</v>
      </c>
      <c r="M37" s="871" t="str">
        <f>TEXT(M19,"0.0%")&amp;" = Est. S &amp; C"</f>
        <v>0.0% = Est. S &amp; C</v>
      </c>
      <c r="O37" s="83" t="str">
        <f t="shared" si="14"/>
        <v>0.00%</v>
      </c>
      <c r="P37" s="2">
        <f>ROUND(L37*(1+Q19),0)</f>
        <v>0</v>
      </c>
      <c r="Q37" s="871" t="str">
        <f>TEXT(Q19,"0.0%")&amp;" = Est. S &amp; C"</f>
        <v>0.0% = Est. S &amp; C</v>
      </c>
      <c r="S37" s="83" t="str">
        <f t="shared" si="15"/>
        <v>0.00%</v>
      </c>
      <c r="T37" s="2">
        <f>ROUND(P37*(1+U19),0)</f>
        <v>0</v>
      </c>
      <c r="U37" s="36" t="str">
        <f>TEXT(U19,"0.0%")&amp;" = Est. S &amp; C"</f>
        <v>2.0% = Est. S &amp; C</v>
      </c>
      <c r="W37" s="83" t="str">
        <f t="shared" si="16"/>
        <v>0.00%</v>
      </c>
      <c r="X37" s="2">
        <f>ROUND(T37*(1+Y19),0)</f>
        <v>0</v>
      </c>
      <c r="Y37" s="36" t="str">
        <f>TEXT(Y19,"0.0%")&amp;" = Est. S &amp; C"</f>
        <v>2.0% = Est. S &amp; C</v>
      </c>
      <c r="AA37" s="83" t="str">
        <f t="shared" si="17"/>
        <v>0.00%</v>
      </c>
      <c r="AB37" s="2">
        <f>ROUND(X37*(1+AC19),0)</f>
        <v>0</v>
      </c>
      <c r="AC37" s="36" t="str">
        <f>TEXT(AC19,"0.0%")&amp;" = Est. S &amp; C"</f>
        <v>2.0% = Est. S &amp; C</v>
      </c>
    </row>
    <row r="38" spans="1:29" hidden="1" x14ac:dyDescent="0.25">
      <c r="A38" s="152"/>
      <c r="B38" s="939"/>
      <c r="D38" s="2">
        <v>0</v>
      </c>
      <c r="E38" s="863"/>
      <c r="F38" s="2"/>
      <c r="G38" s="83" t="str">
        <f t="shared" si="12"/>
        <v>0.00%</v>
      </c>
      <c r="H38" s="2">
        <f t="shared" si="18"/>
        <v>0</v>
      </c>
      <c r="I38" s="871" t="str">
        <f t="shared" si="19"/>
        <v>0.0% = Est. S &amp; C</v>
      </c>
      <c r="J38" s="66"/>
      <c r="K38" s="83" t="str">
        <f t="shared" si="13"/>
        <v>0.00%</v>
      </c>
      <c r="L38" s="2">
        <f>ROUND(H38*(1+M19),0)</f>
        <v>0</v>
      </c>
      <c r="M38" s="871" t="str">
        <f>TEXT(M19,"0.0%")&amp;" = Est. S &amp; C"</f>
        <v>0.0% = Est. S &amp; C</v>
      </c>
      <c r="O38" s="83" t="str">
        <f t="shared" si="14"/>
        <v>0.00%</v>
      </c>
      <c r="P38" s="2">
        <f>ROUND(L38*(1+Q19),0)</f>
        <v>0</v>
      </c>
      <c r="Q38" s="871" t="str">
        <f>TEXT(Q19,"0.0%")&amp;" = Est. S &amp; C"</f>
        <v>0.0% = Est. S &amp; C</v>
      </c>
      <c r="S38" s="83" t="str">
        <f t="shared" si="15"/>
        <v>0.00%</v>
      </c>
      <c r="T38" s="2">
        <f>ROUND(P38*(1+U19),0)</f>
        <v>0</v>
      </c>
      <c r="U38" s="36" t="str">
        <f>TEXT(U19,"0.0%")&amp;" = Est. S &amp; C"</f>
        <v>2.0% = Est. S &amp; C</v>
      </c>
      <c r="W38" s="83" t="str">
        <f t="shared" si="16"/>
        <v>0.00%</v>
      </c>
      <c r="X38" s="2">
        <f>ROUND(T38*(1+Y19),0)</f>
        <v>0</v>
      </c>
      <c r="Y38" s="36" t="str">
        <f>TEXT(Y19,"0.0%")&amp;" = Est. S &amp; C"</f>
        <v>2.0% = Est. S &amp; C</v>
      </c>
      <c r="AA38" s="83" t="str">
        <f t="shared" si="17"/>
        <v>0.00%</v>
      </c>
      <c r="AB38" s="2">
        <f>ROUND(X38*(1+AC19),0)</f>
        <v>0</v>
      </c>
      <c r="AC38" s="36" t="str">
        <f>TEXT(AC19,"0.0%")&amp;" = Est. S &amp; C"</f>
        <v>2.0% = Est. S &amp; C</v>
      </c>
    </row>
    <row r="39" spans="1:29" hidden="1" x14ac:dyDescent="0.25">
      <c r="A39" s="152"/>
      <c r="B39" s="939"/>
      <c r="D39" s="2">
        <v>0</v>
      </c>
      <c r="E39" s="863"/>
      <c r="F39" s="2"/>
      <c r="G39" s="83" t="str">
        <f t="shared" si="12"/>
        <v>0.00%</v>
      </c>
      <c r="H39" s="2">
        <f t="shared" si="18"/>
        <v>0</v>
      </c>
      <c r="I39" s="871" t="str">
        <f t="shared" si="19"/>
        <v>0.0% = Est. S &amp; C</v>
      </c>
      <c r="J39" s="66"/>
      <c r="K39" s="83" t="str">
        <f t="shared" si="13"/>
        <v>0.00%</v>
      </c>
      <c r="L39" s="2">
        <f>ROUND(H39*(1+M19),0)</f>
        <v>0</v>
      </c>
      <c r="M39" s="871" t="str">
        <f>TEXT(M19,"0.0%")&amp;" = Est. S &amp; C"</f>
        <v>0.0% = Est. S &amp; C</v>
      </c>
      <c r="O39" s="83" t="str">
        <f t="shared" si="14"/>
        <v>0.00%</v>
      </c>
      <c r="P39" s="2">
        <f>ROUND(L39*(1+Q19),0)</f>
        <v>0</v>
      </c>
      <c r="Q39" s="871" t="str">
        <f>TEXT(Q19,"0.0%")&amp;" = Est. S &amp; C"</f>
        <v>0.0% = Est. S &amp; C</v>
      </c>
      <c r="S39" s="83" t="str">
        <f t="shared" si="15"/>
        <v>0.00%</v>
      </c>
      <c r="T39" s="2">
        <f>ROUND(P39*(1+U19),0)</f>
        <v>0</v>
      </c>
      <c r="U39" s="36" t="str">
        <f>TEXT(U19,"0.0%")&amp;" = Est. S &amp; C"</f>
        <v>2.0% = Est. S &amp; C</v>
      </c>
      <c r="W39" s="83" t="str">
        <f t="shared" si="16"/>
        <v>0.00%</v>
      </c>
      <c r="X39" s="2">
        <f>ROUND(T39*(1+Y19),0)</f>
        <v>0</v>
      </c>
      <c r="Y39" s="36" t="str">
        <f>TEXT(Y19,"0.0%")&amp;" = Est. S &amp; C"</f>
        <v>2.0% = Est. S &amp; C</v>
      </c>
      <c r="AA39" s="83" t="str">
        <f t="shared" si="17"/>
        <v>0.00%</v>
      </c>
      <c r="AB39" s="2">
        <f>ROUND(X39*(1+AC19),0)</f>
        <v>0</v>
      </c>
      <c r="AC39" s="36" t="str">
        <f>TEXT(AC19,"0.0%")&amp;" = Est. S &amp; C"</f>
        <v>2.0% = Est. S &amp; C</v>
      </c>
    </row>
    <row r="40" spans="1:29" ht="6" customHeight="1" x14ac:dyDescent="0.25">
      <c r="A40" s="152"/>
      <c r="B40" s="939"/>
      <c r="E40" s="863"/>
      <c r="F40" s="2"/>
      <c r="H40" s="2"/>
      <c r="I40" s="871"/>
      <c r="J40" s="66"/>
      <c r="L40" s="2"/>
      <c r="M40" s="948"/>
      <c r="Q40" s="948"/>
      <c r="T40" s="2"/>
      <c r="U40" s="73"/>
      <c r="X40" s="2"/>
      <c r="Y40" s="73"/>
      <c r="AB40" s="2"/>
      <c r="AC40" s="73"/>
    </row>
    <row r="41" spans="1:29" x14ac:dyDescent="0.25">
      <c r="A41" s="153"/>
      <c r="B41" s="939"/>
      <c r="D41" s="8">
        <f>SUM(D33:D40)</f>
        <v>13333.66</v>
      </c>
      <c r="E41" s="863"/>
      <c r="F41" s="2"/>
      <c r="G41" s="83">
        <f>IF(D41=0,"0.00%",(H41-D41)/D41)</f>
        <v>4.6599358315721276E-2</v>
      </c>
      <c r="H41" s="8">
        <f>SUM(H33:H40)</f>
        <v>13955</v>
      </c>
      <c r="I41" s="1292">
        <f>+H41-D41</f>
        <v>621.34000000000015</v>
      </c>
      <c r="J41" s="29"/>
      <c r="K41" s="83">
        <f>IF(H41=0,"0.00%",(L41-H41)/H41)</f>
        <v>0</v>
      </c>
      <c r="L41" s="8">
        <f>SUM(L33:L40)</f>
        <v>13955</v>
      </c>
      <c r="M41" s="1292">
        <f>+L41-H41</f>
        <v>0</v>
      </c>
      <c r="O41" s="83">
        <f>IF(L41=0,"0.00%",(P41-L41)/L41)</f>
        <v>0</v>
      </c>
      <c r="P41" s="8">
        <f>SUM(P33:P40)</f>
        <v>13955</v>
      </c>
      <c r="Q41" s="1292">
        <f>+P41-L41</f>
        <v>0</v>
      </c>
      <c r="S41" s="83">
        <f>IF(P41=0,"0.00%",(T41-P41)/P41)</f>
        <v>0</v>
      </c>
      <c r="T41" s="8">
        <f>SUM(T33:T40)</f>
        <v>13955</v>
      </c>
      <c r="U41" s="73"/>
      <c r="W41" s="83">
        <f>IF(T41=0,"0.00%",(X41-T41)/T41)</f>
        <v>1.9992834109638122E-2</v>
      </c>
      <c r="X41" s="8">
        <f>SUM(X33:X40)</f>
        <v>14234</v>
      </c>
      <c r="Y41" s="73"/>
      <c r="AA41" s="83">
        <f>IF(X41=0,"0.00%",(AB41-X41)/X41)</f>
        <v>2.0022481382605029E-2</v>
      </c>
      <c r="AB41" s="8">
        <f>SUM(AB33:AB40)</f>
        <v>14519</v>
      </c>
      <c r="AC41" s="73"/>
    </row>
    <row r="42" spans="1:29" x14ac:dyDescent="0.25">
      <c r="A42" s="152"/>
      <c r="B42" s="930" t="s">
        <v>28</v>
      </c>
      <c r="E42" s="863"/>
      <c r="F42" s="2"/>
      <c r="H42" s="2"/>
      <c r="I42" s="871"/>
      <c r="J42" s="66"/>
      <c r="L42" s="2"/>
      <c r="M42" s="948"/>
      <c r="Q42" s="948"/>
      <c r="T42" s="2"/>
      <c r="U42" s="73"/>
      <c r="X42" s="2"/>
      <c r="Y42" s="73"/>
      <c r="AB42" s="2"/>
      <c r="AC42" s="73"/>
    </row>
    <row r="43" spans="1:29" x14ac:dyDescent="0.25">
      <c r="A43" s="154"/>
      <c r="B43" s="936" t="s">
        <v>27</v>
      </c>
      <c r="E43" s="863"/>
      <c r="F43" s="2"/>
      <c r="H43" s="2"/>
      <c r="I43" s="871"/>
      <c r="J43" s="66"/>
      <c r="L43" s="2"/>
      <c r="M43" s="948"/>
      <c r="Q43" s="948"/>
      <c r="T43" s="2"/>
      <c r="U43" s="73"/>
      <c r="X43" s="2"/>
      <c r="Y43" s="73"/>
      <c r="AB43" s="2"/>
      <c r="AC43" s="73"/>
    </row>
    <row r="44" spans="1:29" x14ac:dyDescent="0.25">
      <c r="A44" s="152"/>
      <c r="B44" s="939" t="s">
        <v>83</v>
      </c>
      <c r="C44" s="857" t="s">
        <v>76</v>
      </c>
      <c r="D44" s="2">
        <v>1677.37</v>
      </c>
      <c r="E44" s="854" t="str">
        <f>TEXT('MYP Assumptions'!$D$55,"0.00%")&amp;", STRS rate"</f>
        <v>12.58%, STRS rate</v>
      </c>
      <c r="F44" s="2"/>
      <c r="G44" s="83">
        <f t="shared" ref="G44:G53" si="20">IF(D44=0,"0.00%",(H44-D44)/D44)</f>
        <v>0.20009300273642674</v>
      </c>
      <c r="H44" s="2">
        <f>ROUND(H41*LEFT(I44,6),0)-1</f>
        <v>2013</v>
      </c>
      <c r="I44" s="854" t="str">
        <f>TEXT('MYP Assumptions'!E55,"0.00%")&amp;", projected STRS rate"</f>
        <v>14.43%, projected STRS rate</v>
      </c>
      <c r="J44" s="66"/>
      <c r="K44" s="83">
        <f t="shared" ref="K44:K53" si="21">IF(H44=0,"0.00%",(L44-H44)/H44)</f>
        <v>0.12866368604073522</v>
      </c>
      <c r="L44" s="2">
        <f>ROUND(L41*LEFT(M44,6),0)</f>
        <v>2272</v>
      </c>
      <c r="M44" s="854" t="str">
        <f>TEXT('MYP Assumptions'!F55,"0.00%")&amp;", projected STRS rate"</f>
        <v>16.28%, projected STRS rate</v>
      </c>
      <c r="O44" s="83">
        <f t="shared" ref="O44:O53" si="22">IF(L44=0,"0.00%",(P44-L44)/L44)</f>
        <v>0.11355633802816902</v>
      </c>
      <c r="P44" s="2">
        <f>ROUND(P41*LEFT(Q44,6),0)</f>
        <v>2530</v>
      </c>
      <c r="Q44" s="854" t="str">
        <f>TEXT('MYP Assumptions'!G55,"0.00%")&amp;", projected STRS rate"</f>
        <v>18.13%, projected STRS rate</v>
      </c>
      <c r="S44" s="83">
        <f t="shared" ref="S44:S53" si="23">IF(P44=0,"0.00%",(T44-P44)/P44)</f>
        <v>-1</v>
      </c>
      <c r="T44" s="2">
        <f>ROUND(T30*LEFT(U44,6),0)</f>
        <v>0</v>
      </c>
      <c r="U44" s="81" t="str">
        <f>TEXT('MYP Assumptions'!H55,"0.00%")&amp;", projected STRS rate"</f>
        <v>19.10%, projected STRS rate</v>
      </c>
      <c r="W44" s="83" t="str">
        <f t="shared" ref="W44:W53" si="24">IF(T44=0,"0.00%",(X44-T44)/T44)</f>
        <v>0.00%</v>
      </c>
      <c r="X44" s="2">
        <f>ROUND(X30*LEFT(Y44,6),0)</f>
        <v>0</v>
      </c>
      <c r="Y44" s="81" t="str">
        <f>TEXT('MYP Assumptions'!I55,"0.00%")&amp;", projected STRS rate"</f>
        <v>19.10%, projected STRS rate</v>
      </c>
      <c r="AA44" s="83" t="str">
        <f t="shared" ref="AA44:AA53" si="25">IF(X44=0,"0.00%",(AB44-X44)/X44)</f>
        <v>0.00%</v>
      </c>
      <c r="AB44" s="2">
        <f>ROUND(AB30*LEFT(AC44,6),0)</f>
        <v>0</v>
      </c>
      <c r="AC44" s="81" t="str">
        <f>TEXT('MYP Assumptions'!J55,"0.00%")&amp;", projected STRS rate"</f>
        <v>19.10%, projected STRS rate</v>
      </c>
    </row>
    <row r="45" spans="1:29" x14ac:dyDescent="0.25">
      <c r="A45" s="152"/>
      <c r="B45" s="939" t="s">
        <v>84</v>
      </c>
      <c r="C45" s="857" t="s">
        <v>77</v>
      </c>
      <c r="D45" s="2">
        <v>0</v>
      </c>
      <c r="E45" s="854" t="str">
        <f>TEXT('MYP Assumptions'!$D$56,"0.00%")&amp;", PERS rate"</f>
        <v>13.89%, PERS rate</v>
      </c>
      <c r="F45" s="2"/>
      <c r="G45" s="83" t="str">
        <f t="shared" si="20"/>
        <v>0.00%</v>
      </c>
      <c r="H45" s="2">
        <v>0</v>
      </c>
      <c r="I45" s="854" t="str">
        <f>TEXT('MYP Assumptions'!E56,"0.00%")&amp;", projected PERS rate"</f>
        <v>15.53%, projected PERS rate</v>
      </c>
      <c r="J45" s="66"/>
      <c r="K45" s="83" t="str">
        <f t="shared" si="21"/>
        <v>0.00%</v>
      </c>
      <c r="L45" s="2">
        <v>0</v>
      </c>
      <c r="M45" s="854" t="str">
        <f>TEXT('MYP Assumptions'!F56,"0.00%")&amp;", projected PERS rate"</f>
        <v>18.10%, projected PERS rate</v>
      </c>
      <c r="O45" s="83" t="str">
        <f t="shared" si="22"/>
        <v>0.00%</v>
      </c>
      <c r="P45" s="2">
        <v>0</v>
      </c>
      <c r="Q45" s="854" t="str">
        <f>TEXT('MYP Assumptions'!G56,"0.00%")&amp;", projected PERS rate"</f>
        <v>20.80%, projected PERS rate</v>
      </c>
      <c r="S45" s="83" t="str">
        <f t="shared" si="23"/>
        <v>0.00%</v>
      </c>
      <c r="T45" s="2">
        <f>ROUND(T41*LEFT(U45,6),0)</f>
        <v>3321</v>
      </c>
      <c r="U45" s="81" t="str">
        <f>TEXT('MYP Assumptions'!H56,"0.00%")&amp;", projected PERS rate"</f>
        <v>23.80%, projected PERS rate</v>
      </c>
      <c r="W45" s="83">
        <f t="shared" si="24"/>
        <v>8.009635651912074E-2</v>
      </c>
      <c r="X45" s="2">
        <f>ROUND(X41*LEFT(Y45,6),0)</f>
        <v>3587</v>
      </c>
      <c r="Y45" s="81" t="str">
        <f>TEXT('MYP Assumptions'!I56,"0.00%")&amp;", projected PERS rate"</f>
        <v>25.20%, projected PERS rate</v>
      </c>
      <c r="AA45" s="83">
        <f t="shared" si="25"/>
        <v>5.6314468915528298E-2</v>
      </c>
      <c r="AB45" s="2">
        <f>ROUND(AB41*LEFT(AC45,6),0)</f>
        <v>3789</v>
      </c>
      <c r="AC45" s="81" t="str">
        <f>TEXT('MYP Assumptions'!J56,"0.00%")&amp;", projected PERS rate"</f>
        <v>26.10%, projected PERS rate</v>
      </c>
    </row>
    <row r="46" spans="1:29" x14ac:dyDescent="0.25">
      <c r="A46" s="152"/>
      <c r="B46" s="939" t="s">
        <v>85</v>
      </c>
      <c r="C46" s="857" t="s">
        <v>78</v>
      </c>
      <c r="D46" s="2">
        <v>0</v>
      </c>
      <c r="E46" s="854" t="str">
        <f>TEXT('MYP Assumptions'!$D$57,"0.00%")&amp;", SS rate"</f>
        <v>6.20%, SS rate</v>
      </c>
      <c r="F46" s="2"/>
      <c r="G46" s="83" t="str">
        <f t="shared" si="20"/>
        <v>0.00%</v>
      </c>
      <c r="H46" s="2">
        <v>0</v>
      </c>
      <c r="I46" s="854" t="str">
        <f>TEXT('MYP Assumptions'!E57,"0.00%")&amp;", no rate change"</f>
        <v>6.20%, no rate change</v>
      </c>
      <c r="J46" s="66"/>
      <c r="K46" s="83" t="str">
        <f t="shared" si="21"/>
        <v>0.00%</v>
      </c>
      <c r="L46" s="2">
        <v>0</v>
      </c>
      <c r="M46" s="854" t="str">
        <f>TEXT('MYP Assumptions'!F57,"0.00%")&amp;", no rate change"</f>
        <v>6.20%, no rate change</v>
      </c>
      <c r="O46" s="83" t="str">
        <f t="shared" si="22"/>
        <v>0.00%</v>
      </c>
      <c r="P46" s="2">
        <v>0</v>
      </c>
      <c r="Q46" s="854" t="str">
        <f>TEXT('MYP Assumptions'!G57,"0.00%")&amp;", no rate change"</f>
        <v>6.20%, no rate change</v>
      </c>
      <c r="S46" s="83" t="str">
        <f t="shared" si="23"/>
        <v>0.00%</v>
      </c>
      <c r="T46" s="2">
        <f>ROUND(T41*LEFT(U46,5),0)</f>
        <v>865</v>
      </c>
      <c r="U46" s="81" t="str">
        <f>TEXT('MYP Assumptions'!H57,"0.00%")&amp;", no rate change"</f>
        <v>6.20%, no rate change</v>
      </c>
      <c r="W46" s="83">
        <f t="shared" si="24"/>
        <v>2.0809248554913295E-2</v>
      </c>
      <c r="X46" s="2">
        <f>ROUND(X41*LEFT(Y46,5),0)</f>
        <v>883</v>
      </c>
      <c r="Y46" s="81" t="str">
        <f>TEXT('MYP Assumptions'!I57,"0.00%")&amp;", no rate change"</f>
        <v>6.20%, no rate change</v>
      </c>
      <c r="AA46" s="83">
        <f t="shared" si="25"/>
        <v>1.9252548131370329E-2</v>
      </c>
      <c r="AB46" s="2">
        <f>ROUND(AB41*LEFT(AC46,5),0)</f>
        <v>900</v>
      </c>
      <c r="AC46" s="81" t="str">
        <f>TEXT('MYP Assumptions'!J57,"0.00%")&amp;", no rate change"</f>
        <v>6.20%, no rate change</v>
      </c>
    </row>
    <row r="47" spans="1:29" x14ac:dyDescent="0.25">
      <c r="A47" s="152"/>
      <c r="B47" s="939" t="s">
        <v>86</v>
      </c>
      <c r="C47" s="857" t="s">
        <v>79</v>
      </c>
      <c r="D47" s="2">
        <v>193.34</v>
      </c>
      <c r="E47" s="854" t="str">
        <f>TEXT('MYP Assumptions'!$D$58,"0.00%")&amp;", Medicare rate"</f>
        <v>1.45%, Medicare rate</v>
      </c>
      <c r="F47" s="2"/>
      <c r="G47" s="83">
        <f t="shared" si="20"/>
        <v>4.4791558911761647E-2</v>
      </c>
      <c r="H47" s="2">
        <f>ROUND((H41+H30)*LEFT(I47,5),0)</f>
        <v>202</v>
      </c>
      <c r="I47" s="854" t="str">
        <f>TEXT('MYP Assumptions'!E58,"0.00%")&amp;", no rate change"</f>
        <v>1.45%, no rate change</v>
      </c>
      <c r="J47" s="66"/>
      <c r="K47" s="83">
        <f t="shared" si="21"/>
        <v>0</v>
      </c>
      <c r="L47" s="2">
        <f>ROUND((L41+L30)*LEFT(M47,5),0)</f>
        <v>202</v>
      </c>
      <c r="M47" s="854" t="str">
        <f>TEXT('MYP Assumptions'!F58,"0.00%")&amp;", no rate change"</f>
        <v>1.45%, no rate change</v>
      </c>
      <c r="O47" s="83">
        <f t="shared" si="22"/>
        <v>0</v>
      </c>
      <c r="P47" s="2">
        <f>ROUND((P41+P30)*LEFT(Q47,5),0)</f>
        <v>202</v>
      </c>
      <c r="Q47" s="854" t="str">
        <f>TEXT('MYP Assumptions'!G58,"0.00%")&amp;", no rate change"</f>
        <v>1.45%, no rate change</v>
      </c>
      <c r="S47" s="83">
        <f t="shared" si="23"/>
        <v>0</v>
      </c>
      <c r="T47" s="2">
        <f>ROUND((T41+T30)*LEFT(U47,5),0)</f>
        <v>202</v>
      </c>
      <c r="U47" s="81" t="str">
        <f>TEXT('MYP Assumptions'!H58,"0.00%")&amp;", no rate change"</f>
        <v>1.45%, no rate change</v>
      </c>
      <c r="W47" s="83">
        <f t="shared" si="24"/>
        <v>1.9801980198019802E-2</v>
      </c>
      <c r="X47" s="2">
        <f>ROUND((X41+X30)*LEFT(Y47,5),0)</f>
        <v>206</v>
      </c>
      <c r="Y47" s="81" t="str">
        <f>TEXT('MYP Assumptions'!I58,"0.00%")&amp;", no rate change"</f>
        <v>1.45%, no rate change</v>
      </c>
      <c r="AA47" s="83">
        <f t="shared" si="25"/>
        <v>2.4271844660194174E-2</v>
      </c>
      <c r="AB47" s="2">
        <f>ROUND((AB41+AB30)*LEFT(AC47,5),0)</f>
        <v>211</v>
      </c>
      <c r="AC47" s="81" t="str">
        <f>TEXT('MYP Assumptions'!J58,"0.00%")&amp;", no rate change"</f>
        <v>1.45%, no rate change</v>
      </c>
    </row>
    <row r="48" spans="1:29" x14ac:dyDescent="0.25">
      <c r="A48" s="152"/>
      <c r="B48" s="939" t="s">
        <v>87</v>
      </c>
      <c r="C48" s="857" t="s">
        <v>80</v>
      </c>
      <c r="D48" s="2">
        <v>2000.05</v>
      </c>
      <c r="E48" s="854"/>
      <c r="F48" s="2"/>
      <c r="G48" s="83">
        <f t="shared" si="20"/>
        <v>-0.54801129971750706</v>
      </c>
      <c r="H48" s="2">
        <v>904</v>
      </c>
      <c r="I48" s="854"/>
      <c r="J48" s="66"/>
      <c r="K48" s="83">
        <f t="shared" si="21"/>
        <v>6.9690265486725661E-2</v>
      </c>
      <c r="L48" s="2">
        <f>ROUND((H48)*(LEFT(M48,5)+1),0)</f>
        <v>967</v>
      </c>
      <c r="M48" s="854" t="str">
        <f>TEXT('MYP Assumptions'!$M$65,"0.00%")&amp;", projected increase"</f>
        <v>7.00%, projected increase</v>
      </c>
      <c r="O48" s="83">
        <f t="shared" si="22"/>
        <v>7.0320579110651496E-2</v>
      </c>
      <c r="P48" s="2">
        <f>ROUND((L48)*(LEFT(Q48,5)+1),0)</f>
        <v>1035</v>
      </c>
      <c r="Q48" s="854" t="str">
        <f>TEXT('MYP Assumptions'!$M$65,"0.00%")&amp;", projected increase"</f>
        <v>7.00%, projected increase</v>
      </c>
      <c r="S48" s="83">
        <f t="shared" si="23"/>
        <v>6.9565217391304349E-2</v>
      </c>
      <c r="T48" s="2">
        <f>ROUND((P48)*(LEFT(U48,5)+1),0)</f>
        <v>1107</v>
      </c>
      <c r="U48" s="81" t="str">
        <f>TEXT('MYP Assumptions'!$M$65,"0.00%")&amp;", projected increase"</f>
        <v>7.00%, projected increase</v>
      </c>
      <c r="W48" s="83">
        <f t="shared" si="24"/>
        <v>6.9557362240289064E-2</v>
      </c>
      <c r="X48" s="2">
        <f>ROUND((T48)*(LEFT(Y48,5)+1),0)</f>
        <v>1184</v>
      </c>
      <c r="Y48" s="81" t="str">
        <f>TEXT('MYP Assumptions'!$M$65,"0.00%")&amp;", projected increase"</f>
        <v>7.00%, projected increase</v>
      </c>
      <c r="AA48" s="83">
        <f t="shared" si="25"/>
        <v>7.0101351351351357E-2</v>
      </c>
      <c r="AB48" s="2">
        <f>ROUND((X48)*(LEFT(AC48,5)+1),0)</f>
        <v>1267</v>
      </c>
      <c r="AC48" s="81" t="str">
        <f>TEXT('MYP Assumptions'!$M$65,"0.00%")&amp;", projected increase"</f>
        <v>7.00%, projected increase</v>
      </c>
    </row>
    <row r="49" spans="1:29" x14ac:dyDescent="0.25">
      <c r="A49" s="152"/>
      <c r="B49" s="939" t="s">
        <v>88</v>
      </c>
      <c r="C49" s="857" t="s">
        <v>81</v>
      </c>
      <c r="D49" s="2">
        <v>6.67</v>
      </c>
      <c r="E49" s="854" t="str">
        <f>TEXT('MYP Assumptions'!$D$59,"0.00%")&amp;", SUI rate"</f>
        <v>0.05%, SUI rate</v>
      </c>
      <c r="F49" s="2"/>
      <c r="G49" s="83">
        <f t="shared" si="20"/>
        <v>4.9475262368815602E-2</v>
      </c>
      <c r="H49" s="2">
        <f>ROUND((H41+H30)*LEFT(I49,5),0)</f>
        <v>7</v>
      </c>
      <c r="I49" s="854" t="str">
        <f>TEXT('MYP Assumptions'!E59,"0.00%")&amp;", no rate change"</f>
        <v>0.05%, no rate change</v>
      </c>
      <c r="J49" s="66"/>
      <c r="K49" s="83">
        <f t="shared" si="21"/>
        <v>0</v>
      </c>
      <c r="L49" s="2">
        <f>ROUND((L41+L30)*LEFT(M49,5),0)</f>
        <v>7</v>
      </c>
      <c r="M49" s="854" t="str">
        <f>TEXT('MYP Assumptions'!F59,"0.00%")&amp;", no rate change"</f>
        <v>0.05%, no rate change</v>
      </c>
      <c r="O49" s="83">
        <f t="shared" si="22"/>
        <v>0</v>
      </c>
      <c r="P49" s="2">
        <f>ROUND((P41+P30)*LEFT(Q49,5),0)</f>
        <v>7</v>
      </c>
      <c r="Q49" s="854" t="str">
        <f>TEXT('MYP Assumptions'!G59,"0.00%")&amp;", no rate change"</f>
        <v>0.05%, no rate change</v>
      </c>
      <c r="S49" s="83">
        <f t="shared" si="23"/>
        <v>0</v>
      </c>
      <c r="T49" s="2">
        <f>ROUND((T41+T30)*LEFT(U49,5),0)</f>
        <v>7</v>
      </c>
      <c r="U49" s="81" t="str">
        <f>TEXT('MYP Assumptions'!H59,"0.00%")&amp;", no rate change"</f>
        <v>0.05%, no rate change</v>
      </c>
      <c r="W49" s="83">
        <f t="shared" si="24"/>
        <v>0</v>
      </c>
      <c r="X49" s="2">
        <f>ROUND((X41+X30)*LEFT(Y49,5),0)</f>
        <v>7</v>
      </c>
      <c r="Y49" s="81" t="str">
        <f>TEXT('MYP Assumptions'!I59,"0.00%")&amp;", no rate change"</f>
        <v>0.05%, no rate change</v>
      </c>
      <c r="AA49" s="83">
        <f t="shared" si="25"/>
        <v>0</v>
      </c>
      <c r="AB49" s="2">
        <f>ROUND((AB41+AB30)*LEFT(AC49,5),0)</f>
        <v>7</v>
      </c>
      <c r="AC49" s="81" t="str">
        <f>TEXT('MYP Assumptions'!J59,"0.00%")&amp;", no rate change"</f>
        <v>0.05%, no rate change</v>
      </c>
    </row>
    <row r="50" spans="1:29" x14ac:dyDescent="0.25">
      <c r="A50" s="152"/>
      <c r="B50" s="939" t="s">
        <v>89</v>
      </c>
      <c r="C50" s="857" t="s">
        <v>82</v>
      </c>
      <c r="D50" s="2">
        <v>146.66999999999999</v>
      </c>
      <c r="E50" s="854" t="str">
        <f>TEXT('MYP Assumptions'!$D$60,"0.00%")&amp;", W/C rate"</f>
        <v>1.10%, W/C rate</v>
      </c>
      <c r="F50" s="2"/>
      <c r="G50" s="83">
        <f t="shared" si="20"/>
        <v>4.9976136905979497E-2</v>
      </c>
      <c r="H50" s="2">
        <v>154</v>
      </c>
      <c r="I50" s="854" t="str">
        <f>TEXT('MYP Assumptions'!E60,"0.00%")&amp;", no rate change"</f>
        <v>0.80%, no rate change</v>
      </c>
      <c r="J50" s="66"/>
      <c r="K50" s="83">
        <f t="shared" si="21"/>
        <v>-0.27272727272727271</v>
      </c>
      <c r="L50" s="2">
        <f>ROUND((L41+L30)*LEFT(M50,5),0)</f>
        <v>112</v>
      </c>
      <c r="M50" s="854" t="str">
        <f>TEXT('MYP Assumptions'!F60,"0.00%")&amp;", no rate change"</f>
        <v>0.80%, no rate change</v>
      </c>
      <c r="O50" s="83">
        <f t="shared" si="22"/>
        <v>0</v>
      </c>
      <c r="P50" s="2">
        <f>ROUND((P41+P30)*LEFT(Q50,5),0)</f>
        <v>112</v>
      </c>
      <c r="Q50" s="854" t="str">
        <f>TEXT('MYP Assumptions'!G60,"0.00%")&amp;", no rate change"</f>
        <v>0.80%, no rate change</v>
      </c>
      <c r="S50" s="83">
        <f t="shared" si="23"/>
        <v>0</v>
      </c>
      <c r="T50" s="2">
        <f>ROUND((T41+T30)*LEFT(U50,5),0)</f>
        <v>112</v>
      </c>
      <c r="U50" s="81" t="str">
        <f>TEXT('MYP Assumptions'!H60,"0.00%")&amp;", no rate change"</f>
        <v>0.80%, no rate change</v>
      </c>
      <c r="W50" s="83">
        <f t="shared" si="24"/>
        <v>1.7857142857142856E-2</v>
      </c>
      <c r="X50" s="2">
        <f>ROUND((X41+X30)*LEFT(Y50,5),0)</f>
        <v>114</v>
      </c>
      <c r="Y50" s="81" t="str">
        <f>TEXT('MYP Assumptions'!I60,"0.00%")&amp;", no rate change"</f>
        <v>0.80%, no rate change</v>
      </c>
      <c r="AA50" s="83">
        <f t="shared" si="25"/>
        <v>1.7543859649122806E-2</v>
      </c>
      <c r="AB50" s="2">
        <f>ROUND((AB41+AB30)*LEFT(AC50,5),0)</f>
        <v>116</v>
      </c>
      <c r="AC50" s="81" t="str">
        <f>TEXT('MYP Assumptions'!J60,"0.00%")&amp;", no rate change"</f>
        <v>0.80%, no rate change</v>
      </c>
    </row>
    <row r="51" spans="1:29" x14ac:dyDescent="0.25">
      <c r="A51" s="152"/>
      <c r="B51" s="939" t="s">
        <v>91</v>
      </c>
      <c r="C51" s="857" t="s">
        <v>93</v>
      </c>
      <c r="D51" s="2">
        <v>0</v>
      </c>
      <c r="E51" s="863"/>
      <c r="F51" s="2"/>
      <c r="G51" s="83" t="str">
        <f t="shared" ref="G51" si="26">IF(D51=0,"0.00%",(H51-D51)/D51)</f>
        <v>0.00%</v>
      </c>
      <c r="H51" s="2">
        <f>D51</f>
        <v>0</v>
      </c>
      <c r="I51" s="854" t="s">
        <v>166</v>
      </c>
      <c r="J51" s="66"/>
      <c r="K51" s="83" t="str">
        <f t="shared" ref="K51" si="27">IF(H51=0,"0.00%",(L51-H51)/H51)</f>
        <v>0.00%</v>
      </c>
      <c r="L51" s="2">
        <f>H51</f>
        <v>0</v>
      </c>
      <c r="M51" s="854" t="s">
        <v>166</v>
      </c>
      <c r="O51" s="83" t="str">
        <f t="shared" ref="O51" si="28">IF(L51=0,"0.00%",(P51-L51)/L51)</f>
        <v>0.00%</v>
      </c>
      <c r="P51" s="2">
        <f>L51</f>
        <v>0</v>
      </c>
      <c r="Q51" s="854" t="s">
        <v>166</v>
      </c>
      <c r="S51" s="83" t="str">
        <f t="shared" ref="S51" si="29">IF(P51=0,"0.00%",(T51-P51)/P51)</f>
        <v>0.00%</v>
      </c>
      <c r="T51" s="2">
        <f>P51</f>
        <v>0</v>
      </c>
      <c r="U51" s="81" t="s">
        <v>166</v>
      </c>
      <c r="W51" s="83" t="str">
        <f t="shared" ref="W51" si="30">IF(T51=0,"0.00%",(X51-T51)/T51)</f>
        <v>0.00%</v>
      </c>
      <c r="X51" s="2">
        <f>T51</f>
        <v>0</v>
      </c>
      <c r="Y51" s="81" t="s">
        <v>166</v>
      </c>
      <c r="AA51" s="83" t="str">
        <f t="shared" ref="AA51" si="31">IF(X51=0,"0.00%",(AB51-X51)/X51)</f>
        <v>0.00%</v>
      </c>
      <c r="AB51" s="2">
        <f>X51</f>
        <v>0</v>
      </c>
      <c r="AC51" s="81" t="s">
        <v>166</v>
      </c>
    </row>
    <row r="52" spans="1:29" x14ac:dyDescent="0.25">
      <c r="A52" s="152"/>
      <c r="B52" s="939"/>
      <c r="E52" s="863"/>
      <c r="F52" s="2"/>
      <c r="G52" s="83"/>
      <c r="H52" s="2"/>
      <c r="I52" s="854"/>
      <c r="J52" s="66"/>
      <c r="K52" s="83"/>
      <c r="L52" s="2"/>
      <c r="M52" s="854"/>
      <c r="O52" s="83"/>
      <c r="Q52" s="854"/>
      <c r="S52" s="83"/>
      <c r="T52" s="2"/>
      <c r="U52" s="81"/>
      <c r="W52" s="83"/>
      <c r="X52" s="2"/>
      <c r="Y52" s="81"/>
      <c r="AA52" s="83"/>
      <c r="AB52" s="2"/>
      <c r="AC52" s="81"/>
    </row>
    <row r="53" spans="1:29" x14ac:dyDescent="0.25">
      <c r="A53" s="153"/>
      <c r="B53" s="939"/>
      <c r="D53" s="8">
        <f>SUM(D44:D52)</f>
        <v>4024.1</v>
      </c>
      <c r="E53" s="863"/>
      <c r="F53" s="2"/>
      <c r="G53" s="83">
        <f t="shared" si="20"/>
        <v>-0.18491091175666607</v>
      </c>
      <c r="H53" s="8">
        <f>SUM(H44:H52)</f>
        <v>3280</v>
      </c>
      <c r="I53" s="1292">
        <f>+H53-D53</f>
        <v>-744.09999999999991</v>
      </c>
      <c r="J53" s="29"/>
      <c r="K53" s="83">
        <f t="shared" si="21"/>
        <v>8.5365853658536592E-2</v>
      </c>
      <c r="L53" s="8">
        <f>SUM(L44:L52)</f>
        <v>3560</v>
      </c>
      <c r="M53" s="1292">
        <f>+L53-H53</f>
        <v>280</v>
      </c>
      <c r="O53" s="83">
        <f t="shared" si="22"/>
        <v>9.1573033707865167E-2</v>
      </c>
      <c r="P53" s="8">
        <f>SUM(P44:P52)</f>
        <v>3886</v>
      </c>
      <c r="Q53" s="1292">
        <f>+P53-L53</f>
        <v>326</v>
      </c>
      <c r="S53" s="83">
        <f t="shared" si="23"/>
        <v>0.44467318579516213</v>
      </c>
      <c r="T53" s="8">
        <f>SUM(T44:T52)</f>
        <v>5614</v>
      </c>
      <c r="U53" s="73"/>
      <c r="W53" s="83">
        <f t="shared" si="24"/>
        <v>6.5372283576772355E-2</v>
      </c>
      <c r="X53" s="8">
        <f>SUM(X44:X52)</f>
        <v>5981</v>
      </c>
      <c r="Y53" s="73"/>
      <c r="AA53" s="83">
        <f t="shared" si="25"/>
        <v>5.1663601404447416E-2</v>
      </c>
      <c r="AB53" s="8">
        <f>SUM(AB44:AB52)</f>
        <v>6290</v>
      </c>
      <c r="AC53" s="73"/>
    </row>
    <row r="54" spans="1:29" x14ac:dyDescent="0.25">
      <c r="A54" s="154"/>
      <c r="B54" s="939"/>
      <c r="E54" s="863"/>
      <c r="F54" s="2"/>
      <c r="H54" s="2"/>
      <c r="I54" s="871"/>
      <c r="J54" s="66"/>
      <c r="L54" s="2"/>
      <c r="M54" s="948"/>
      <c r="Q54" s="948"/>
      <c r="T54" s="2"/>
      <c r="U54" s="73"/>
      <c r="X54" s="2"/>
      <c r="Y54" s="73"/>
      <c r="AB54" s="2"/>
      <c r="AC54" s="73"/>
    </row>
    <row r="55" spans="1:29" x14ac:dyDescent="0.25">
      <c r="A55" s="153"/>
      <c r="B55" s="936" t="s">
        <v>26</v>
      </c>
      <c r="D55" s="8">
        <f>SUM(D53,D41,D30)</f>
        <v>17357.759999999998</v>
      </c>
      <c r="E55" s="863"/>
      <c r="F55" s="2"/>
      <c r="G55" s="83">
        <f>IF(D55=0,"0.00%",(H55-D55)/D55)</f>
        <v>-7.0723411315744894E-3</v>
      </c>
      <c r="H55" s="8">
        <f>SUM(H53,H41,H30)</f>
        <v>17235</v>
      </c>
      <c r="I55" s="1292">
        <f>+H55-D55</f>
        <v>-122.7599999999984</v>
      </c>
      <c r="J55" s="29"/>
      <c r="K55" s="83">
        <f>IF(H55=0,"0.00%",(L55-H55)/H55)</f>
        <v>1.624601102407891E-2</v>
      </c>
      <c r="L55" s="8">
        <f>SUM(L53,L41,L30)</f>
        <v>17515</v>
      </c>
      <c r="M55" s="1292">
        <f>+L55-H55</f>
        <v>280</v>
      </c>
      <c r="O55" s="83">
        <f>IF(L55=0,"0.00%",(P55-L55)/L55)</f>
        <v>1.8612617756208965E-2</v>
      </c>
      <c r="P55" s="8">
        <f>SUM(P53,P41,P30)</f>
        <v>17841</v>
      </c>
      <c r="Q55" s="1292">
        <f>+P55-L55</f>
        <v>326</v>
      </c>
      <c r="S55" s="83">
        <f>IF(P55=0,"0.00%",(T55-P55)/P55)</f>
        <v>9.685555742391122E-2</v>
      </c>
      <c r="T55" s="8">
        <f>SUM(T53,T41,T30)</f>
        <v>19569</v>
      </c>
      <c r="U55" s="73"/>
      <c r="W55" s="83">
        <f>IF(T55=0,"0.00%",(X55-T55)/T55)</f>
        <v>3.3011395574633347E-2</v>
      </c>
      <c r="X55" s="8">
        <f>SUM(X53,X41,X30)</f>
        <v>20215</v>
      </c>
      <c r="Y55" s="73"/>
      <c r="AA55" s="83">
        <f>IF(X55=0,"0.00%",(AB55-X55)/X55)</f>
        <v>2.9384120702448675E-2</v>
      </c>
      <c r="AB55" s="8">
        <f>SUM(AB53,AB41,AB30)</f>
        <v>20809</v>
      </c>
      <c r="AC55" s="73"/>
    </row>
    <row r="56" spans="1:29" x14ac:dyDescent="0.25">
      <c r="A56" s="155"/>
      <c r="E56" s="863"/>
      <c r="F56" s="2"/>
      <c r="H56" s="2"/>
      <c r="I56" s="871"/>
      <c r="J56" s="66"/>
      <c r="L56" s="2"/>
      <c r="M56" s="948"/>
      <c r="Q56" s="948"/>
      <c r="T56" s="2"/>
      <c r="U56" s="73"/>
      <c r="X56" s="2"/>
      <c r="Y56" s="73"/>
      <c r="AB56" s="2"/>
      <c r="AC56" s="73"/>
    </row>
    <row r="57" spans="1:29" hidden="1" x14ac:dyDescent="0.25">
      <c r="A57" s="152"/>
      <c r="E57" s="863"/>
      <c r="F57" s="2"/>
      <c r="H57" s="2"/>
      <c r="I57" s="871"/>
      <c r="J57" s="66"/>
      <c r="L57" s="2"/>
      <c r="M57" s="948"/>
      <c r="Q57" s="948"/>
      <c r="T57" s="2"/>
      <c r="U57" s="73"/>
      <c r="X57" s="2"/>
      <c r="Y57" s="73"/>
      <c r="AB57" s="2"/>
      <c r="AC57" s="73"/>
    </row>
    <row r="58" spans="1:29" hidden="1" x14ac:dyDescent="0.25">
      <c r="A58" s="155"/>
      <c r="B58" s="940" t="s">
        <v>25</v>
      </c>
      <c r="C58" s="873"/>
      <c r="E58" s="863"/>
      <c r="F58" s="2"/>
      <c r="H58" s="2"/>
      <c r="I58" s="871"/>
      <c r="J58" s="66"/>
      <c r="L58" s="2"/>
      <c r="M58" s="948"/>
      <c r="Q58" s="948"/>
      <c r="T58" s="2"/>
      <c r="U58" s="73"/>
      <c r="X58" s="2"/>
      <c r="Y58" s="73"/>
      <c r="AB58" s="2"/>
      <c r="AC58" s="73"/>
    </row>
    <row r="59" spans="1:29" hidden="1" x14ac:dyDescent="0.25">
      <c r="A59" s="152"/>
      <c r="B59" s="939"/>
      <c r="D59" s="2">
        <v>0</v>
      </c>
      <c r="E59" s="863"/>
      <c r="F59" s="2"/>
      <c r="G59" s="83" t="str">
        <f t="shared" ref="G59:G66" si="32">IF(D59=0,"0.00%",(H59-D59)/D59)</f>
        <v>0.00%</v>
      </c>
      <c r="H59" s="2">
        <f t="shared" ref="H59:H65" si="33">ROUND(D59*(LEFT(I59,5)+1),0)</f>
        <v>0</v>
      </c>
      <c r="I59" s="854" t="str">
        <f>TEXT('MYP Assumptions'!E75,"0.00%")&amp;", CPI"</f>
        <v>3.42%, CPI</v>
      </c>
      <c r="J59" s="66"/>
      <c r="K59" s="83" t="str">
        <f t="shared" ref="K59:K66" si="34">IF(H59=0,"0.00%",(L59-H59)/H59)</f>
        <v>0.00%</v>
      </c>
      <c r="L59" s="2">
        <f>ROUND(H59*(LEFT(M59,5)+1),0)</f>
        <v>0</v>
      </c>
      <c r="M59" s="854" t="str">
        <f>TEXT('MYP Assumptions'!F75,"0.00%")&amp;", CPI"</f>
        <v>3.35%, CPI</v>
      </c>
      <c r="O59" s="83" t="str">
        <f t="shared" ref="O59:O66" si="35">IF(L59=0,"0.00%",(P59-L59)/L59)</f>
        <v>0.00%</v>
      </c>
      <c r="P59" s="2">
        <f>ROUND(L59*(LEFT(Q59,5)+1),0)</f>
        <v>0</v>
      </c>
      <c r="Q59" s="854" t="str">
        <f>TEXT('MYP Assumptions'!G75,"0.00%")&amp;", CPI"</f>
        <v>3.02%, CPI</v>
      </c>
      <c r="S59" s="83" t="str">
        <f t="shared" ref="S59:S66" si="36">IF(P59=0,"0.00%",(T59-P59)/P59)</f>
        <v>0.00%</v>
      </c>
      <c r="T59" s="2">
        <f>ROUND(P59*(LEFT(U59,5)+1),0)</f>
        <v>0</v>
      </c>
      <c r="U59" s="81" t="str">
        <f>TEXT('MYP Assumptions'!H75,"0.00%")&amp;", CPI"</f>
        <v>2.73%, CPI</v>
      </c>
      <c r="W59" s="83" t="str">
        <f t="shared" ref="W59:W66" si="37">IF(T59=0,"0.00%",(X59-T59)/T59)</f>
        <v>0.00%</v>
      </c>
      <c r="X59" s="2">
        <f>ROUND(T59*(LEFT(Y59,5)+1),0)</f>
        <v>0</v>
      </c>
      <c r="Y59" s="81" t="str">
        <f>TEXT('MYP Assumptions'!I75,"0.00%")&amp;", CPI"</f>
        <v>2.73%, CPI</v>
      </c>
      <c r="AA59" s="83" t="str">
        <f t="shared" ref="AA59:AA66" si="38">IF(X59=0,"0.00%",(AB59-X59)/X59)</f>
        <v>0.00%</v>
      </c>
      <c r="AB59" s="2">
        <f>ROUND(X59*(LEFT(AC59,5)+1),0)</f>
        <v>0</v>
      </c>
      <c r="AC59" s="81" t="str">
        <f>TEXT('MYP Assumptions'!J75,"0.00%")&amp;", CPI"</f>
        <v>2.73%, CPI</v>
      </c>
    </row>
    <row r="60" spans="1:29" hidden="1" x14ac:dyDescent="0.25">
      <c r="A60" s="152"/>
      <c r="B60" s="939"/>
      <c r="D60" s="2">
        <v>0</v>
      </c>
      <c r="E60" s="863"/>
      <c r="F60" s="2"/>
      <c r="G60" s="83" t="str">
        <f t="shared" si="32"/>
        <v>0.00%</v>
      </c>
      <c r="H60" s="2">
        <f t="shared" si="33"/>
        <v>0</v>
      </c>
      <c r="I60" s="854" t="str">
        <f>TEXT('MYP Assumptions'!E75,"0.00%")&amp;", CPI"</f>
        <v>3.42%, CPI</v>
      </c>
      <c r="J60" s="66"/>
      <c r="K60" s="83" t="str">
        <f t="shared" si="34"/>
        <v>0.00%</v>
      </c>
      <c r="L60" s="2">
        <f t="shared" ref="L60:L65" si="39">ROUND(H60*(LEFT(M60,5)+1),0)</f>
        <v>0</v>
      </c>
      <c r="M60" s="854" t="str">
        <f>TEXT('MYP Assumptions'!F75,"0.00%")&amp;", CPI"</f>
        <v>3.35%, CPI</v>
      </c>
      <c r="O60" s="83" t="str">
        <f t="shared" si="35"/>
        <v>0.00%</v>
      </c>
      <c r="P60" s="2">
        <f t="shared" ref="P60:P65" si="40">ROUND(L60*(LEFT(Q60,5)+1),0)</f>
        <v>0</v>
      </c>
      <c r="Q60" s="854" t="str">
        <f>TEXT('MYP Assumptions'!G75,"0.00%")&amp;", CPI"</f>
        <v>3.02%, CPI</v>
      </c>
      <c r="S60" s="83" t="str">
        <f t="shared" si="36"/>
        <v>0.00%</v>
      </c>
      <c r="T60" s="2">
        <f t="shared" ref="T60:T65" si="41">ROUND(P60*(LEFT(U60,5)+1),0)</f>
        <v>0</v>
      </c>
      <c r="U60" s="81" t="str">
        <f>TEXT('MYP Assumptions'!H75,"0.00%")&amp;", CPI"</f>
        <v>2.73%, CPI</v>
      </c>
      <c r="W60" s="83" t="str">
        <f t="shared" si="37"/>
        <v>0.00%</v>
      </c>
      <c r="X60" s="2">
        <f t="shared" ref="X60:X65" si="42">ROUND(T60*(LEFT(Y60,5)+1),0)</f>
        <v>0</v>
      </c>
      <c r="Y60" s="81" t="str">
        <f>TEXT('MYP Assumptions'!I75,"0.00%")&amp;", CPI"</f>
        <v>2.73%, CPI</v>
      </c>
      <c r="AA60" s="83" t="str">
        <f t="shared" si="38"/>
        <v>0.00%</v>
      </c>
      <c r="AB60" s="2">
        <f t="shared" ref="AB60:AB65" si="43">ROUND(X60*(LEFT(AC60,5)+1),0)</f>
        <v>0</v>
      </c>
      <c r="AC60" s="81" t="str">
        <f>TEXT('MYP Assumptions'!J75,"0.00%")&amp;", CPI"</f>
        <v>2.73%, CPI</v>
      </c>
    </row>
    <row r="61" spans="1:29" hidden="1" x14ac:dyDescent="0.25">
      <c r="A61" s="152"/>
      <c r="B61" s="939"/>
      <c r="D61" s="2">
        <v>0</v>
      </c>
      <c r="E61" s="863"/>
      <c r="F61" s="2"/>
      <c r="G61" s="83" t="str">
        <f t="shared" si="32"/>
        <v>0.00%</v>
      </c>
      <c r="H61" s="2">
        <f t="shared" si="33"/>
        <v>0</v>
      </c>
      <c r="I61" s="854" t="str">
        <f>TEXT('MYP Assumptions'!E75,"0.00%")&amp;", CPI"</f>
        <v>3.42%, CPI</v>
      </c>
      <c r="J61" s="66"/>
      <c r="K61" s="83" t="str">
        <f t="shared" si="34"/>
        <v>0.00%</v>
      </c>
      <c r="L61" s="2">
        <f t="shared" si="39"/>
        <v>0</v>
      </c>
      <c r="M61" s="854" t="str">
        <f>TEXT('MYP Assumptions'!F75,"0.00%")&amp;", CPI"</f>
        <v>3.35%, CPI</v>
      </c>
      <c r="O61" s="83" t="str">
        <f t="shared" si="35"/>
        <v>0.00%</v>
      </c>
      <c r="P61" s="2">
        <f t="shared" si="40"/>
        <v>0</v>
      </c>
      <c r="Q61" s="854" t="str">
        <f>TEXT('MYP Assumptions'!G75,"0.00%")&amp;", CPI"</f>
        <v>3.02%, CPI</v>
      </c>
      <c r="S61" s="83" t="str">
        <f t="shared" si="36"/>
        <v>0.00%</v>
      </c>
      <c r="T61" s="2">
        <f t="shared" si="41"/>
        <v>0</v>
      </c>
      <c r="U61" s="81" t="str">
        <f>TEXT('MYP Assumptions'!H75,"0.00%")&amp;", CPI"</f>
        <v>2.73%, CPI</v>
      </c>
      <c r="W61" s="83" t="str">
        <f t="shared" si="37"/>
        <v>0.00%</v>
      </c>
      <c r="X61" s="2">
        <f t="shared" si="42"/>
        <v>0</v>
      </c>
      <c r="Y61" s="81" t="str">
        <f>TEXT('MYP Assumptions'!I75,"0.00%")&amp;", CPI"</f>
        <v>2.73%, CPI</v>
      </c>
      <c r="AA61" s="83" t="str">
        <f t="shared" si="38"/>
        <v>0.00%</v>
      </c>
      <c r="AB61" s="2">
        <f t="shared" si="43"/>
        <v>0</v>
      </c>
      <c r="AC61" s="81" t="str">
        <f>TEXT('MYP Assumptions'!J75,"0.00%")&amp;", CPI"</f>
        <v>2.73%, CPI</v>
      </c>
    </row>
    <row r="62" spans="1:29" hidden="1" x14ac:dyDescent="0.25">
      <c r="A62" s="152"/>
      <c r="B62" s="939"/>
      <c r="D62" s="2">
        <v>0</v>
      </c>
      <c r="E62" s="863"/>
      <c r="F62" s="2"/>
      <c r="G62" s="83" t="str">
        <f t="shared" si="32"/>
        <v>0.00%</v>
      </c>
      <c r="H62" s="2">
        <f t="shared" si="33"/>
        <v>0</v>
      </c>
      <c r="I62" s="854" t="str">
        <f>TEXT('MYP Assumptions'!E75,"0.00%")&amp;", CPI"</f>
        <v>3.42%, CPI</v>
      </c>
      <c r="J62" s="66"/>
      <c r="K62" s="83" t="str">
        <f t="shared" si="34"/>
        <v>0.00%</v>
      </c>
      <c r="L62" s="2">
        <f t="shared" si="39"/>
        <v>0</v>
      </c>
      <c r="M62" s="854" t="str">
        <f>TEXT('MYP Assumptions'!F75,"0.00%")&amp;", CPI"</f>
        <v>3.35%, CPI</v>
      </c>
      <c r="O62" s="83" t="str">
        <f t="shared" si="35"/>
        <v>0.00%</v>
      </c>
      <c r="P62" s="2">
        <f t="shared" si="40"/>
        <v>0</v>
      </c>
      <c r="Q62" s="854" t="str">
        <f>TEXT('MYP Assumptions'!G75,"0.00%")&amp;", CPI"</f>
        <v>3.02%, CPI</v>
      </c>
      <c r="S62" s="83" t="str">
        <f t="shared" si="36"/>
        <v>0.00%</v>
      </c>
      <c r="T62" s="2">
        <f t="shared" si="41"/>
        <v>0</v>
      </c>
      <c r="U62" s="81" t="str">
        <f>TEXT('MYP Assumptions'!H75,"0.00%")&amp;", CPI"</f>
        <v>2.73%, CPI</v>
      </c>
      <c r="W62" s="83" t="str">
        <f t="shared" si="37"/>
        <v>0.00%</v>
      </c>
      <c r="X62" s="2">
        <f t="shared" si="42"/>
        <v>0</v>
      </c>
      <c r="Y62" s="81" t="str">
        <f>TEXT('MYP Assumptions'!I75,"0.00%")&amp;", CPI"</f>
        <v>2.73%, CPI</v>
      </c>
      <c r="AA62" s="83" t="str">
        <f t="shared" si="38"/>
        <v>0.00%</v>
      </c>
      <c r="AB62" s="2">
        <f t="shared" si="43"/>
        <v>0</v>
      </c>
      <c r="AC62" s="81" t="str">
        <f>TEXT('MYP Assumptions'!J75,"0.00%")&amp;", CPI"</f>
        <v>2.73%, CPI</v>
      </c>
    </row>
    <row r="63" spans="1:29" hidden="1" x14ac:dyDescent="0.25">
      <c r="A63" s="152"/>
      <c r="B63" s="939"/>
      <c r="D63" s="2">
        <v>0</v>
      </c>
      <c r="E63" s="863"/>
      <c r="F63" s="2"/>
      <c r="G63" s="83" t="str">
        <f t="shared" si="32"/>
        <v>0.00%</v>
      </c>
      <c r="H63" s="2">
        <f t="shared" si="33"/>
        <v>0</v>
      </c>
      <c r="I63" s="854" t="str">
        <f>TEXT('MYP Assumptions'!E75,"0.00%")&amp;", CPI"</f>
        <v>3.42%, CPI</v>
      </c>
      <c r="J63" s="66"/>
      <c r="K63" s="83" t="str">
        <f t="shared" si="34"/>
        <v>0.00%</v>
      </c>
      <c r="L63" s="2">
        <f t="shared" si="39"/>
        <v>0</v>
      </c>
      <c r="M63" s="854" t="str">
        <f>TEXT('MYP Assumptions'!F75,"0.00%")&amp;", CPI"</f>
        <v>3.35%, CPI</v>
      </c>
      <c r="O63" s="83" t="str">
        <f t="shared" si="35"/>
        <v>0.00%</v>
      </c>
      <c r="P63" s="2">
        <f t="shared" si="40"/>
        <v>0</v>
      </c>
      <c r="Q63" s="854" t="str">
        <f>TEXT('MYP Assumptions'!G75,"0.00%")&amp;", CPI"</f>
        <v>3.02%, CPI</v>
      </c>
      <c r="S63" s="83" t="str">
        <f t="shared" si="36"/>
        <v>0.00%</v>
      </c>
      <c r="T63" s="2">
        <f t="shared" si="41"/>
        <v>0</v>
      </c>
      <c r="U63" s="81" t="str">
        <f>TEXT('MYP Assumptions'!H75,"0.00%")&amp;", CPI"</f>
        <v>2.73%, CPI</v>
      </c>
      <c r="W63" s="83" t="str">
        <f t="shared" si="37"/>
        <v>0.00%</v>
      </c>
      <c r="X63" s="2">
        <f t="shared" si="42"/>
        <v>0</v>
      </c>
      <c r="Y63" s="81" t="str">
        <f>TEXT('MYP Assumptions'!I75,"0.00%")&amp;", CPI"</f>
        <v>2.73%, CPI</v>
      </c>
      <c r="AA63" s="83" t="str">
        <f t="shared" si="38"/>
        <v>0.00%</v>
      </c>
      <c r="AB63" s="2">
        <f t="shared" si="43"/>
        <v>0</v>
      </c>
      <c r="AC63" s="81" t="str">
        <f>TEXT('MYP Assumptions'!J75,"0.00%")&amp;", CPI"</f>
        <v>2.73%, CPI</v>
      </c>
    </row>
    <row r="64" spans="1:29" hidden="1" x14ac:dyDescent="0.25">
      <c r="A64" s="152"/>
      <c r="B64" s="939"/>
      <c r="D64" s="2">
        <v>0</v>
      </c>
      <c r="E64" s="863"/>
      <c r="F64" s="2"/>
      <c r="G64" s="83" t="str">
        <f t="shared" si="32"/>
        <v>0.00%</v>
      </c>
      <c r="H64" s="2">
        <f t="shared" si="33"/>
        <v>0</v>
      </c>
      <c r="I64" s="854" t="str">
        <f>TEXT('MYP Assumptions'!E75,"0.00%")&amp;", CPI"</f>
        <v>3.42%, CPI</v>
      </c>
      <c r="J64" s="66"/>
      <c r="K64" s="83" t="str">
        <f t="shared" si="34"/>
        <v>0.00%</v>
      </c>
      <c r="L64" s="2">
        <f t="shared" si="39"/>
        <v>0</v>
      </c>
      <c r="M64" s="854" t="str">
        <f>TEXT('MYP Assumptions'!F75,"0.00%")&amp;", CPI"</f>
        <v>3.35%, CPI</v>
      </c>
      <c r="O64" s="83" t="str">
        <f t="shared" si="35"/>
        <v>0.00%</v>
      </c>
      <c r="P64" s="2">
        <f t="shared" si="40"/>
        <v>0</v>
      </c>
      <c r="Q64" s="854" t="str">
        <f>TEXT('MYP Assumptions'!G75,"0.00%")&amp;", CPI"</f>
        <v>3.02%, CPI</v>
      </c>
      <c r="S64" s="83" t="str">
        <f t="shared" si="36"/>
        <v>0.00%</v>
      </c>
      <c r="T64" s="2">
        <f t="shared" si="41"/>
        <v>0</v>
      </c>
      <c r="U64" s="81" t="str">
        <f>TEXT('MYP Assumptions'!H75,"0.00%")&amp;", CPI"</f>
        <v>2.73%, CPI</v>
      </c>
      <c r="W64" s="83" t="str">
        <f t="shared" si="37"/>
        <v>0.00%</v>
      </c>
      <c r="X64" s="2">
        <f t="shared" si="42"/>
        <v>0</v>
      </c>
      <c r="Y64" s="81" t="str">
        <f>TEXT('MYP Assumptions'!I75,"0.00%")&amp;", CPI"</f>
        <v>2.73%, CPI</v>
      </c>
      <c r="AA64" s="83" t="str">
        <f t="shared" si="38"/>
        <v>0.00%</v>
      </c>
      <c r="AB64" s="2">
        <f t="shared" si="43"/>
        <v>0</v>
      </c>
      <c r="AC64" s="81" t="str">
        <f>TEXT('MYP Assumptions'!J75,"0.00%")&amp;", CPI"</f>
        <v>2.73%, CPI</v>
      </c>
    </row>
    <row r="65" spans="1:29" hidden="1" x14ac:dyDescent="0.25">
      <c r="A65" s="152"/>
      <c r="B65" s="939"/>
      <c r="C65" s="941"/>
      <c r="D65" s="2">
        <v>0</v>
      </c>
      <c r="E65" s="863"/>
      <c r="F65" s="2"/>
      <c r="G65" s="83" t="str">
        <f t="shared" si="32"/>
        <v>0.00%</v>
      </c>
      <c r="H65" s="2">
        <f t="shared" si="33"/>
        <v>0</v>
      </c>
      <c r="I65" s="854" t="str">
        <f>TEXT('MYP Assumptions'!E75,"0.00%")&amp;", CPI"</f>
        <v>3.42%, CPI</v>
      </c>
      <c r="J65" s="66"/>
      <c r="K65" s="83" t="str">
        <f t="shared" si="34"/>
        <v>0.00%</v>
      </c>
      <c r="L65" s="2">
        <f t="shared" si="39"/>
        <v>0</v>
      </c>
      <c r="M65" s="854" t="str">
        <f>TEXT('MYP Assumptions'!F75,"0.00%")&amp;", CPI"</f>
        <v>3.35%, CPI</v>
      </c>
      <c r="O65" s="83" t="str">
        <f t="shared" si="35"/>
        <v>0.00%</v>
      </c>
      <c r="P65" s="2">
        <f t="shared" si="40"/>
        <v>0</v>
      </c>
      <c r="Q65" s="854" t="str">
        <f>TEXT('MYP Assumptions'!G75,"0.00%")&amp;", CPI"</f>
        <v>3.02%, CPI</v>
      </c>
      <c r="S65" s="83" t="str">
        <f t="shared" si="36"/>
        <v>0.00%</v>
      </c>
      <c r="T65" s="2">
        <f t="shared" si="41"/>
        <v>0</v>
      </c>
      <c r="U65" s="81" t="str">
        <f>TEXT('MYP Assumptions'!H75,"0.00%")&amp;", CPI"</f>
        <v>2.73%, CPI</v>
      </c>
      <c r="W65" s="83" t="str">
        <f t="shared" si="37"/>
        <v>0.00%</v>
      </c>
      <c r="X65" s="2">
        <f t="shared" si="42"/>
        <v>0</v>
      </c>
      <c r="Y65" s="81" t="str">
        <f>TEXT('MYP Assumptions'!I75,"0.00%")&amp;", CPI"</f>
        <v>2.73%, CPI</v>
      </c>
      <c r="AA65" s="83" t="str">
        <f t="shared" si="38"/>
        <v>0.00%</v>
      </c>
      <c r="AB65" s="2">
        <f t="shared" si="43"/>
        <v>0</v>
      </c>
      <c r="AC65" s="81" t="str">
        <f>TEXT('MYP Assumptions'!J75,"0.00%")&amp;", CPI"</f>
        <v>2.73%, CPI</v>
      </c>
    </row>
    <row r="66" spans="1:29" hidden="1" x14ac:dyDescent="0.25">
      <c r="A66" s="153"/>
      <c r="B66" s="857"/>
      <c r="D66" s="8">
        <f>SUM(D59:D65)</f>
        <v>0</v>
      </c>
      <c r="E66" s="863"/>
      <c r="F66" s="2"/>
      <c r="G66" s="83" t="str">
        <f t="shared" si="32"/>
        <v>0.00%</v>
      </c>
      <c r="H66" s="8">
        <f>SUM(H59:H65)</f>
        <v>0</v>
      </c>
      <c r="I66" s="872"/>
      <c r="J66" s="29"/>
      <c r="K66" s="83" t="str">
        <f t="shared" si="34"/>
        <v>0.00%</v>
      </c>
      <c r="L66" s="8">
        <f>SUM(L59:L65)</f>
        <v>0</v>
      </c>
      <c r="M66" s="948"/>
      <c r="O66" s="83" t="str">
        <f t="shared" si="35"/>
        <v>0.00%</v>
      </c>
      <c r="P66" s="8">
        <f>SUM(P59:P65)</f>
        <v>0</v>
      </c>
      <c r="Q66" s="948"/>
      <c r="S66" s="83" t="str">
        <f t="shared" si="36"/>
        <v>0.00%</v>
      </c>
      <c r="T66" s="8">
        <f>SUM(T59:T65)</f>
        <v>0</v>
      </c>
      <c r="U66" s="73"/>
      <c r="W66" s="83" t="str">
        <f t="shared" si="37"/>
        <v>0.00%</v>
      </c>
      <c r="X66" s="8">
        <f>SUM(X59:X65)</f>
        <v>0</v>
      </c>
      <c r="Y66" s="73"/>
      <c r="AA66" s="83" t="str">
        <f t="shared" si="38"/>
        <v>0.00%</v>
      </c>
      <c r="AB66" s="8">
        <f>SUM(AB59:AB65)</f>
        <v>0</v>
      </c>
      <c r="AC66" s="73"/>
    </row>
    <row r="67" spans="1:29" hidden="1" x14ac:dyDescent="0.25">
      <c r="A67" s="152"/>
      <c r="E67" s="863"/>
      <c r="F67" s="2"/>
      <c r="H67" s="2"/>
      <c r="I67" s="871"/>
      <c r="J67" s="66"/>
      <c r="L67" s="2"/>
      <c r="M67" s="948"/>
      <c r="Q67" s="948"/>
      <c r="T67" s="2"/>
      <c r="U67" s="73"/>
      <c r="X67" s="2"/>
      <c r="Y67" s="73"/>
      <c r="AB67" s="2"/>
      <c r="AC67" s="73"/>
    </row>
    <row r="68" spans="1:29" s="4" customFormat="1" hidden="1" x14ac:dyDescent="0.25">
      <c r="A68" s="150"/>
      <c r="B68" s="936" t="s">
        <v>16</v>
      </c>
      <c r="C68" s="873"/>
      <c r="D68" s="6"/>
      <c r="E68" s="864"/>
      <c r="F68" s="6"/>
      <c r="G68" s="373"/>
      <c r="H68" s="6"/>
      <c r="I68" s="873"/>
      <c r="J68" s="58"/>
      <c r="K68" s="380"/>
      <c r="L68" s="6"/>
      <c r="M68" s="950"/>
      <c r="O68" s="380"/>
      <c r="P68" s="6"/>
      <c r="Q68" s="950"/>
      <c r="R68" s="111"/>
      <c r="U68" s="71"/>
      <c r="Y68" s="71"/>
      <c r="AC68" s="71"/>
    </row>
    <row r="69" spans="1:29" hidden="1" x14ac:dyDescent="0.25">
      <c r="A69" s="152"/>
      <c r="B69" s="939"/>
      <c r="D69" s="2">
        <v>0</v>
      </c>
      <c r="E69" s="863"/>
      <c r="F69" s="2"/>
      <c r="G69" s="83" t="str">
        <f t="shared" ref="G69:G74" si="44">IF(D69=0,"0.00%",(H69-D69)/D69)</f>
        <v>0.00%</v>
      </c>
      <c r="H69" s="2">
        <f>ROUND(D69*(LEFT(I69,5)+1),0)</f>
        <v>0</v>
      </c>
      <c r="I69" s="854" t="str">
        <f>TEXT('MYP Assumptions'!E75,"0.00%")&amp;", CPI"</f>
        <v>3.42%, CPI</v>
      </c>
      <c r="J69" s="66"/>
      <c r="K69" s="83" t="str">
        <f t="shared" ref="K69:K82" si="45">IF(H69=0,"0.00%",(L69-H69)/H69)</f>
        <v>0.00%</v>
      </c>
      <c r="L69" s="2">
        <f>ROUND(H69*(LEFT(M69,5)+1),0)</f>
        <v>0</v>
      </c>
      <c r="M69" s="854" t="str">
        <f>TEXT('MYP Assumptions'!F75,"0.00%")&amp;", CPI"</f>
        <v>3.35%, CPI</v>
      </c>
      <c r="O69" s="83" t="str">
        <f t="shared" ref="O69:O82" si="46">IF(L69=0,"0.00%",(P69-L69)/L69)</f>
        <v>0.00%</v>
      </c>
      <c r="P69" s="2">
        <f>ROUND(L69*(LEFT(Q69,5)+1),0)</f>
        <v>0</v>
      </c>
      <c r="Q69" s="854" t="str">
        <f>TEXT('MYP Assumptions'!G75,"0.00%")&amp;", CPI"</f>
        <v>3.02%, CPI</v>
      </c>
      <c r="S69" s="83" t="str">
        <f t="shared" ref="S69:S82" si="47">IF(P69=0,"0.00%",(T69-P69)/P69)</f>
        <v>0.00%</v>
      </c>
      <c r="T69" s="2">
        <f>ROUND(P69*(LEFT(U69,5)+1),0)</f>
        <v>0</v>
      </c>
      <c r="U69" s="81" t="str">
        <f>TEXT('MYP Assumptions'!H75,"0.00%")&amp;", CPI"</f>
        <v>2.73%, CPI</v>
      </c>
      <c r="W69" s="83" t="str">
        <f t="shared" ref="W69:W82" si="48">IF(T69=0,"0.00%",(X69-T69)/T69)</f>
        <v>0.00%</v>
      </c>
      <c r="X69" s="2">
        <f>ROUND(T69*(LEFT(Y69,5)+1),0)</f>
        <v>0</v>
      </c>
      <c r="Y69" s="81" t="str">
        <f>TEXT('MYP Assumptions'!I75,"0.00%")&amp;", CPI"</f>
        <v>2.73%, CPI</v>
      </c>
      <c r="AA69" s="83" t="str">
        <f t="shared" ref="AA69:AA82" si="49">IF(X69=0,"0.00%",(AB69-X69)/X69)</f>
        <v>0.00%</v>
      </c>
      <c r="AB69" s="2">
        <f>ROUND(X69*(LEFT(AC69,5)+1),0)</f>
        <v>0</v>
      </c>
      <c r="AC69" s="81" t="str">
        <f>TEXT('MYP Assumptions'!J75,"0.00%")&amp;", CPI"</f>
        <v>2.73%, CPI</v>
      </c>
    </row>
    <row r="70" spans="1:29" hidden="1" x14ac:dyDescent="0.25">
      <c r="A70" s="152"/>
      <c r="B70" s="939"/>
      <c r="D70" s="2">
        <v>0</v>
      </c>
      <c r="E70" s="863"/>
      <c r="F70" s="2"/>
      <c r="G70" s="83" t="str">
        <f t="shared" si="44"/>
        <v>0.00%</v>
      </c>
      <c r="H70" s="2">
        <f>ROUND(D70*(LEFT(I70,5)+1),0)</f>
        <v>0</v>
      </c>
      <c r="I70" s="854" t="str">
        <f>TEXT('MYP Assumptions'!E75,"0.00%")&amp;", CPI"</f>
        <v>3.42%, CPI</v>
      </c>
      <c r="J70" s="66"/>
      <c r="K70" s="83" t="str">
        <f t="shared" si="45"/>
        <v>0.00%</v>
      </c>
      <c r="L70" s="2">
        <f t="shared" ref="L70:L81" si="50">ROUND(H70*(LEFT(M70,5)+1),0)</f>
        <v>0</v>
      </c>
      <c r="M70" s="854" t="str">
        <f>TEXT('MYP Assumptions'!F75,"0.00%")&amp;", CPI"</f>
        <v>3.35%, CPI</v>
      </c>
      <c r="O70" s="83" t="str">
        <f t="shared" si="46"/>
        <v>0.00%</v>
      </c>
      <c r="P70" s="2">
        <f t="shared" ref="P70:P81" si="51">ROUND(L70*(LEFT(Q70,5)+1),0)</f>
        <v>0</v>
      </c>
      <c r="Q70" s="854" t="str">
        <f>TEXT('MYP Assumptions'!G75,"0.00%")&amp;", CPI"</f>
        <v>3.02%, CPI</v>
      </c>
      <c r="S70" s="83" t="str">
        <f t="shared" si="47"/>
        <v>0.00%</v>
      </c>
      <c r="T70" s="2">
        <f t="shared" ref="T70:T81" si="52">ROUND(P70*(LEFT(U70,5)+1),0)</f>
        <v>0</v>
      </c>
      <c r="U70" s="81" t="str">
        <f>TEXT('MYP Assumptions'!H75,"0.00%")&amp;", CPI"</f>
        <v>2.73%, CPI</v>
      </c>
      <c r="W70" s="83" t="str">
        <f t="shared" si="48"/>
        <v>0.00%</v>
      </c>
      <c r="X70" s="2">
        <f t="shared" ref="X70:X81" si="53">ROUND(T70*(LEFT(Y70,5)+1),0)</f>
        <v>0</v>
      </c>
      <c r="Y70" s="81" t="str">
        <f>TEXT('MYP Assumptions'!I75,"0.00%")&amp;", CPI"</f>
        <v>2.73%, CPI</v>
      </c>
      <c r="AA70" s="83" t="str">
        <f t="shared" si="49"/>
        <v>0.00%</v>
      </c>
      <c r="AB70" s="2">
        <f t="shared" ref="AB70:AB81" si="54">ROUND(X70*(LEFT(AC70,5)+1),0)</f>
        <v>0</v>
      </c>
      <c r="AC70" s="81" t="str">
        <f>TEXT('MYP Assumptions'!J75,"0.00%")&amp;", CPI"</f>
        <v>2.73%, CPI</v>
      </c>
    </row>
    <row r="71" spans="1:29" hidden="1" x14ac:dyDescent="0.25">
      <c r="A71" s="152"/>
      <c r="B71" s="939"/>
      <c r="D71" s="2">
        <v>0</v>
      </c>
      <c r="E71" s="863"/>
      <c r="F71" s="2"/>
      <c r="G71" s="83" t="str">
        <f t="shared" si="44"/>
        <v>0.00%</v>
      </c>
      <c r="H71" s="2">
        <f t="shared" ref="H71:H76" si="55">ROUND(D71*(LEFT(I71,5)+1),0)</f>
        <v>0</v>
      </c>
      <c r="I71" s="854" t="str">
        <f>TEXT('MYP Assumptions'!E75,"0.00%")&amp;", CPI"</f>
        <v>3.42%, CPI</v>
      </c>
      <c r="J71" s="66"/>
      <c r="K71" s="83" t="str">
        <f t="shared" si="45"/>
        <v>0.00%</v>
      </c>
      <c r="L71" s="2">
        <f t="shared" si="50"/>
        <v>0</v>
      </c>
      <c r="M71" s="854" t="str">
        <f>TEXT('MYP Assumptions'!F75,"0.00%")&amp;", CPI"</f>
        <v>3.35%, CPI</v>
      </c>
      <c r="O71" s="83" t="str">
        <f t="shared" si="46"/>
        <v>0.00%</v>
      </c>
      <c r="P71" s="2">
        <f t="shared" si="51"/>
        <v>0</v>
      </c>
      <c r="Q71" s="854" t="str">
        <f>TEXT('MYP Assumptions'!G75,"0.00%")&amp;", CPI"</f>
        <v>3.02%, CPI</v>
      </c>
      <c r="S71" s="83" t="str">
        <f t="shared" si="47"/>
        <v>0.00%</v>
      </c>
      <c r="T71" s="2">
        <f t="shared" si="52"/>
        <v>0</v>
      </c>
      <c r="U71" s="81" t="str">
        <f>TEXT('MYP Assumptions'!H75,"0.00%")&amp;", CPI"</f>
        <v>2.73%, CPI</v>
      </c>
      <c r="W71" s="83" t="str">
        <f t="shared" si="48"/>
        <v>0.00%</v>
      </c>
      <c r="X71" s="2">
        <f t="shared" si="53"/>
        <v>0</v>
      </c>
      <c r="Y71" s="81" t="str">
        <f>TEXT('MYP Assumptions'!I75,"0.00%")&amp;", CPI"</f>
        <v>2.73%, CPI</v>
      </c>
      <c r="AA71" s="83" t="str">
        <f t="shared" si="49"/>
        <v>0.00%</v>
      </c>
      <c r="AB71" s="2">
        <f t="shared" si="54"/>
        <v>0</v>
      </c>
      <c r="AC71" s="81" t="str">
        <f>TEXT('MYP Assumptions'!J75,"0.00%")&amp;", CPI"</f>
        <v>2.73%, CPI</v>
      </c>
    </row>
    <row r="72" spans="1:29" hidden="1" x14ac:dyDescent="0.25">
      <c r="A72" s="152"/>
      <c r="B72" s="939"/>
      <c r="D72" s="2">
        <v>0</v>
      </c>
      <c r="E72" s="863"/>
      <c r="F72" s="2"/>
      <c r="G72" s="83" t="str">
        <f t="shared" si="44"/>
        <v>0.00%</v>
      </c>
      <c r="H72" s="2">
        <f t="shared" si="55"/>
        <v>0</v>
      </c>
      <c r="I72" s="854" t="str">
        <f>TEXT('MYP Assumptions'!E75,"0.00%")&amp;", CPI"</f>
        <v>3.42%, CPI</v>
      </c>
      <c r="J72" s="66"/>
      <c r="K72" s="83" t="str">
        <f t="shared" si="45"/>
        <v>0.00%</v>
      </c>
      <c r="L72" s="2">
        <f t="shared" si="50"/>
        <v>0</v>
      </c>
      <c r="M72" s="854" t="str">
        <f>TEXT('MYP Assumptions'!F75,"0.00%")&amp;", CPI"</f>
        <v>3.35%, CPI</v>
      </c>
      <c r="O72" s="83" t="str">
        <f t="shared" si="46"/>
        <v>0.00%</v>
      </c>
      <c r="P72" s="2">
        <f t="shared" si="51"/>
        <v>0</v>
      </c>
      <c r="Q72" s="854" t="str">
        <f>TEXT('MYP Assumptions'!G75,"0.00%")&amp;", CPI"</f>
        <v>3.02%, CPI</v>
      </c>
      <c r="S72" s="83" t="str">
        <f t="shared" si="47"/>
        <v>0.00%</v>
      </c>
      <c r="T72" s="2">
        <f t="shared" si="52"/>
        <v>0</v>
      </c>
      <c r="U72" s="81" t="str">
        <f>TEXT('MYP Assumptions'!H75,"0.00%")&amp;", CPI"</f>
        <v>2.73%, CPI</v>
      </c>
      <c r="W72" s="83" t="str">
        <f t="shared" si="48"/>
        <v>0.00%</v>
      </c>
      <c r="X72" s="2">
        <f t="shared" si="53"/>
        <v>0</v>
      </c>
      <c r="Y72" s="81" t="str">
        <f>TEXT('MYP Assumptions'!I75,"0.00%")&amp;", CPI"</f>
        <v>2.73%, CPI</v>
      </c>
      <c r="AA72" s="83" t="str">
        <f t="shared" si="49"/>
        <v>0.00%</v>
      </c>
      <c r="AB72" s="2">
        <f t="shared" si="54"/>
        <v>0</v>
      </c>
      <c r="AC72" s="81" t="str">
        <f>TEXT('MYP Assumptions'!J75,"0.00%")&amp;", CPI"</f>
        <v>2.73%, CPI</v>
      </c>
    </row>
    <row r="73" spans="1:29" hidden="1" x14ac:dyDescent="0.25">
      <c r="A73" s="152"/>
      <c r="B73" s="939"/>
      <c r="D73" s="2">
        <v>0</v>
      </c>
      <c r="E73" s="863"/>
      <c r="F73" s="2"/>
      <c r="G73" s="83" t="str">
        <f t="shared" si="44"/>
        <v>0.00%</v>
      </c>
      <c r="H73" s="2">
        <f t="shared" si="55"/>
        <v>0</v>
      </c>
      <c r="I73" s="854" t="str">
        <f>TEXT('MYP Assumptions'!E75,"0.00%")&amp;", CPI"</f>
        <v>3.42%, CPI</v>
      </c>
      <c r="J73" s="66"/>
      <c r="K73" s="83" t="str">
        <f t="shared" si="45"/>
        <v>0.00%</v>
      </c>
      <c r="L73" s="2">
        <f t="shared" si="50"/>
        <v>0</v>
      </c>
      <c r="M73" s="854" t="str">
        <f>TEXT('MYP Assumptions'!F75,"0.00%")&amp;", CPI"</f>
        <v>3.35%, CPI</v>
      </c>
      <c r="O73" s="83" t="str">
        <f t="shared" si="46"/>
        <v>0.00%</v>
      </c>
      <c r="P73" s="2">
        <f t="shared" si="51"/>
        <v>0</v>
      </c>
      <c r="Q73" s="854" t="str">
        <f>TEXT('MYP Assumptions'!G75,"0.00%")&amp;", CPI"</f>
        <v>3.02%, CPI</v>
      </c>
      <c r="S73" s="83" t="str">
        <f t="shared" si="47"/>
        <v>0.00%</v>
      </c>
      <c r="T73" s="2">
        <f t="shared" si="52"/>
        <v>0</v>
      </c>
      <c r="U73" s="81" t="str">
        <f>TEXT('MYP Assumptions'!H75,"0.00%")&amp;", CPI"</f>
        <v>2.73%, CPI</v>
      </c>
      <c r="W73" s="83" t="str">
        <f t="shared" si="48"/>
        <v>0.00%</v>
      </c>
      <c r="X73" s="2">
        <f t="shared" si="53"/>
        <v>0</v>
      </c>
      <c r="Y73" s="81" t="str">
        <f>TEXT('MYP Assumptions'!I75,"0.00%")&amp;", CPI"</f>
        <v>2.73%, CPI</v>
      </c>
      <c r="AA73" s="83" t="str">
        <f t="shared" si="49"/>
        <v>0.00%</v>
      </c>
      <c r="AB73" s="2">
        <f t="shared" si="54"/>
        <v>0</v>
      </c>
      <c r="AC73" s="81" t="str">
        <f>TEXT('MYP Assumptions'!J75,"0.00%")&amp;", CPI"</f>
        <v>2.73%, CPI</v>
      </c>
    </row>
    <row r="74" spans="1:29" hidden="1" x14ac:dyDescent="0.25">
      <c r="A74" s="152"/>
      <c r="B74" s="939"/>
      <c r="D74" s="2">
        <v>0</v>
      </c>
      <c r="E74" s="863"/>
      <c r="F74" s="2"/>
      <c r="G74" s="83" t="str">
        <f t="shared" si="44"/>
        <v>0.00%</v>
      </c>
      <c r="H74" s="2">
        <f t="shared" si="55"/>
        <v>0</v>
      </c>
      <c r="I74" s="854" t="str">
        <f>TEXT('MYP Assumptions'!E75,"0.00%")&amp;", CPI"</f>
        <v>3.42%, CPI</v>
      </c>
      <c r="J74" s="66"/>
      <c r="K74" s="83" t="str">
        <f t="shared" si="45"/>
        <v>0.00%</v>
      </c>
      <c r="L74" s="2">
        <f t="shared" si="50"/>
        <v>0</v>
      </c>
      <c r="M74" s="854" t="str">
        <f>TEXT('MYP Assumptions'!F75,"0.00%")&amp;", CPI"</f>
        <v>3.35%, CPI</v>
      </c>
      <c r="O74" s="83" t="str">
        <f t="shared" si="46"/>
        <v>0.00%</v>
      </c>
      <c r="P74" s="2">
        <f t="shared" si="51"/>
        <v>0</v>
      </c>
      <c r="Q74" s="854" t="str">
        <f>TEXT('MYP Assumptions'!G75,"0.00%")&amp;", CPI"</f>
        <v>3.02%, CPI</v>
      </c>
      <c r="S74" s="83" t="str">
        <f t="shared" si="47"/>
        <v>0.00%</v>
      </c>
      <c r="T74" s="2">
        <f t="shared" si="52"/>
        <v>0</v>
      </c>
      <c r="U74" s="81" t="str">
        <f>TEXT('MYP Assumptions'!H75,"0.00%")&amp;", CPI"</f>
        <v>2.73%, CPI</v>
      </c>
      <c r="W74" s="83" t="str">
        <f t="shared" si="48"/>
        <v>0.00%</v>
      </c>
      <c r="X74" s="2">
        <f t="shared" si="53"/>
        <v>0</v>
      </c>
      <c r="Y74" s="81" t="str">
        <f>TEXT('MYP Assumptions'!I75,"0.00%")&amp;", CPI"</f>
        <v>2.73%, CPI</v>
      </c>
      <c r="AA74" s="83" t="str">
        <f t="shared" si="49"/>
        <v>0.00%</v>
      </c>
      <c r="AB74" s="2">
        <f t="shared" si="54"/>
        <v>0</v>
      </c>
      <c r="AC74" s="81" t="str">
        <f>TEXT('MYP Assumptions'!J75,"0.00%")&amp;", CPI"</f>
        <v>2.73%, CPI</v>
      </c>
    </row>
    <row r="75" spans="1:29" hidden="1" x14ac:dyDescent="0.25">
      <c r="A75" s="152"/>
      <c r="B75" s="939"/>
      <c r="D75" s="2">
        <v>0</v>
      </c>
      <c r="E75" s="863"/>
      <c r="F75" s="2"/>
      <c r="G75" s="83" t="str">
        <f>IF(D75=0,"0.00%",(H75-D75)/D75)</f>
        <v>0.00%</v>
      </c>
      <c r="H75" s="2">
        <f t="shared" si="55"/>
        <v>0</v>
      </c>
      <c r="I75" s="854" t="str">
        <f>TEXT('MYP Assumptions'!E75,"0.00%")&amp;", CPI"</f>
        <v>3.42%, CPI</v>
      </c>
      <c r="J75" s="66"/>
      <c r="K75" s="83" t="str">
        <f t="shared" si="45"/>
        <v>0.00%</v>
      </c>
      <c r="L75" s="2">
        <f t="shared" si="50"/>
        <v>0</v>
      </c>
      <c r="M75" s="854" t="str">
        <f>TEXT('MYP Assumptions'!F75,"0.00%")&amp;", CPI"</f>
        <v>3.35%, CPI</v>
      </c>
      <c r="O75" s="83" t="str">
        <f t="shared" si="46"/>
        <v>0.00%</v>
      </c>
      <c r="P75" s="2">
        <f t="shared" si="51"/>
        <v>0</v>
      </c>
      <c r="Q75" s="854" t="str">
        <f>TEXT('MYP Assumptions'!G75,"0.00%")&amp;", CPI"</f>
        <v>3.02%, CPI</v>
      </c>
      <c r="S75" s="83" t="str">
        <f t="shared" si="47"/>
        <v>0.00%</v>
      </c>
      <c r="T75" s="2">
        <f t="shared" si="52"/>
        <v>0</v>
      </c>
      <c r="U75" s="81" t="str">
        <f>TEXT('MYP Assumptions'!H75,"0.00%")&amp;", CPI"</f>
        <v>2.73%, CPI</v>
      </c>
      <c r="W75" s="83" t="str">
        <f t="shared" si="48"/>
        <v>0.00%</v>
      </c>
      <c r="X75" s="2">
        <f t="shared" si="53"/>
        <v>0</v>
      </c>
      <c r="Y75" s="81" t="str">
        <f>TEXT('MYP Assumptions'!I75,"0.00%")&amp;", CPI"</f>
        <v>2.73%, CPI</v>
      </c>
      <c r="AA75" s="83" t="str">
        <f t="shared" si="49"/>
        <v>0.00%</v>
      </c>
      <c r="AB75" s="2">
        <f t="shared" si="54"/>
        <v>0</v>
      </c>
      <c r="AC75" s="81" t="str">
        <f>TEXT('MYP Assumptions'!J75,"0.00%")&amp;", CPI"</f>
        <v>2.73%, CPI</v>
      </c>
    </row>
    <row r="76" spans="1:29" hidden="1" x14ac:dyDescent="0.25">
      <c r="A76" s="152"/>
      <c r="B76" s="939"/>
      <c r="D76" s="2">
        <v>0</v>
      </c>
      <c r="E76" s="863"/>
      <c r="F76" s="2"/>
      <c r="G76" s="83" t="str">
        <f t="shared" ref="G76:G82" si="56">IF(D76=0,"0.00%",(H76-D76)/D76)</f>
        <v>0.00%</v>
      </c>
      <c r="H76" s="2">
        <f t="shared" si="55"/>
        <v>0</v>
      </c>
      <c r="I76" s="854" t="str">
        <f>TEXT('MYP Assumptions'!E75,"0.00%")&amp;", CPI"</f>
        <v>3.42%, CPI</v>
      </c>
      <c r="J76" s="66"/>
      <c r="K76" s="83" t="str">
        <f t="shared" si="45"/>
        <v>0.00%</v>
      </c>
      <c r="L76" s="2">
        <f t="shared" si="50"/>
        <v>0</v>
      </c>
      <c r="M76" s="854" t="str">
        <f>TEXT('MYP Assumptions'!F75,"0.00%")&amp;", CPI"</f>
        <v>3.35%, CPI</v>
      </c>
      <c r="O76" s="83" t="str">
        <f t="shared" si="46"/>
        <v>0.00%</v>
      </c>
      <c r="P76" s="2">
        <f t="shared" si="51"/>
        <v>0</v>
      </c>
      <c r="Q76" s="854" t="str">
        <f>TEXT('MYP Assumptions'!G75,"0.00%")&amp;", CPI"</f>
        <v>3.02%, CPI</v>
      </c>
      <c r="S76" s="83" t="str">
        <f t="shared" si="47"/>
        <v>0.00%</v>
      </c>
      <c r="T76" s="2">
        <f t="shared" si="52"/>
        <v>0</v>
      </c>
      <c r="U76" s="81" t="str">
        <f>TEXT('MYP Assumptions'!H75,"0.00%")&amp;", CPI"</f>
        <v>2.73%, CPI</v>
      </c>
      <c r="W76" s="83" t="str">
        <f t="shared" si="48"/>
        <v>0.00%</v>
      </c>
      <c r="X76" s="2">
        <f t="shared" si="53"/>
        <v>0</v>
      </c>
      <c r="Y76" s="81" t="str">
        <f>TEXT('MYP Assumptions'!I75,"0.00%")&amp;", CPI"</f>
        <v>2.73%, CPI</v>
      </c>
      <c r="AA76" s="83" t="str">
        <f t="shared" si="49"/>
        <v>0.00%</v>
      </c>
      <c r="AB76" s="2">
        <f t="shared" si="54"/>
        <v>0</v>
      </c>
      <c r="AC76" s="81" t="str">
        <f>TEXT('MYP Assumptions'!J75,"0.00%")&amp;", CPI"</f>
        <v>2.73%, CPI</v>
      </c>
    </row>
    <row r="77" spans="1:29" hidden="1" x14ac:dyDescent="0.25">
      <c r="A77" s="152"/>
      <c r="B77" s="939"/>
      <c r="D77" s="2">
        <v>0</v>
      </c>
      <c r="E77" s="863"/>
      <c r="F77" s="2"/>
      <c r="G77" s="83" t="str">
        <f t="shared" si="56"/>
        <v>0.00%</v>
      </c>
      <c r="H77" s="2">
        <f>ROUND(D77*(LEFT(I77,5)+1),0)</f>
        <v>0</v>
      </c>
      <c r="I77" s="854" t="str">
        <f>TEXT('MYP Assumptions'!E75,"0.00%")&amp;", CPI"</f>
        <v>3.42%, CPI</v>
      </c>
      <c r="J77" s="66"/>
      <c r="K77" s="83" t="str">
        <f t="shared" si="45"/>
        <v>0.00%</v>
      </c>
      <c r="L77" s="2">
        <f t="shared" si="50"/>
        <v>0</v>
      </c>
      <c r="M77" s="854" t="str">
        <f>TEXT('MYP Assumptions'!F75,"0.00%")&amp;", CPI"</f>
        <v>3.35%, CPI</v>
      </c>
      <c r="O77" s="83" t="str">
        <f t="shared" si="46"/>
        <v>0.00%</v>
      </c>
      <c r="P77" s="2">
        <f t="shared" si="51"/>
        <v>0</v>
      </c>
      <c r="Q77" s="854" t="str">
        <f>TEXT('MYP Assumptions'!G75,"0.00%")&amp;", CPI"</f>
        <v>3.02%, CPI</v>
      </c>
      <c r="S77" s="83" t="str">
        <f t="shared" si="47"/>
        <v>0.00%</v>
      </c>
      <c r="T77" s="2">
        <f t="shared" si="52"/>
        <v>0</v>
      </c>
      <c r="U77" s="81" t="str">
        <f>TEXT('MYP Assumptions'!H75,"0.00%")&amp;", CPI"</f>
        <v>2.73%, CPI</v>
      </c>
      <c r="W77" s="83" t="str">
        <f t="shared" si="48"/>
        <v>0.00%</v>
      </c>
      <c r="X77" s="2">
        <f t="shared" si="53"/>
        <v>0</v>
      </c>
      <c r="Y77" s="81" t="str">
        <f>TEXT('MYP Assumptions'!I75,"0.00%")&amp;", CPI"</f>
        <v>2.73%, CPI</v>
      </c>
      <c r="AA77" s="83" t="str">
        <f t="shared" si="49"/>
        <v>0.00%</v>
      </c>
      <c r="AB77" s="2">
        <f t="shared" si="54"/>
        <v>0</v>
      </c>
      <c r="AC77" s="81" t="str">
        <f>TEXT('MYP Assumptions'!J75,"0.00%")&amp;", CPI"</f>
        <v>2.73%, CPI</v>
      </c>
    </row>
    <row r="78" spans="1:29" hidden="1" x14ac:dyDescent="0.25">
      <c r="A78" s="152"/>
      <c r="B78" s="939"/>
      <c r="D78" s="2">
        <v>0</v>
      </c>
      <c r="E78" s="863"/>
      <c r="F78" s="2"/>
      <c r="G78" s="83" t="str">
        <f t="shared" si="56"/>
        <v>0.00%</v>
      </c>
      <c r="H78" s="2">
        <f>ROUND(D78*(LEFT(I78,5)+1),0)</f>
        <v>0</v>
      </c>
      <c r="I78" s="854" t="str">
        <f>TEXT('MYP Assumptions'!E75,"0.00%")&amp;", CPI"</f>
        <v>3.42%, CPI</v>
      </c>
      <c r="J78" s="66"/>
      <c r="K78" s="83" t="str">
        <f t="shared" si="45"/>
        <v>0.00%</v>
      </c>
      <c r="L78" s="2">
        <f t="shared" si="50"/>
        <v>0</v>
      </c>
      <c r="M78" s="854" t="str">
        <f>TEXT('MYP Assumptions'!F75,"0.00%")&amp;", CPI"</f>
        <v>3.35%, CPI</v>
      </c>
      <c r="O78" s="83" t="str">
        <f t="shared" si="46"/>
        <v>0.00%</v>
      </c>
      <c r="P78" s="2">
        <f t="shared" si="51"/>
        <v>0</v>
      </c>
      <c r="Q78" s="854" t="str">
        <f>TEXT('MYP Assumptions'!G75,"0.00%")&amp;", CPI"</f>
        <v>3.02%, CPI</v>
      </c>
      <c r="S78" s="83" t="str">
        <f t="shared" si="47"/>
        <v>0.00%</v>
      </c>
      <c r="T78" s="2">
        <f t="shared" si="52"/>
        <v>0</v>
      </c>
      <c r="U78" s="81" t="str">
        <f>TEXT('MYP Assumptions'!H75,"0.00%")&amp;", CPI"</f>
        <v>2.73%, CPI</v>
      </c>
      <c r="W78" s="83" t="str">
        <f t="shared" si="48"/>
        <v>0.00%</v>
      </c>
      <c r="X78" s="2">
        <f t="shared" si="53"/>
        <v>0</v>
      </c>
      <c r="Y78" s="81" t="str">
        <f>TEXT('MYP Assumptions'!I75,"0.00%")&amp;", CPI"</f>
        <v>2.73%, CPI</v>
      </c>
      <c r="AA78" s="83" t="str">
        <f t="shared" si="49"/>
        <v>0.00%</v>
      </c>
      <c r="AB78" s="2">
        <f t="shared" si="54"/>
        <v>0</v>
      </c>
      <c r="AC78" s="81" t="str">
        <f>TEXT('MYP Assumptions'!J75,"0.00%")&amp;", CPI"</f>
        <v>2.73%, CPI</v>
      </c>
    </row>
    <row r="79" spans="1:29" hidden="1" x14ac:dyDescent="0.25">
      <c r="A79" s="152"/>
      <c r="B79" s="939"/>
      <c r="D79" s="2">
        <v>0</v>
      </c>
      <c r="E79" s="863"/>
      <c r="F79" s="2"/>
      <c r="G79" s="83" t="str">
        <f t="shared" si="56"/>
        <v>0.00%</v>
      </c>
      <c r="H79" s="2">
        <f>ROUND(D79*(LEFT(I79,5)+1),0)</f>
        <v>0</v>
      </c>
      <c r="I79" s="854" t="str">
        <f>TEXT('MYP Assumptions'!E75,"0.00%")&amp;", CPI"</f>
        <v>3.42%, CPI</v>
      </c>
      <c r="J79" s="66"/>
      <c r="K79" s="83" t="str">
        <f t="shared" si="45"/>
        <v>0.00%</v>
      </c>
      <c r="L79" s="2">
        <f t="shared" si="50"/>
        <v>0</v>
      </c>
      <c r="M79" s="854" t="str">
        <f>TEXT('MYP Assumptions'!F75,"0.00%")&amp;", CPI"</f>
        <v>3.35%, CPI</v>
      </c>
      <c r="O79" s="83" t="str">
        <f t="shared" si="46"/>
        <v>0.00%</v>
      </c>
      <c r="P79" s="2">
        <f t="shared" si="51"/>
        <v>0</v>
      </c>
      <c r="Q79" s="854" t="str">
        <f>TEXT('MYP Assumptions'!G75,"0.00%")&amp;", CPI"</f>
        <v>3.02%, CPI</v>
      </c>
      <c r="S79" s="83" t="str">
        <f t="shared" si="47"/>
        <v>0.00%</v>
      </c>
      <c r="T79" s="2">
        <f t="shared" si="52"/>
        <v>0</v>
      </c>
      <c r="U79" s="81" t="str">
        <f>TEXT('MYP Assumptions'!H75,"0.00%")&amp;", CPI"</f>
        <v>2.73%, CPI</v>
      </c>
      <c r="W79" s="83" t="str">
        <f t="shared" si="48"/>
        <v>0.00%</v>
      </c>
      <c r="X79" s="2">
        <f t="shared" si="53"/>
        <v>0</v>
      </c>
      <c r="Y79" s="81" t="str">
        <f>TEXT('MYP Assumptions'!I75,"0.00%")&amp;", CPI"</f>
        <v>2.73%, CPI</v>
      </c>
      <c r="AA79" s="83" t="str">
        <f t="shared" si="49"/>
        <v>0.00%</v>
      </c>
      <c r="AB79" s="2">
        <f t="shared" si="54"/>
        <v>0</v>
      </c>
      <c r="AC79" s="81" t="str">
        <f>TEXT('MYP Assumptions'!J75,"0.00%")&amp;", CPI"</f>
        <v>2.73%, CPI</v>
      </c>
    </row>
    <row r="80" spans="1:29" hidden="1" x14ac:dyDescent="0.25">
      <c r="A80" s="152"/>
      <c r="B80" s="939"/>
      <c r="D80" s="2">
        <v>0</v>
      </c>
      <c r="E80" s="863"/>
      <c r="F80" s="2"/>
      <c r="G80" s="83" t="str">
        <f t="shared" si="56"/>
        <v>0.00%</v>
      </c>
      <c r="H80" s="2">
        <f>ROUND(D80*(LEFT(I80,5)+1),0)</f>
        <v>0</v>
      </c>
      <c r="I80" s="854" t="str">
        <f>TEXT('MYP Assumptions'!E75,"0.00%")&amp;", CPI"</f>
        <v>3.42%, CPI</v>
      </c>
      <c r="J80" s="66"/>
      <c r="K80" s="83" t="str">
        <f t="shared" si="45"/>
        <v>0.00%</v>
      </c>
      <c r="L80" s="2">
        <f t="shared" si="50"/>
        <v>0</v>
      </c>
      <c r="M80" s="854" t="str">
        <f>TEXT('MYP Assumptions'!F75,"0.00%")&amp;", CPI"</f>
        <v>3.35%, CPI</v>
      </c>
      <c r="O80" s="83" t="str">
        <f t="shared" si="46"/>
        <v>0.00%</v>
      </c>
      <c r="P80" s="2">
        <f t="shared" si="51"/>
        <v>0</v>
      </c>
      <c r="Q80" s="854" t="str">
        <f>TEXT('MYP Assumptions'!G75,"0.00%")&amp;", CPI"</f>
        <v>3.02%, CPI</v>
      </c>
      <c r="S80" s="83" t="str">
        <f t="shared" si="47"/>
        <v>0.00%</v>
      </c>
      <c r="T80" s="2">
        <f t="shared" si="52"/>
        <v>0</v>
      </c>
      <c r="U80" s="81" t="str">
        <f>TEXT('MYP Assumptions'!H75,"0.00%")&amp;", CPI"</f>
        <v>2.73%, CPI</v>
      </c>
      <c r="W80" s="83" t="str">
        <f t="shared" si="48"/>
        <v>0.00%</v>
      </c>
      <c r="X80" s="2">
        <f t="shared" si="53"/>
        <v>0</v>
      </c>
      <c r="Y80" s="81" t="str">
        <f>TEXT('MYP Assumptions'!I75,"0.00%")&amp;", CPI"</f>
        <v>2.73%, CPI</v>
      </c>
      <c r="AA80" s="83" t="str">
        <f t="shared" si="49"/>
        <v>0.00%</v>
      </c>
      <c r="AB80" s="2">
        <f t="shared" si="54"/>
        <v>0</v>
      </c>
      <c r="AC80" s="81" t="str">
        <f>TEXT('MYP Assumptions'!J75,"0.00%")&amp;", CPI"</f>
        <v>2.73%, CPI</v>
      </c>
    </row>
    <row r="81" spans="1:29" hidden="1" x14ac:dyDescent="0.25">
      <c r="A81" s="152"/>
      <c r="B81" s="939"/>
      <c r="D81" s="2">
        <f>'RS 3010-ALL'!AF80</f>
        <v>0</v>
      </c>
      <c r="E81" s="863"/>
      <c r="F81" s="2"/>
      <c r="G81" s="83" t="str">
        <f t="shared" si="56"/>
        <v>0.00%</v>
      </c>
      <c r="H81" s="2">
        <f>ROUND(D81*(LEFT(I81,5)+1),0)</f>
        <v>0</v>
      </c>
      <c r="I81" s="854" t="str">
        <f>TEXT('MYP Assumptions'!E75,"0.00%")&amp;", CPI"</f>
        <v>3.42%, CPI</v>
      </c>
      <c r="J81" s="66"/>
      <c r="K81" s="83" t="str">
        <f t="shared" si="45"/>
        <v>0.00%</v>
      </c>
      <c r="L81" s="2">
        <f t="shared" si="50"/>
        <v>0</v>
      </c>
      <c r="M81" s="854" t="str">
        <f>TEXT('MYP Assumptions'!F75,"0.00%")&amp;", CPI"</f>
        <v>3.35%, CPI</v>
      </c>
      <c r="O81" s="83" t="str">
        <f t="shared" si="46"/>
        <v>0.00%</v>
      </c>
      <c r="P81" s="2">
        <f t="shared" si="51"/>
        <v>0</v>
      </c>
      <c r="Q81" s="854" t="str">
        <f>TEXT('MYP Assumptions'!G75,"0.00%")&amp;", CPI"</f>
        <v>3.02%, CPI</v>
      </c>
      <c r="S81" s="83" t="str">
        <f t="shared" si="47"/>
        <v>0.00%</v>
      </c>
      <c r="T81" s="2">
        <f t="shared" si="52"/>
        <v>0</v>
      </c>
      <c r="U81" s="81" t="str">
        <f>TEXT('MYP Assumptions'!H75,"0.00%")&amp;", CPI"</f>
        <v>2.73%, CPI</v>
      </c>
      <c r="W81" s="83" t="str">
        <f t="shared" si="48"/>
        <v>0.00%</v>
      </c>
      <c r="X81" s="2">
        <f t="shared" si="53"/>
        <v>0</v>
      </c>
      <c r="Y81" s="81" t="str">
        <f>TEXT('MYP Assumptions'!I75,"0.00%")&amp;", CPI"</f>
        <v>2.73%, CPI</v>
      </c>
      <c r="AA81" s="83" t="str">
        <f t="shared" si="49"/>
        <v>0.00%</v>
      </c>
      <c r="AB81" s="2">
        <f t="shared" si="54"/>
        <v>0</v>
      </c>
      <c r="AC81" s="81" t="str">
        <f>TEXT('MYP Assumptions'!J75,"0.00%")&amp;", CPI"</f>
        <v>2.73%, CPI</v>
      </c>
    </row>
    <row r="82" spans="1:29" hidden="1" x14ac:dyDescent="0.25">
      <c r="A82" s="153"/>
      <c r="D82" s="8">
        <f>SUM(D69:D81)</f>
        <v>0</v>
      </c>
      <c r="E82" s="863"/>
      <c r="F82" s="2"/>
      <c r="G82" s="83" t="str">
        <f t="shared" si="56"/>
        <v>0.00%</v>
      </c>
      <c r="H82" s="8">
        <f>SUM(H69:H81)</f>
        <v>0</v>
      </c>
      <c r="I82" s="872"/>
      <c r="J82" s="29"/>
      <c r="K82" s="83" t="str">
        <f t="shared" si="45"/>
        <v>0.00%</v>
      </c>
      <c r="L82" s="8">
        <f>SUM(L69:L81)</f>
        <v>0</v>
      </c>
      <c r="M82" s="948"/>
      <c r="O82" s="83" t="str">
        <f t="shared" si="46"/>
        <v>0.00%</v>
      </c>
      <c r="P82" s="8">
        <f>SUM(P69:P81)</f>
        <v>0</v>
      </c>
      <c r="Q82" s="948"/>
      <c r="S82" s="83" t="str">
        <f t="shared" si="47"/>
        <v>0.00%</v>
      </c>
      <c r="T82" s="8">
        <f>SUM(T69:T81)</f>
        <v>0</v>
      </c>
      <c r="U82" s="73"/>
      <c r="W82" s="83" t="str">
        <f t="shared" si="48"/>
        <v>0.00%</v>
      </c>
      <c r="X82" s="8">
        <f>SUM(X69:X81)</f>
        <v>0</v>
      </c>
      <c r="Y82" s="73"/>
      <c r="AA82" s="83" t="str">
        <f t="shared" si="49"/>
        <v>0.00%</v>
      </c>
      <c r="AB82" s="8">
        <f>SUM(AB69:AB81)</f>
        <v>0</v>
      </c>
      <c r="AC82" s="73"/>
    </row>
    <row r="83" spans="1:29" hidden="1" x14ac:dyDescent="0.25">
      <c r="A83" s="152"/>
      <c r="B83" s="936"/>
      <c r="E83" s="863"/>
      <c r="F83" s="2"/>
      <c r="G83" s="83"/>
      <c r="H83" s="2"/>
      <c r="I83" s="871"/>
      <c r="J83" s="66"/>
      <c r="L83" s="2"/>
      <c r="M83" s="948"/>
      <c r="Q83" s="948"/>
      <c r="T83" s="2"/>
      <c r="U83" s="73"/>
      <c r="X83" s="2"/>
      <c r="Y83" s="73"/>
      <c r="AB83" s="2"/>
      <c r="AC83" s="73"/>
    </row>
    <row r="84" spans="1:29" x14ac:dyDescent="0.25">
      <c r="A84" s="152"/>
      <c r="E84" s="863"/>
      <c r="F84" s="2"/>
      <c r="H84" s="2"/>
      <c r="I84" s="871"/>
      <c r="J84" s="66"/>
      <c r="L84" s="2"/>
      <c r="M84" s="948"/>
      <c r="Q84" s="948"/>
      <c r="T84" s="2"/>
      <c r="U84" s="73"/>
      <c r="X84" s="2"/>
      <c r="Y84" s="73"/>
      <c r="AB84" s="2"/>
      <c r="AC84" s="73"/>
    </row>
    <row r="85" spans="1:29" x14ac:dyDescent="0.25">
      <c r="A85" s="153"/>
      <c r="B85" s="936" t="s">
        <v>0</v>
      </c>
      <c r="D85" s="8">
        <f>SUM(D82,D66,D55,D13)</f>
        <v>18000</v>
      </c>
      <c r="E85" s="863"/>
      <c r="F85" s="2"/>
      <c r="G85" s="83">
        <f>IF(D85=0,"0.00%",(H85-D85)/D85)</f>
        <v>0</v>
      </c>
      <c r="H85" s="8">
        <f>SUM(H82,H66,H55,H13)</f>
        <v>18000</v>
      </c>
      <c r="I85" s="1292">
        <f>+H85-D85</f>
        <v>0</v>
      </c>
      <c r="J85" s="29"/>
      <c r="K85" s="83">
        <f>IF(H85=0,"0.00%",(L85-H85)/H85)</f>
        <v>0</v>
      </c>
      <c r="L85" s="8">
        <f>SUM(L82,L66,L55,L13)</f>
        <v>18000</v>
      </c>
      <c r="M85" s="1292">
        <f>+L85-H85</f>
        <v>0</v>
      </c>
      <c r="O85" s="83">
        <f>IF(L85=0,"0.00%",(P85-L85)/L85)</f>
        <v>0</v>
      </c>
      <c r="P85" s="8">
        <f>SUM(P82,P66,P55,P13)</f>
        <v>18000</v>
      </c>
      <c r="Q85" s="1292">
        <f>+P85-L85</f>
        <v>0</v>
      </c>
      <c r="S85" s="83">
        <f>IF(P85=0,"0.00%",(T85-P85)/P85)</f>
        <v>0.12377777777777778</v>
      </c>
      <c r="T85" s="8">
        <f>SUM(T82,T66,T55,T13)</f>
        <v>20228</v>
      </c>
      <c r="U85" s="73"/>
      <c r="W85" s="83">
        <f>IF(T85=0,"0.00%",(X85-T85)/T85)</f>
        <v>-6.426735218508997E-4</v>
      </c>
      <c r="X85" s="8">
        <f>SUM(X82,X66,X55,X13)</f>
        <v>20215</v>
      </c>
      <c r="Y85" s="73"/>
      <c r="AA85" s="83">
        <f>IF(X85=0,"0.00%",(AB85-X85)/X85)</f>
        <v>2.9384120702448675E-2</v>
      </c>
      <c r="AB85" s="8">
        <f>SUM(AB82,AB66,AB55,AB13)</f>
        <v>20809</v>
      </c>
      <c r="AC85" s="73"/>
    </row>
    <row r="86" spans="1:29" x14ac:dyDescent="0.25">
      <c r="A86" s="152"/>
      <c r="E86" s="863"/>
      <c r="F86" s="2"/>
      <c r="H86" s="2"/>
      <c r="I86" s="871"/>
      <c r="J86" s="66"/>
      <c r="L86" s="2"/>
      <c r="M86" s="948"/>
      <c r="Q86" s="948"/>
      <c r="T86" s="2"/>
      <c r="U86" s="73"/>
      <c r="X86" s="2"/>
      <c r="Y86" s="73"/>
      <c r="AB86" s="2"/>
      <c r="AC86" s="73"/>
    </row>
    <row r="87" spans="1:29" x14ac:dyDescent="0.25">
      <c r="A87" s="152"/>
      <c r="B87" s="936" t="s">
        <v>138</v>
      </c>
      <c r="D87" s="3">
        <f>D11-D85</f>
        <v>0</v>
      </c>
      <c r="G87" s="83" t="str">
        <f>IF(D87=0,"0.00%",(H87-D87)/D87)</f>
        <v>0.00%</v>
      </c>
      <c r="H87" s="3">
        <f>H11-H85</f>
        <v>0</v>
      </c>
      <c r="I87" s="871"/>
      <c r="J87" s="66"/>
      <c r="K87" s="83" t="str">
        <f>IF(H87=0,"0.00%",(L87-H87)/H87)</f>
        <v>0.00%</v>
      </c>
      <c r="L87" s="3">
        <f>L11-L85</f>
        <v>0</v>
      </c>
      <c r="M87" s="948"/>
      <c r="O87" s="83" t="str">
        <f>IF(L87=0,"0.00%",(P87-L87)/L87)</f>
        <v>0.00%</v>
      </c>
      <c r="P87" s="3">
        <f>P11-P85</f>
        <v>0</v>
      </c>
      <c r="Q87" s="948"/>
      <c r="S87" s="83" t="str">
        <f>IF(P87=0,"0.00%",(T87-P87)/P87)</f>
        <v>0.00%</v>
      </c>
      <c r="T87" s="3">
        <f>T11-T85</f>
        <v>-1765</v>
      </c>
      <c r="U87" s="73"/>
      <c r="W87" s="83">
        <f>IF(T87=0,"0.00%",(X87-T87)/T87)</f>
        <v>10.453257790368271</v>
      </c>
      <c r="X87" s="3">
        <f>X11-X85</f>
        <v>-20215</v>
      </c>
      <c r="Y87" s="73"/>
      <c r="AA87" s="83">
        <f>IF(X87=0,"0.00%",(AB87-X87)/X87)</f>
        <v>2.9384120702448675E-2</v>
      </c>
      <c r="AB87" s="3">
        <f>AB11-AB85</f>
        <v>-20809</v>
      </c>
      <c r="AC87" s="73"/>
    </row>
    <row r="88" spans="1:29" x14ac:dyDescent="0.25">
      <c r="B88" s="936"/>
      <c r="C88" s="930"/>
      <c r="D88" s="3"/>
      <c r="H88" s="3"/>
      <c r="I88" s="871"/>
      <c r="J88" s="66"/>
      <c r="L88" s="3"/>
      <c r="M88" s="948"/>
      <c r="P88" s="3"/>
      <c r="Q88" s="948"/>
      <c r="T88" s="44"/>
      <c r="U88" s="73"/>
      <c r="X88" s="44"/>
      <c r="Y88" s="73"/>
      <c r="AB88" s="44"/>
      <c r="AC88" s="73"/>
    </row>
    <row r="89" spans="1:29" x14ac:dyDescent="0.25">
      <c r="B89" s="936" t="s">
        <v>136</v>
      </c>
      <c r="C89" s="932"/>
      <c r="D89" s="3">
        <f>D7+D87</f>
        <v>0</v>
      </c>
      <c r="G89" s="83" t="str">
        <f>IF(D89=0,"0.00%",(H89-D89)/D89)</f>
        <v>0.00%</v>
      </c>
      <c r="H89" s="3">
        <f>H7+H87</f>
        <v>0</v>
      </c>
      <c r="I89" s="871"/>
      <c r="J89" s="66"/>
      <c r="K89" s="83" t="str">
        <f>IF(H89=0,"0.00%",(L89-H89)/H89)</f>
        <v>0.00%</v>
      </c>
      <c r="L89" s="3">
        <f>L7+L87</f>
        <v>0</v>
      </c>
      <c r="M89" s="948"/>
      <c r="O89" s="83" t="str">
        <f>IF(L89=0,"0.00%",(P89-L89)/L89)</f>
        <v>0.00%</v>
      </c>
      <c r="P89" s="3">
        <f>P7+P87</f>
        <v>0</v>
      </c>
      <c r="Q89" s="948"/>
      <c r="S89" s="83" t="str">
        <f>IF(P89=0,"0.00%",(T89-P89)/P89)</f>
        <v>0.00%</v>
      </c>
      <c r="T89" s="49">
        <f>T7+T87</f>
        <v>-1765</v>
      </c>
      <c r="U89" s="73"/>
      <c r="W89" s="83">
        <f>IF(T89=0,"0.00%",(X89-T89)/T89)</f>
        <v>11.453257790368271</v>
      </c>
      <c r="X89" s="49">
        <f>X7+X87</f>
        <v>-21980</v>
      </c>
      <c r="Y89" s="73"/>
      <c r="AA89" s="83">
        <f>IF(X89=0,"0.00%",(AB89-X89)/X89)</f>
        <v>0.94672429481346676</v>
      </c>
      <c r="AB89" s="49">
        <f>AB7+AB87</f>
        <v>-42789</v>
      </c>
      <c r="AC89" s="73"/>
    </row>
    <row r="90" spans="1:29" x14ac:dyDescent="0.25">
      <c r="C90" s="873"/>
      <c r="G90" s="374"/>
      <c r="H90" s="5"/>
      <c r="I90" s="872"/>
      <c r="J90" s="29"/>
      <c r="L90" s="5"/>
      <c r="M90" s="948"/>
      <c r="P90" s="5"/>
      <c r="Q90" s="948"/>
      <c r="T90" s="5"/>
      <c r="U90" s="73"/>
      <c r="X90" s="5"/>
      <c r="Y90" s="73"/>
      <c r="AB90" s="5"/>
      <c r="AC90" s="73"/>
    </row>
    <row r="91" spans="1:29" x14ac:dyDescent="0.25">
      <c r="C91" s="868"/>
      <c r="G91" s="374"/>
      <c r="H91" s="36"/>
      <c r="I91" s="871"/>
      <c r="J91" s="66"/>
      <c r="L91" s="2"/>
      <c r="M91" s="948"/>
      <c r="Q91" s="948"/>
      <c r="T91" s="2"/>
      <c r="U91" s="73"/>
      <c r="X91" s="2"/>
      <c r="Y91" s="73"/>
      <c r="AB91" s="2"/>
      <c r="AC91" s="73"/>
    </row>
    <row r="92" spans="1:29" x14ac:dyDescent="0.25">
      <c r="C92" s="868"/>
      <c r="G92" s="374"/>
      <c r="H92" s="36"/>
      <c r="I92" s="871"/>
      <c r="J92" s="66"/>
      <c r="L92" s="2"/>
      <c r="M92" s="948"/>
      <c r="Q92" s="948"/>
      <c r="T92" s="2"/>
      <c r="U92" s="73"/>
      <c r="X92" s="2"/>
      <c r="Y92" s="73"/>
      <c r="AB92" s="2"/>
      <c r="AC92" s="73"/>
    </row>
    <row r="93" spans="1:29" x14ac:dyDescent="0.25">
      <c r="C93" s="868"/>
      <c r="G93" s="374"/>
      <c r="H93" s="36"/>
      <c r="I93" s="871"/>
      <c r="J93" s="66"/>
      <c r="L93" s="2"/>
      <c r="M93" s="948"/>
      <c r="Q93" s="948"/>
      <c r="T93" s="2"/>
      <c r="U93" s="73"/>
      <c r="X93" s="2"/>
      <c r="Y93" s="73"/>
      <c r="AB93" s="2"/>
      <c r="AC93" s="73"/>
    </row>
    <row r="94" spans="1:29" x14ac:dyDescent="0.25">
      <c r="C94" s="868"/>
      <c r="G94" s="374"/>
      <c r="H94" s="36"/>
      <c r="I94" s="871"/>
      <c r="J94" s="66"/>
      <c r="L94" s="2"/>
      <c r="M94" s="948"/>
      <c r="Q94" s="948"/>
      <c r="T94" s="2"/>
      <c r="U94" s="73"/>
      <c r="X94" s="2"/>
      <c r="Y94" s="73"/>
      <c r="AB94" s="2"/>
      <c r="AC94" s="73"/>
    </row>
    <row r="95" spans="1:29" s="137" customFormat="1" ht="11.25" x14ac:dyDescent="0.2">
      <c r="A95" s="156"/>
      <c r="B95" s="942"/>
      <c r="C95" s="943" t="s">
        <v>223</v>
      </c>
      <c r="D95" s="134">
        <f>+D82+D66+D53+D41+D30</f>
        <v>17357.759999999998</v>
      </c>
      <c r="E95" s="865"/>
      <c r="G95" s="133" t="s">
        <v>223</v>
      </c>
      <c r="H95" s="134">
        <f>+H82+H66+H53+H41+H30</f>
        <v>17235</v>
      </c>
      <c r="I95" s="874"/>
      <c r="J95" s="135"/>
      <c r="K95" s="133" t="s">
        <v>223</v>
      </c>
      <c r="L95" s="134">
        <f>+L82+L66+L53+L41+L30</f>
        <v>17515</v>
      </c>
      <c r="M95" s="951"/>
      <c r="O95" s="133" t="s">
        <v>223</v>
      </c>
      <c r="P95" s="134">
        <f>+P82+P66+P53+P41+P30</f>
        <v>17841</v>
      </c>
      <c r="Q95" s="951"/>
      <c r="R95" s="139"/>
      <c r="S95" s="133" t="s">
        <v>223</v>
      </c>
      <c r="T95" s="134">
        <f>+T82+T66+T53+T41+T30</f>
        <v>19569</v>
      </c>
      <c r="U95" s="138"/>
      <c r="W95" s="133" t="s">
        <v>223</v>
      </c>
      <c r="X95" s="134">
        <f>+X82+X66+X53+X41+X30</f>
        <v>20215</v>
      </c>
      <c r="Y95" s="138"/>
      <c r="AA95" s="133" t="s">
        <v>223</v>
      </c>
      <c r="AB95" s="134">
        <f>+AB82+AB66+AB53+AB41+AB30</f>
        <v>20809</v>
      </c>
      <c r="AC95" s="138"/>
    </row>
    <row r="96" spans="1:29" s="137" customFormat="1" ht="11.25" x14ac:dyDescent="0.2">
      <c r="A96" s="158"/>
      <c r="B96" s="942"/>
      <c r="C96" s="944" t="s">
        <v>224</v>
      </c>
      <c r="D96" s="142">
        <f>+D13</f>
        <v>642.24</v>
      </c>
      <c r="E96" s="866"/>
      <c r="F96" s="144"/>
      <c r="G96" s="375" t="s">
        <v>224</v>
      </c>
      <c r="H96" s="142">
        <f>+H13</f>
        <v>765</v>
      </c>
      <c r="I96" s="875"/>
      <c r="J96" s="143"/>
      <c r="K96" s="375" t="s">
        <v>224</v>
      </c>
      <c r="L96" s="142">
        <f>+L13</f>
        <v>485</v>
      </c>
      <c r="M96" s="951"/>
      <c r="O96" s="375" t="s">
        <v>224</v>
      </c>
      <c r="P96" s="142">
        <f>+P13</f>
        <v>159</v>
      </c>
      <c r="Q96" s="865"/>
      <c r="R96" s="139"/>
      <c r="S96" s="141" t="s">
        <v>224</v>
      </c>
      <c r="T96" s="142">
        <f>+T13</f>
        <v>659</v>
      </c>
      <c r="W96" s="141" t="s">
        <v>224</v>
      </c>
      <c r="X96" s="142">
        <f>+X13</f>
        <v>0</v>
      </c>
      <c r="AA96" s="141" t="s">
        <v>224</v>
      </c>
      <c r="AB96" s="142">
        <f>+AB13</f>
        <v>0</v>
      </c>
    </row>
    <row r="97" spans="1:28" s="137" customFormat="1" ht="11.25" x14ac:dyDescent="0.2">
      <c r="A97" s="158"/>
      <c r="B97" s="942"/>
      <c r="C97" s="944"/>
      <c r="D97" s="145">
        <f>+D95+D96</f>
        <v>18000</v>
      </c>
      <c r="E97" s="866"/>
      <c r="F97" s="144"/>
      <c r="G97" s="375"/>
      <c r="H97" s="145">
        <f>+H95+H96</f>
        <v>18000</v>
      </c>
      <c r="I97" s="875"/>
      <c r="J97" s="143"/>
      <c r="K97" s="375"/>
      <c r="L97" s="145">
        <f>+L95+L96</f>
        <v>18000</v>
      </c>
      <c r="M97" s="865"/>
      <c r="O97" s="375"/>
      <c r="P97" s="145">
        <f>+P95+P96</f>
        <v>18000</v>
      </c>
      <c r="Q97" s="865"/>
      <c r="R97" s="139"/>
      <c r="S97" s="141"/>
      <c r="T97" s="145">
        <f>+T95+T96</f>
        <v>20228</v>
      </c>
      <c r="W97" s="141"/>
      <c r="X97" s="145">
        <f>+X95+X96</f>
        <v>20215</v>
      </c>
      <c r="AA97" s="141"/>
      <c r="AB97" s="145">
        <f>+AB95+AB96</f>
        <v>20809</v>
      </c>
    </row>
    <row r="98" spans="1:28" ht="15" customHeight="1" x14ac:dyDescent="0.25">
      <c r="A98" s="152"/>
      <c r="B98" s="945"/>
      <c r="C98" s="945"/>
      <c r="D98" s="5">
        <f>+D85-D97</f>
        <v>0</v>
      </c>
      <c r="E98" s="863"/>
      <c r="F98" s="2"/>
      <c r="G98" s="376"/>
      <c r="H98" s="5">
        <f>+H85-H97</f>
        <v>0</v>
      </c>
      <c r="K98" s="376"/>
      <c r="L98" s="5">
        <f>+L85-L97</f>
        <v>0</v>
      </c>
      <c r="O98" s="376"/>
      <c r="P98" s="5">
        <f>+P85-P97</f>
        <v>0</v>
      </c>
      <c r="S98" s="103"/>
      <c r="T98" s="5">
        <f>+T85-T97</f>
        <v>0</v>
      </c>
      <c r="W98" s="103"/>
      <c r="X98" s="5">
        <f>+X85-X97</f>
        <v>0</v>
      </c>
      <c r="AA98" s="103"/>
      <c r="AB98" s="5">
        <f>+AB85-AB97</f>
        <v>0</v>
      </c>
    </row>
    <row r="99" spans="1:28" x14ac:dyDescent="0.25">
      <c r="A99" s="152"/>
      <c r="B99" s="945"/>
      <c r="C99" s="945"/>
      <c r="D99" s="36"/>
      <c r="E99" s="863"/>
      <c r="F99" s="2"/>
    </row>
    <row r="100" spans="1:28" x14ac:dyDescent="0.25">
      <c r="A100" s="152"/>
      <c r="B100" s="932"/>
      <c r="C100" s="868"/>
      <c r="D100" s="25"/>
      <c r="E100" s="863"/>
      <c r="F100" s="2"/>
    </row>
    <row r="101" spans="1:28" x14ac:dyDescent="0.25">
      <c r="B101" s="932"/>
      <c r="C101" s="868"/>
      <c r="D101" s="36"/>
    </row>
    <row r="102" spans="1:28" x14ac:dyDescent="0.25">
      <c r="B102" s="932"/>
      <c r="C102" s="868"/>
      <c r="D102" s="36"/>
    </row>
    <row r="103" spans="1:28" ht="15" customHeight="1" x14ac:dyDescent="0.25">
      <c r="B103" s="932"/>
      <c r="C103" s="868"/>
      <c r="D103" s="36"/>
    </row>
    <row r="104" spans="1:28" x14ac:dyDescent="0.25">
      <c r="B104" s="932"/>
      <c r="C104" s="868"/>
      <c r="D104" s="36"/>
    </row>
    <row r="105" spans="1:28" x14ac:dyDescent="0.25">
      <c r="B105" s="932"/>
      <c r="C105" s="868"/>
      <c r="D105" s="36"/>
    </row>
    <row r="106" spans="1:28" ht="15" customHeight="1" x14ac:dyDescent="0.25">
      <c r="B106" s="2209"/>
      <c r="C106" s="2209"/>
      <c r="D106" s="36"/>
    </row>
    <row r="107" spans="1:28" x14ac:dyDescent="0.25">
      <c r="B107" s="2209"/>
      <c r="C107" s="2209"/>
      <c r="D107" s="36"/>
    </row>
    <row r="108" spans="1:28" x14ac:dyDescent="0.25">
      <c r="B108" s="932"/>
      <c r="C108" s="868"/>
      <c r="D108" s="6"/>
    </row>
    <row r="109" spans="1:28" x14ac:dyDescent="0.25">
      <c r="B109" s="932"/>
      <c r="C109" s="868"/>
      <c r="D109" s="36"/>
    </row>
    <row r="110" spans="1:28" x14ac:dyDescent="0.25">
      <c r="B110" s="932"/>
      <c r="C110" s="868"/>
      <c r="D110" s="36"/>
    </row>
    <row r="111" spans="1:28" ht="28.5" customHeight="1" x14ac:dyDescent="0.25">
      <c r="B111" s="932"/>
      <c r="C111" s="868"/>
      <c r="D111" s="25"/>
    </row>
    <row r="112" spans="1:28" x14ac:dyDescent="0.25">
      <c r="B112" s="932"/>
      <c r="C112" s="868"/>
      <c r="D112" s="36"/>
    </row>
    <row r="113" spans="2:4" x14ac:dyDescent="0.25">
      <c r="B113" s="932"/>
      <c r="C113" s="868"/>
      <c r="D113" s="36"/>
    </row>
    <row r="114" spans="2:4" x14ac:dyDescent="0.25">
      <c r="B114" s="932"/>
      <c r="C114" s="868"/>
      <c r="D114" s="36"/>
    </row>
    <row r="115" spans="2:4" x14ac:dyDescent="0.25">
      <c r="B115" s="932"/>
      <c r="C115" s="868"/>
      <c r="D115" s="36"/>
    </row>
    <row r="116" spans="2:4" x14ac:dyDescent="0.25">
      <c r="B116" s="932"/>
      <c r="C116" s="868"/>
      <c r="D116" s="36"/>
    </row>
    <row r="117" spans="2:4" x14ac:dyDescent="0.25">
      <c r="B117" s="932"/>
      <c r="C117" s="868"/>
      <c r="D117" s="36"/>
    </row>
    <row r="118" spans="2:4" x14ac:dyDescent="0.25">
      <c r="B118" s="932"/>
      <c r="C118" s="868"/>
      <c r="D118" s="36"/>
    </row>
    <row r="119" spans="2:4" x14ac:dyDescent="0.25">
      <c r="B119" s="932"/>
      <c r="C119" s="868"/>
      <c r="D119" s="36"/>
    </row>
    <row r="120" spans="2:4" x14ac:dyDescent="0.25">
      <c r="B120" s="932"/>
      <c r="C120" s="868"/>
      <c r="D120" s="36"/>
    </row>
    <row r="121" spans="2:4" x14ac:dyDescent="0.25">
      <c r="B121" s="932"/>
      <c r="C121" s="868"/>
      <c r="D121" s="36"/>
    </row>
    <row r="122" spans="2:4" x14ac:dyDescent="0.25">
      <c r="B122" s="932"/>
      <c r="C122" s="868"/>
      <c r="D122" s="36"/>
    </row>
    <row r="123" spans="2:4" x14ac:dyDescent="0.25">
      <c r="B123" s="932"/>
      <c r="C123" s="868"/>
      <c r="D123" s="36"/>
    </row>
    <row r="124" spans="2:4" x14ac:dyDescent="0.25">
      <c r="B124" s="932"/>
      <c r="C124" s="868"/>
      <c r="D124" s="36"/>
    </row>
    <row r="125" spans="2:4" x14ac:dyDescent="0.25">
      <c r="B125" s="932"/>
      <c r="C125" s="868"/>
      <c r="D125" s="36"/>
    </row>
    <row r="126" spans="2:4" x14ac:dyDescent="0.25">
      <c r="B126" s="932"/>
      <c r="C126" s="868"/>
      <c r="D126" s="36"/>
    </row>
  </sheetData>
  <sheetProtection password="B79F" sheet="1" objects="1" scenarios="1"/>
  <mergeCells count="1">
    <mergeCell ref="B106:C107"/>
  </mergeCells>
  <pageMargins left="0.25" right="0.25" top="0.5" bottom="0.5" header="0.25" footer="0.25"/>
  <pageSetup paperSize="5" scale="73" orientation="portrait" r:id="rId1"/>
  <headerFooter>
    <oddHeader>&amp;L&amp;F</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C129"/>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1.7109375" style="146" customWidth="1"/>
    <col min="2" max="2" width="8.5703125" style="930" customWidth="1"/>
    <col min="3" max="3" width="18.28515625" style="857" customWidth="1"/>
    <col min="4" max="4" width="16" style="2" customWidth="1"/>
    <col min="5" max="5" width="17.7109375" style="857" hidden="1" customWidth="1"/>
    <col min="6" max="6" width="6" style="39" customWidth="1"/>
    <col min="7" max="7" width="9.42578125" style="52" bestFit="1" customWidth="1"/>
    <col min="8" max="8" width="13.85546875" style="122" bestFit="1" customWidth="1"/>
    <col min="9" max="9" width="26" style="868" hidden="1" customWidth="1"/>
    <col min="10" max="10" width="5.7109375" style="59" customWidth="1"/>
    <col min="11" max="11" width="10.5703125" style="377" customWidth="1"/>
    <col min="12" max="12" width="14" style="123" bestFit="1" customWidth="1"/>
    <col min="13" max="13" width="26" style="857" hidden="1" customWidth="1"/>
    <col min="14" max="14" width="5.7109375" style="39" customWidth="1"/>
    <col min="15" max="15" width="9.42578125" style="377" bestFit="1" customWidth="1"/>
    <col min="16" max="16" width="14" style="2" bestFit="1" customWidth="1"/>
    <col min="17" max="17" width="24.85546875" style="857"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930" t="s">
        <v>61</v>
      </c>
      <c r="C1" s="931" t="s">
        <v>277</v>
      </c>
      <c r="D1" s="1044"/>
      <c r="E1" s="855"/>
      <c r="F1" s="98"/>
      <c r="G1" s="369"/>
      <c r="H1" s="1045"/>
      <c r="I1" s="855"/>
      <c r="K1" s="382"/>
      <c r="L1" s="122"/>
      <c r="M1" s="855"/>
      <c r="N1" s="51"/>
      <c r="O1" s="382"/>
      <c r="P1" s="122"/>
      <c r="Q1" s="855"/>
      <c r="T1" s="86">
        <v>0</v>
      </c>
      <c r="U1" s="98"/>
      <c r="X1" s="86">
        <v>0</v>
      </c>
      <c r="Y1" s="98"/>
      <c r="AB1" s="86">
        <v>0</v>
      </c>
      <c r="AC1" s="98"/>
    </row>
    <row r="2" spans="1:29" ht="17.25" x14ac:dyDescent="0.4">
      <c r="B2" s="932" t="s">
        <v>59</v>
      </c>
      <c r="C2" s="933">
        <v>7810</v>
      </c>
      <c r="D2" s="1045"/>
      <c r="E2" s="855"/>
      <c r="F2" s="98"/>
      <c r="G2" s="1863"/>
      <c r="H2" s="1045"/>
      <c r="I2" s="855"/>
      <c r="K2" s="382"/>
      <c r="L2" s="87"/>
      <c r="M2" s="855"/>
      <c r="N2" s="51"/>
      <c r="O2" s="382"/>
      <c r="P2" s="87"/>
      <c r="Q2" s="855"/>
      <c r="T2" s="87">
        <v>0</v>
      </c>
      <c r="U2" s="98"/>
      <c r="X2" s="87">
        <v>0</v>
      </c>
      <c r="Y2" s="98"/>
      <c r="AB2" s="87">
        <v>0</v>
      </c>
      <c r="AC2" s="98"/>
    </row>
    <row r="3" spans="1:29" x14ac:dyDescent="0.25">
      <c r="D3" s="1046"/>
      <c r="E3" s="867"/>
      <c r="F3" s="1047"/>
      <c r="G3" s="1864"/>
      <c r="H3" s="1046"/>
      <c r="I3" s="867"/>
      <c r="K3" s="382"/>
      <c r="L3" s="122"/>
      <c r="M3" s="868"/>
      <c r="N3" s="51"/>
      <c r="O3" s="382"/>
      <c r="P3" s="122"/>
      <c r="Q3" s="868"/>
      <c r="T3" s="86">
        <f>SUM(T1:T2)</f>
        <v>0</v>
      </c>
      <c r="U3" s="51"/>
      <c r="X3" s="86">
        <f>SUM(X1:X2)</f>
        <v>0</v>
      </c>
      <c r="Y3" s="51"/>
      <c r="AB3" s="86">
        <f>SUM(AB1:AB2)</f>
        <v>0</v>
      </c>
      <c r="AC3" s="51"/>
    </row>
    <row r="4" spans="1:29" x14ac:dyDescent="0.25">
      <c r="L4" s="122"/>
      <c r="M4" s="868"/>
      <c r="P4" s="122"/>
      <c r="Q4" s="868"/>
      <c r="T4" s="86"/>
      <c r="U4" s="51"/>
      <c r="X4" s="86"/>
      <c r="Y4" s="51"/>
      <c r="AB4" s="86"/>
      <c r="AC4" s="51"/>
    </row>
    <row r="5" spans="1:29" ht="15.75" x14ac:dyDescent="0.25">
      <c r="B5" s="934" t="s">
        <v>56</v>
      </c>
      <c r="P5" s="123"/>
      <c r="T5" s="73"/>
      <c r="X5" s="73"/>
      <c r="AB5" s="73"/>
    </row>
    <row r="6" spans="1:29" s="89" customFormat="1" ht="15.75" x14ac:dyDescent="0.25">
      <c r="A6" s="147"/>
      <c r="B6" s="935"/>
      <c r="C6" s="935"/>
      <c r="D6" s="284" t="s">
        <v>55</v>
      </c>
      <c r="E6" s="858"/>
      <c r="G6" s="371"/>
      <c r="H6" s="324" t="str">
        <f>LEFT(D6,4)+1&amp;"-"&amp;RIGHT(D6,4)+1</f>
        <v>2017-2018</v>
      </c>
      <c r="I6" s="869"/>
      <c r="J6" s="93"/>
      <c r="K6" s="378"/>
      <c r="L6" s="124" t="str">
        <f>LEFT(H6,4)+1&amp;"-"&amp;RIGHT(H6,4)+1</f>
        <v>2018-2019</v>
      </c>
      <c r="M6" s="946"/>
      <c r="N6" s="96"/>
      <c r="O6" s="381"/>
      <c r="P6" s="124" t="str">
        <f>LEFT(L6,4)+1&amp;"-"&amp;RIGHT(L6,4)+1</f>
        <v>2019-2020</v>
      </c>
      <c r="Q6" s="94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936" t="s">
        <v>54</v>
      </c>
      <c r="D7" s="2">
        <v>-190310.3</v>
      </c>
      <c r="E7" s="928"/>
      <c r="H7" s="2">
        <f>D92</f>
        <v>0</v>
      </c>
      <c r="I7" s="928"/>
      <c r="J7" s="60"/>
      <c r="L7" s="2">
        <f>H92</f>
        <v>0</v>
      </c>
      <c r="M7" s="928"/>
      <c r="P7" s="2">
        <f>L92</f>
        <v>0</v>
      </c>
      <c r="Q7" s="928"/>
      <c r="T7" s="2">
        <f>P92</f>
        <v>0</v>
      </c>
      <c r="U7" s="105"/>
      <c r="X7" s="2">
        <f>T92</f>
        <v>0</v>
      </c>
      <c r="Y7" s="105"/>
      <c r="AB7" s="2">
        <f>X92</f>
        <v>0</v>
      </c>
      <c r="AC7" s="105"/>
    </row>
    <row r="8" spans="1:29" x14ac:dyDescent="0.25">
      <c r="E8" s="928"/>
      <c r="H8" s="2"/>
      <c r="I8" s="928"/>
      <c r="L8" s="2"/>
      <c r="M8" s="928"/>
      <c r="Q8" s="928"/>
      <c r="U8" s="105"/>
      <c r="Y8" s="105"/>
      <c r="AC8" s="105"/>
    </row>
    <row r="9" spans="1:29" x14ac:dyDescent="0.25">
      <c r="B9" s="930" t="s">
        <v>52</v>
      </c>
      <c r="C9" s="857" t="s">
        <v>278</v>
      </c>
      <c r="D9" s="2">
        <v>843860.64</v>
      </c>
      <c r="E9" s="928" t="s">
        <v>470</v>
      </c>
      <c r="G9" s="83">
        <f>IF(D9=0,"0.00%",(H9-D9)/D9)</f>
        <v>-1</v>
      </c>
      <c r="H9" s="3">
        <f>-H7</f>
        <v>0</v>
      </c>
      <c r="I9" s="928"/>
      <c r="J9" s="61"/>
      <c r="K9" s="83" t="str">
        <f>IF(H9=0,"0.00%",(L9-H9)/H9)</f>
        <v>0.00%</v>
      </c>
      <c r="L9" s="3">
        <f>L3</f>
        <v>0</v>
      </c>
      <c r="M9" s="928"/>
      <c r="O9" s="83" t="str">
        <f>IF(L9=0,"0.00%",(P9-L9)/L9)</f>
        <v>0.00%</v>
      </c>
      <c r="P9" s="3">
        <f>P3</f>
        <v>0</v>
      </c>
      <c r="Q9" s="928"/>
      <c r="S9" s="83" t="str">
        <f>IF(P9=0,"0.00%",(T9-P9)/P9)</f>
        <v>0.00%</v>
      </c>
      <c r="T9" s="3">
        <f>T3</f>
        <v>0</v>
      </c>
      <c r="U9" s="105"/>
      <c r="W9" s="83" t="str">
        <f>IF(T9=0,"0.00%",(X9-T9)/T9)</f>
        <v>0.00%</v>
      </c>
      <c r="X9" s="3">
        <f>X3</f>
        <v>0</v>
      </c>
      <c r="Y9" s="105"/>
      <c r="AA9" s="83" t="str">
        <f>IF(X9=0,"0.00%",(AB9-X9)/X9)</f>
        <v>0.00%</v>
      </c>
      <c r="AB9" s="3">
        <f>AB3</f>
        <v>0</v>
      </c>
      <c r="AC9" s="105"/>
    </row>
    <row r="10" spans="1:29" x14ac:dyDescent="0.25">
      <c r="D10" s="2">
        <v>0</v>
      </c>
      <c r="E10" s="928"/>
      <c r="G10" s="83" t="str">
        <f t="shared" ref="G10:G15" si="0">IF(D10=0,"0.00%",(H10-D10)/D10)</f>
        <v>0.00%</v>
      </c>
      <c r="H10" s="3">
        <v>0</v>
      </c>
      <c r="I10" s="928"/>
      <c r="J10" s="61"/>
      <c r="K10" s="83" t="str">
        <f>IF(H10=0,"0.00%",(L10-H10)/H10)</f>
        <v>0.00%</v>
      </c>
      <c r="L10" s="3">
        <f>-H2</f>
        <v>0</v>
      </c>
      <c r="M10" s="928"/>
      <c r="O10" s="83" t="str">
        <f>IF(L10=0,"0.00%",(P10-L10)/L10)</f>
        <v>0.00%</v>
      </c>
      <c r="P10" s="3">
        <f>-L2</f>
        <v>0</v>
      </c>
      <c r="Q10" s="928"/>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936" t="s">
        <v>137</v>
      </c>
      <c r="D11" s="8">
        <f>SUM(D9:D10)</f>
        <v>843860.64</v>
      </c>
      <c r="E11" s="928"/>
      <c r="G11" s="83">
        <f t="shared" si="0"/>
        <v>-1</v>
      </c>
      <c r="H11" s="8">
        <f>SUM(H9:H10)</f>
        <v>0</v>
      </c>
      <c r="I11" s="928"/>
      <c r="J11" s="62"/>
      <c r="K11" s="83" t="str">
        <f>IF(H11=0,"0.00%",(L11-H11)/H11)</f>
        <v>0.00%</v>
      </c>
      <c r="L11" s="8">
        <f>SUM(L9:L10)</f>
        <v>0</v>
      </c>
      <c r="M11" s="928"/>
      <c r="O11" s="83" t="str">
        <f>IF(L11=0,"0.00%",(P11-L11)/L11)</f>
        <v>0.00%</v>
      </c>
      <c r="P11" s="8">
        <f>SUM(P9:P10)</f>
        <v>0</v>
      </c>
      <c r="Q11" s="928"/>
      <c r="S11" s="83" t="str">
        <f>IF(P11=0,"0.00%",(T11-P11)/P11)</f>
        <v>0.00%</v>
      </c>
      <c r="T11" s="78">
        <f>SUM(T9:T10)</f>
        <v>0</v>
      </c>
      <c r="U11" s="105"/>
      <c r="W11" s="83" t="str">
        <f>IF(T11=0,"0.00%",(X11-T11)/T11)</f>
        <v>0.00%</v>
      </c>
      <c r="X11" s="78">
        <f>SUM(X9:X10)</f>
        <v>0</v>
      </c>
      <c r="Y11" s="105"/>
      <c r="AA11" s="83" t="str">
        <f>IF(X11=0,"0.00%",(AB11-X11)/X11)</f>
        <v>0.00%</v>
      </c>
      <c r="AB11" s="78">
        <f>SUM(AB9:AB10)</f>
        <v>0</v>
      </c>
      <c r="AC11" s="105"/>
    </row>
    <row r="12" spans="1:29" x14ac:dyDescent="0.25">
      <c r="E12" s="928"/>
      <c r="H12" s="3"/>
      <c r="I12" s="928"/>
      <c r="J12" s="63"/>
      <c r="K12" s="52"/>
      <c r="L12" s="3"/>
      <c r="M12" s="928"/>
      <c r="O12" s="52"/>
      <c r="P12" s="3"/>
      <c r="Q12" s="928"/>
      <c r="S12" s="46"/>
      <c r="T12" s="44"/>
      <c r="U12" s="105"/>
      <c r="W12" s="46"/>
      <c r="X12" s="44"/>
      <c r="Y12" s="105"/>
      <c r="AA12" s="46"/>
      <c r="AB12" s="44"/>
      <c r="AC12" s="105"/>
    </row>
    <row r="13" spans="1:29" x14ac:dyDescent="0.25">
      <c r="B13" s="937"/>
      <c r="C13" s="938" t="s">
        <v>64</v>
      </c>
      <c r="D13" s="9">
        <f>ROUND(D11-(D11/(1+B13)),0)</f>
        <v>0</v>
      </c>
      <c r="E13" s="928"/>
      <c r="G13" s="83" t="str">
        <f t="shared" si="0"/>
        <v>0.00%</v>
      </c>
      <c r="H13" s="9">
        <f>ROUND(H11-(H11/(1+B13)),0)</f>
        <v>0</v>
      </c>
      <c r="I13" s="928"/>
      <c r="J13" s="64"/>
      <c r="K13" s="83" t="str">
        <f>IF(H13=0,"0.00%",(L13-H13)/H13)</f>
        <v>0.00%</v>
      </c>
      <c r="L13" s="9">
        <f>ROUND(L11-(L11/(1+B13)),0)</f>
        <v>0</v>
      </c>
      <c r="M13" s="928"/>
      <c r="O13" s="83" t="str">
        <f>IF(L13=0,"0.00%",(P13-L13)/L13)</f>
        <v>0.00%</v>
      </c>
      <c r="P13" s="9">
        <f>ROUND(P11-(P11/(1+B13)),0)</f>
        <v>0</v>
      </c>
      <c r="Q13" s="928"/>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928"/>
      <c r="H14" s="3"/>
      <c r="I14" s="928"/>
      <c r="J14" s="63"/>
      <c r="K14" s="52"/>
      <c r="L14" s="3"/>
      <c r="M14" s="928"/>
      <c r="O14" s="52"/>
      <c r="P14" s="3"/>
      <c r="Q14" s="928"/>
      <c r="S14" s="46"/>
      <c r="T14" s="44"/>
      <c r="U14" s="105"/>
      <c r="W14" s="46"/>
      <c r="X14" s="44"/>
      <c r="Y14" s="105"/>
      <c r="AA14" s="46"/>
      <c r="AB14" s="44"/>
      <c r="AC14" s="105"/>
    </row>
    <row r="15" spans="1:29" x14ac:dyDescent="0.25">
      <c r="B15" s="936" t="s">
        <v>50</v>
      </c>
      <c r="D15" s="10">
        <f>D11-D13+D7</f>
        <v>653550.34000000008</v>
      </c>
      <c r="E15" s="928"/>
      <c r="G15" s="83">
        <f t="shared" si="0"/>
        <v>-1</v>
      </c>
      <c r="H15" s="10">
        <f>H11-H13+H7</f>
        <v>0</v>
      </c>
      <c r="I15" s="928"/>
      <c r="J15" s="62"/>
      <c r="K15" s="83" t="str">
        <f>IF(H15=0,"0.00%",(L15-H15)/H15)</f>
        <v>0.00%</v>
      </c>
      <c r="L15" s="10">
        <f>L11-L13+L7</f>
        <v>0</v>
      </c>
      <c r="M15" s="928"/>
      <c r="O15" s="83" t="str">
        <f>IF(L15=0,"0.00%",(P15-L15)/L15)</f>
        <v>0.00%</v>
      </c>
      <c r="P15" s="10">
        <f>P11-P13+P7</f>
        <v>0</v>
      </c>
      <c r="Q15" s="928"/>
      <c r="S15" s="83" t="str">
        <f>IF(P15=0,"0.00%",(T15-P15)/P15)</f>
        <v>0.00%</v>
      </c>
      <c r="T15" s="53">
        <f>T11-T13+T7</f>
        <v>0</v>
      </c>
      <c r="U15" s="105"/>
      <c r="W15" s="83" t="str">
        <f>IF(T15=0,"0.00%",(X15-T15)/T15)</f>
        <v>0.00%</v>
      </c>
      <c r="X15" s="53">
        <f>X11-X13+X7</f>
        <v>0</v>
      </c>
      <c r="Y15" s="105"/>
      <c r="AA15" s="83" t="str">
        <f>IF(X15=0,"0.00%",(AB15-X15)/X15)</f>
        <v>0.00%</v>
      </c>
      <c r="AB15" s="53">
        <f>AB11-AB13+AB7</f>
        <v>0</v>
      </c>
      <c r="AC15" s="105"/>
    </row>
    <row r="16" spans="1:29" x14ac:dyDescent="0.25">
      <c r="E16" s="928"/>
      <c r="H16" s="3"/>
      <c r="I16" s="928"/>
      <c r="J16" s="62"/>
      <c r="L16" s="3"/>
      <c r="M16" s="928"/>
      <c r="P16" s="3"/>
      <c r="Q16" s="928"/>
      <c r="T16" s="49"/>
      <c r="U16" s="105"/>
      <c r="X16" s="49"/>
      <c r="Y16" s="105"/>
      <c r="AB16" s="49"/>
      <c r="AC16" s="105"/>
    </row>
    <row r="17" spans="1:29" x14ac:dyDescent="0.25">
      <c r="C17" s="930"/>
      <c r="E17" s="928"/>
      <c r="H17" s="3"/>
      <c r="I17" s="928"/>
      <c r="J17" s="63"/>
      <c r="L17" s="3"/>
      <c r="M17" s="928"/>
      <c r="P17" s="3"/>
      <c r="Q17" s="928"/>
      <c r="T17" s="44"/>
      <c r="U17" s="105"/>
      <c r="X17" s="44"/>
      <c r="Y17" s="105"/>
      <c r="AB17" s="44"/>
      <c r="AC17" s="105"/>
    </row>
    <row r="18" spans="1:29" x14ac:dyDescent="0.25">
      <c r="A18" s="148"/>
      <c r="D18" s="29" t="s">
        <v>826</v>
      </c>
      <c r="E18" s="929"/>
      <c r="F18" s="32"/>
      <c r="H18" s="29" t="s">
        <v>177</v>
      </c>
      <c r="I18" s="929"/>
      <c r="J18" s="65"/>
      <c r="M18" s="929"/>
      <c r="Q18" s="929"/>
      <c r="U18" s="106"/>
      <c r="Y18" s="106"/>
      <c r="AC18" s="106"/>
    </row>
    <row r="19" spans="1:29" ht="17.25" x14ac:dyDescent="0.4">
      <c r="A19" s="149"/>
      <c r="D19" s="35" t="s">
        <v>827</v>
      </c>
      <c r="E19" s="860"/>
      <c r="F19" s="34"/>
      <c r="H19" s="35" t="s">
        <v>48</v>
      </c>
      <c r="I19" s="870">
        <v>0.02</v>
      </c>
      <c r="J19" s="29"/>
      <c r="L19" s="14" t="s">
        <v>48</v>
      </c>
      <c r="M19" s="870">
        <v>0.02</v>
      </c>
      <c r="P19" s="14" t="s">
        <v>48</v>
      </c>
      <c r="Q19" s="870">
        <v>0.02</v>
      </c>
      <c r="T19" s="14" t="s">
        <v>48</v>
      </c>
      <c r="U19" s="104">
        <v>0.02</v>
      </c>
      <c r="X19" s="14" t="s">
        <v>48</v>
      </c>
      <c r="Y19" s="104">
        <v>0.02</v>
      </c>
      <c r="AB19" s="14" t="s">
        <v>48</v>
      </c>
      <c r="AC19" s="104">
        <v>0.02</v>
      </c>
    </row>
    <row r="20" spans="1:29" s="13" customFormat="1" hidden="1" x14ac:dyDescent="0.25">
      <c r="A20" s="150"/>
      <c r="B20" s="936" t="s">
        <v>46</v>
      </c>
      <c r="C20" s="938"/>
      <c r="D20" s="10"/>
      <c r="E20" s="861"/>
      <c r="F20" s="10"/>
      <c r="G20" s="372"/>
      <c r="H20" s="10"/>
      <c r="I20" s="864"/>
      <c r="J20" s="57"/>
      <c r="K20" s="379"/>
      <c r="L20" s="10"/>
      <c r="M20" s="947"/>
      <c r="O20" s="379"/>
      <c r="P20" s="10"/>
      <c r="Q20" s="947"/>
      <c r="R20" s="111"/>
      <c r="T20" s="10"/>
      <c r="U20" s="74"/>
      <c r="X20" s="10"/>
      <c r="Y20" s="74"/>
      <c r="AB20" s="10"/>
      <c r="AC20" s="74"/>
    </row>
    <row r="21" spans="1:29" hidden="1" x14ac:dyDescent="0.25">
      <c r="A21" s="151"/>
      <c r="B21" s="939"/>
      <c r="D21" s="2">
        <v>0</v>
      </c>
      <c r="E21" s="863"/>
      <c r="F21" s="2"/>
      <c r="G21" s="83" t="str">
        <f t="shared" ref="G21:G30" si="1">IF(D21=0,"0.00%",(H21-D21)/D21)</f>
        <v>0.00%</v>
      </c>
      <c r="H21" s="2">
        <f t="shared" ref="H21:H27" si="2">ROUND(D21*(1+$I$19),0)</f>
        <v>0</v>
      </c>
      <c r="I21" s="854" t="str">
        <f t="shared" ref="I21:I28" si="3">TEXT($I$19,"0.0%")&amp;" = Est. S &amp; C"</f>
        <v>2.0% = Est. S &amp; C</v>
      </c>
      <c r="J21" s="66"/>
      <c r="K21" s="83" t="str">
        <f t="shared" ref="K21:K27" si="4">IF(H21=0,"0.00%",(L21-H21)/H21)</f>
        <v>0.00%</v>
      </c>
      <c r="L21" s="2">
        <f>ROUND(H21*(1+M19),0)</f>
        <v>0</v>
      </c>
      <c r="M21" s="871" t="str">
        <f>TEXT(M19,"0.0%")&amp;" = Est. S &amp; C"</f>
        <v>2.0% = Est. S &amp; C</v>
      </c>
      <c r="O21" s="83" t="str">
        <f t="shared" ref="O21:O27" si="5">IF(L21=0,"0.00%",(P21-L21)/L21)</f>
        <v>0.00%</v>
      </c>
      <c r="P21" s="2">
        <f>ROUND(L21*(1+Q19),0)</f>
        <v>0</v>
      </c>
      <c r="Q21" s="871"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2"/>
      <c r="B22" s="939"/>
      <c r="D22" s="2">
        <v>0</v>
      </c>
      <c r="E22" s="863"/>
      <c r="F22" s="2"/>
      <c r="G22" s="83" t="str">
        <f t="shared" si="1"/>
        <v>0.00%</v>
      </c>
      <c r="H22" s="2">
        <f t="shared" si="2"/>
        <v>0</v>
      </c>
      <c r="I22" s="871" t="str">
        <f t="shared" si="3"/>
        <v>2.0% = Est. S &amp; C</v>
      </c>
      <c r="J22" s="66"/>
      <c r="K22" s="83" t="str">
        <f t="shared" si="4"/>
        <v>0.00%</v>
      </c>
      <c r="L22" s="2">
        <f>ROUND(H22*(1+M19),0)</f>
        <v>0</v>
      </c>
      <c r="M22" s="871" t="str">
        <f>TEXT(M19,"0.0%")&amp;" = Est. S &amp; C"</f>
        <v>2.0% = Est. S &amp; C</v>
      </c>
      <c r="O22" s="83" t="str">
        <f t="shared" si="5"/>
        <v>0.00%</v>
      </c>
      <c r="P22" s="2">
        <f>ROUND(L22*(1+Q19),0)</f>
        <v>0</v>
      </c>
      <c r="Q22" s="871"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2"/>
      <c r="B23" s="939"/>
      <c r="D23" s="2">
        <v>0</v>
      </c>
      <c r="E23" s="863"/>
      <c r="F23" s="2"/>
      <c r="G23" s="83" t="str">
        <f t="shared" si="1"/>
        <v>0.00%</v>
      </c>
      <c r="H23" s="2">
        <f t="shared" si="2"/>
        <v>0</v>
      </c>
      <c r="I23" s="871" t="str">
        <f t="shared" si="3"/>
        <v>2.0% = Est. S &amp; C</v>
      </c>
      <c r="J23" s="66"/>
      <c r="K23" s="83" t="str">
        <f t="shared" si="4"/>
        <v>0.00%</v>
      </c>
      <c r="L23" s="2">
        <f>ROUND(H23*(1+M19),0)</f>
        <v>0</v>
      </c>
      <c r="M23" s="871" t="str">
        <f>TEXT(M19,"0.0%")&amp;" = Est. S &amp; C"</f>
        <v>2.0% = Est. S &amp; C</v>
      </c>
      <c r="O23" s="83" t="str">
        <f t="shared" si="5"/>
        <v>0.00%</v>
      </c>
      <c r="P23" s="2">
        <f>ROUND(L23*(1+Q19),0)</f>
        <v>0</v>
      </c>
      <c r="Q23" s="871"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2"/>
      <c r="B24" s="939"/>
      <c r="D24" s="2">
        <v>0</v>
      </c>
      <c r="E24" s="863"/>
      <c r="F24" s="2"/>
      <c r="G24" s="83" t="str">
        <f t="shared" si="1"/>
        <v>0.00%</v>
      </c>
      <c r="H24" s="2">
        <f t="shared" si="2"/>
        <v>0</v>
      </c>
      <c r="I24" s="871" t="str">
        <f t="shared" si="3"/>
        <v>2.0% = Est. S &amp; C</v>
      </c>
      <c r="J24" s="66"/>
      <c r="K24" s="83" t="str">
        <f t="shared" si="4"/>
        <v>0.00%</v>
      </c>
      <c r="L24" s="2">
        <f>ROUND(H24*(1+M19),0)</f>
        <v>0</v>
      </c>
      <c r="M24" s="871" t="str">
        <f>TEXT(M19,"0.0%")&amp;" = Est. S &amp; C"</f>
        <v>2.0% = Est. S &amp; C</v>
      </c>
      <c r="O24" s="83" t="str">
        <f t="shared" si="5"/>
        <v>0.00%</v>
      </c>
      <c r="P24" s="2">
        <f>ROUND(L24*(1+Q19),0)</f>
        <v>0</v>
      </c>
      <c r="Q24" s="871"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2"/>
      <c r="B25" s="939"/>
      <c r="D25" s="2">
        <v>0</v>
      </c>
      <c r="E25" s="863"/>
      <c r="F25" s="2"/>
      <c r="G25" s="83" t="str">
        <f t="shared" si="1"/>
        <v>0.00%</v>
      </c>
      <c r="H25" s="2">
        <f t="shared" si="2"/>
        <v>0</v>
      </c>
      <c r="I25" s="871" t="str">
        <f t="shared" si="3"/>
        <v>2.0% = Est. S &amp; C</v>
      </c>
      <c r="J25" s="66"/>
      <c r="K25" s="83" t="str">
        <f t="shared" si="4"/>
        <v>0.00%</v>
      </c>
      <c r="L25" s="2">
        <f>ROUND(H25*(1+M19),0)</f>
        <v>0</v>
      </c>
      <c r="M25" s="871" t="str">
        <f>TEXT(M19,"0.0%")&amp;" = Est. S &amp; C"</f>
        <v>2.0% = Est. S &amp; C</v>
      </c>
      <c r="O25" s="83" t="str">
        <f t="shared" si="5"/>
        <v>0.00%</v>
      </c>
      <c r="P25" s="2">
        <f>ROUND(L25*(1+Q19),0)</f>
        <v>0</v>
      </c>
      <c r="Q25" s="871"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2"/>
      <c r="B26" s="939"/>
      <c r="D26" s="2">
        <v>0</v>
      </c>
      <c r="E26" s="863"/>
      <c r="F26" s="2"/>
      <c r="G26" s="83" t="str">
        <f t="shared" si="1"/>
        <v>0.00%</v>
      </c>
      <c r="H26" s="2">
        <f t="shared" si="2"/>
        <v>0</v>
      </c>
      <c r="I26" s="871" t="str">
        <f t="shared" si="3"/>
        <v>2.0% = Est. S &amp; C</v>
      </c>
      <c r="J26" s="66"/>
      <c r="K26" s="83" t="str">
        <f t="shared" si="4"/>
        <v>0.00%</v>
      </c>
      <c r="L26" s="2">
        <f>ROUND(H26*(1+M19),0)</f>
        <v>0</v>
      </c>
      <c r="M26" s="382" t="str">
        <f>TEXT(M19,"0.0%")&amp;" = Est. S &amp; C"</f>
        <v>2.0% = Est. S &amp; C</v>
      </c>
      <c r="O26" s="83" t="str">
        <f t="shared" si="5"/>
        <v>0.00%</v>
      </c>
      <c r="P26" s="2">
        <f>ROUND(L26*(1+Q19),0)</f>
        <v>0</v>
      </c>
      <c r="Q26" s="871"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2"/>
      <c r="B27" s="939"/>
      <c r="D27" s="2">
        <v>0</v>
      </c>
      <c r="E27" s="863"/>
      <c r="F27" s="2"/>
      <c r="G27" s="83" t="str">
        <f t="shared" si="1"/>
        <v>0.00%</v>
      </c>
      <c r="H27" s="2">
        <f t="shared" si="2"/>
        <v>0</v>
      </c>
      <c r="I27" s="871" t="str">
        <f t="shared" si="3"/>
        <v>2.0% = Est. S &amp; C</v>
      </c>
      <c r="J27" s="66"/>
      <c r="K27" s="83" t="str">
        <f t="shared" si="4"/>
        <v>0.00%</v>
      </c>
      <c r="L27" s="2">
        <f>ROUND(H27*(1+M19),0)</f>
        <v>0</v>
      </c>
      <c r="M27" s="871" t="str">
        <f>TEXT(M19,"0.0%")&amp;" = Est. S &amp; C"</f>
        <v>2.0% = Est. S &amp; C</v>
      </c>
      <c r="O27" s="83" t="str">
        <f t="shared" si="5"/>
        <v>0.00%</v>
      </c>
      <c r="P27" s="2">
        <f>ROUND(L27*(1+Q19),0)</f>
        <v>0</v>
      </c>
      <c r="Q27" s="871"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2"/>
      <c r="B28" s="939"/>
      <c r="D28" s="2">
        <v>0</v>
      </c>
      <c r="E28" s="863"/>
      <c r="F28" s="2"/>
      <c r="G28" s="83" t="str">
        <f>IF(D28=0,"0.00%",(H28-D28)/D28)</f>
        <v>0.00%</v>
      </c>
      <c r="H28" s="2">
        <f>ROUND(D28*(1+$I$19),0)</f>
        <v>0</v>
      </c>
      <c r="I28" s="871" t="str">
        <f t="shared" si="3"/>
        <v>2.0% = Est. S &amp; C</v>
      </c>
      <c r="J28" s="66"/>
      <c r="K28" s="83" t="str">
        <f>IF(H28=0,"0.00%",(L28-H28)/H28)</f>
        <v>0.00%</v>
      </c>
      <c r="L28" s="2">
        <f>ROUND(H28*(1+M20),0)</f>
        <v>0</v>
      </c>
      <c r="M28" s="871" t="str">
        <f>TEXT(M20,"0.0%")&amp;" = Est. S &amp; C"</f>
        <v>0.0% = Est. S &amp; C</v>
      </c>
      <c r="O28" s="83" t="str">
        <f>IF(L28=0,"0.00%",(P28-L28)/L28)</f>
        <v>0.00%</v>
      </c>
      <c r="P28" s="2">
        <f>ROUND(L28*(1+Q20),0)</f>
        <v>0</v>
      </c>
      <c r="Q28" s="871"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939"/>
      <c r="E29" s="863"/>
      <c r="F29" s="2"/>
      <c r="G29" s="83"/>
      <c r="H29" s="2"/>
      <c r="I29" s="871"/>
      <c r="J29" s="66"/>
      <c r="L29" s="2"/>
      <c r="M29" s="948"/>
      <c r="Q29" s="948"/>
      <c r="T29" s="2"/>
      <c r="U29" s="73"/>
      <c r="X29" s="2"/>
      <c r="Y29" s="73"/>
      <c r="AB29" s="2"/>
      <c r="AC29" s="73"/>
    </row>
    <row r="30" spans="1:29" hidden="1" x14ac:dyDescent="0.25">
      <c r="A30" s="153"/>
      <c r="B30" s="939"/>
      <c r="D30" s="8">
        <f>SUM(D21:D29)</f>
        <v>0</v>
      </c>
      <c r="E30" s="863"/>
      <c r="F30" s="2"/>
      <c r="G30" s="83" t="str">
        <f t="shared" si="1"/>
        <v>0.00%</v>
      </c>
      <c r="H30" s="8">
        <f>SUM(H21:H29)</f>
        <v>0</v>
      </c>
      <c r="I30" s="872"/>
      <c r="J30" s="29"/>
      <c r="K30" s="83" t="str">
        <f>IF(H30=0,"0.00%",(L30-H30)/H30)</f>
        <v>0.00%</v>
      </c>
      <c r="L30" s="8">
        <f>SUM(L21:L29)</f>
        <v>0</v>
      </c>
      <c r="M30" s="948"/>
      <c r="O30" s="83" t="str">
        <f>IF(L30=0,"0.00%",(P30-L30)/L30)</f>
        <v>0.00%</v>
      </c>
      <c r="P30" s="8">
        <f>SUM(P21:P29)</f>
        <v>0</v>
      </c>
      <c r="Q30" s="948"/>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2"/>
      <c r="E31" s="863"/>
      <c r="F31" s="2"/>
      <c r="H31" s="2"/>
      <c r="I31" s="854"/>
      <c r="J31" s="66"/>
      <c r="L31" s="2"/>
      <c r="M31" s="949"/>
      <c r="Q31" s="949"/>
      <c r="T31" s="2"/>
      <c r="U31" s="73"/>
      <c r="X31" s="2"/>
      <c r="Y31" s="73"/>
      <c r="AB31" s="2"/>
      <c r="AC31" s="73"/>
    </row>
    <row r="32" spans="1:29" s="4" customFormat="1" hidden="1" x14ac:dyDescent="0.25">
      <c r="A32" s="150"/>
      <c r="B32" s="940" t="s">
        <v>35</v>
      </c>
      <c r="C32" s="873"/>
      <c r="D32" s="6"/>
      <c r="E32" s="864"/>
      <c r="F32" s="6"/>
      <c r="G32" s="373"/>
      <c r="H32" s="6"/>
      <c r="I32" s="864"/>
      <c r="J32" s="57"/>
      <c r="K32" s="380"/>
      <c r="L32" s="6"/>
      <c r="M32" s="950"/>
      <c r="O32" s="380"/>
      <c r="P32" s="6"/>
      <c r="Q32" s="950"/>
      <c r="R32" s="111"/>
      <c r="T32" s="6"/>
      <c r="U32" s="71"/>
      <c r="X32" s="6"/>
      <c r="Y32" s="71"/>
      <c r="AB32" s="6"/>
      <c r="AC32" s="71"/>
    </row>
    <row r="33" spans="1:29" hidden="1" x14ac:dyDescent="0.25">
      <c r="A33" s="152"/>
      <c r="B33" s="939"/>
      <c r="D33" s="2">
        <v>0</v>
      </c>
      <c r="E33" s="863"/>
      <c r="F33" s="2"/>
      <c r="G33" s="83" t="str">
        <f t="shared" ref="G33:G39" si="9">IF(D33=0,"0.00%",(H33-D33)/D33)</f>
        <v>0.00%</v>
      </c>
      <c r="H33" s="2">
        <f t="shared" ref="H33:H39" si="10">ROUND(D33*(1+$I$19),0)</f>
        <v>0</v>
      </c>
      <c r="I33" s="871" t="str">
        <f t="shared" ref="I33:I39" si="11">TEXT($I$19,"0.0%")&amp;" = Est. S &amp; C"</f>
        <v>2.0% = Est. S &amp; C</v>
      </c>
      <c r="J33" s="66"/>
      <c r="K33" s="83" t="str">
        <f t="shared" ref="K33:K39" si="12">IF(H33=0,"0.00%",(L33-H33)/H33)</f>
        <v>0.00%</v>
      </c>
      <c r="L33" s="2">
        <f>ROUND(H33*(1+M19),0)</f>
        <v>0</v>
      </c>
      <c r="M33" s="871" t="str">
        <f>TEXT(M19,"0.0%")&amp;" = Est. S &amp; C"</f>
        <v>2.0% = Est. S &amp; C</v>
      </c>
      <c r="O33" s="83" t="str">
        <f t="shared" ref="O33:O39" si="13">IF(L33=0,"0.00%",(P33-L33)/L33)</f>
        <v>0.00%</v>
      </c>
      <c r="P33" s="2">
        <f>ROUND(L33*(1+Q19),0)</f>
        <v>0</v>
      </c>
      <c r="Q33" s="871"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2"/>
      <c r="B34" s="939"/>
      <c r="D34" s="2">
        <v>0</v>
      </c>
      <c r="E34" s="863"/>
      <c r="F34" s="2"/>
      <c r="G34" s="83" t="str">
        <f t="shared" si="9"/>
        <v>0.00%</v>
      </c>
      <c r="H34" s="2">
        <f t="shared" si="10"/>
        <v>0</v>
      </c>
      <c r="I34" s="871" t="str">
        <f t="shared" si="11"/>
        <v>2.0% = Est. S &amp; C</v>
      </c>
      <c r="J34" s="66"/>
      <c r="K34" s="83" t="str">
        <f t="shared" si="12"/>
        <v>0.00%</v>
      </c>
      <c r="L34" s="2">
        <f>ROUND(H34*(1+M19),0)</f>
        <v>0</v>
      </c>
      <c r="M34" s="871" t="str">
        <f>TEXT(M19,"0.0%")&amp;" = Est. S &amp; C"</f>
        <v>2.0% = Est. S &amp; C</v>
      </c>
      <c r="O34" s="83" t="str">
        <f t="shared" si="13"/>
        <v>0.00%</v>
      </c>
      <c r="P34" s="2">
        <f>ROUND(L34*(1+Q19),0)</f>
        <v>0</v>
      </c>
      <c r="Q34" s="871"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2"/>
      <c r="B35" s="939"/>
      <c r="D35" s="2">
        <v>0</v>
      </c>
      <c r="E35" s="863"/>
      <c r="F35" s="2"/>
      <c r="G35" s="83" t="str">
        <f t="shared" si="9"/>
        <v>0.00%</v>
      </c>
      <c r="H35" s="2">
        <f t="shared" si="10"/>
        <v>0</v>
      </c>
      <c r="I35" s="871" t="str">
        <f t="shared" si="11"/>
        <v>2.0% = Est. S &amp; C</v>
      </c>
      <c r="J35" s="66"/>
      <c r="K35" s="83" t="str">
        <f t="shared" si="12"/>
        <v>0.00%</v>
      </c>
      <c r="L35" s="2">
        <f>ROUND(H35*(1+M19),0)</f>
        <v>0</v>
      </c>
      <c r="M35" s="871" t="str">
        <f>TEXT(M19,"0.0%")&amp;" = Est. S &amp; C"</f>
        <v>2.0% = Est. S &amp; C</v>
      </c>
      <c r="O35" s="83" t="str">
        <f t="shared" si="13"/>
        <v>0.00%</v>
      </c>
      <c r="P35" s="2">
        <f>ROUND(L35*(1+Q19),0)</f>
        <v>0</v>
      </c>
      <c r="Q35" s="871"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2"/>
      <c r="B36" s="939"/>
      <c r="D36" s="2">
        <v>0</v>
      </c>
      <c r="E36" s="863"/>
      <c r="F36" s="2"/>
      <c r="G36" s="83" t="str">
        <f t="shared" si="9"/>
        <v>0.00%</v>
      </c>
      <c r="H36" s="2">
        <f t="shared" si="10"/>
        <v>0</v>
      </c>
      <c r="I36" s="871" t="str">
        <f t="shared" si="11"/>
        <v>2.0% = Est. S &amp; C</v>
      </c>
      <c r="J36" s="66"/>
      <c r="K36" s="83" t="str">
        <f t="shared" si="12"/>
        <v>0.00%</v>
      </c>
      <c r="L36" s="2">
        <f>ROUND(H36*(1+M19),0)</f>
        <v>0</v>
      </c>
      <c r="M36" s="871" t="str">
        <f>TEXT(M19,"0.0%")&amp;" = Est. S &amp; C"</f>
        <v>2.0% = Est. S &amp; C</v>
      </c>
      <c r="O36" s="83" t="str">
        <f t="shared" si="13"/>
        <v>0.00%</v>
      </c>
      <c r="P36" s="2">
        <f>ROUND(L36*(1+Q19),0)</f>
        <v>0</v>
      </c>
      <c r="Q36" s="871"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2"/>
      <c r="B37" s="939"/>
      <c r="D37" s="2">
        <v>0</v>
      </c>
      <c r="E37" s="863"/>
      <c r="F37" s="2"/>
      <c r="G37" s="83" t="str">
        <f t="shared" si="9"/>
        <v>0.00%</v>
      </c>
      <c r="H37" s="2">
        <f t="shared" si="10"/>
        <v>0</v>
      </c>
      <c r="I37" s="871" t="str">
        <f t="shared" si="11"/>
        <v>2.0% = Est. S &amp; C</v>
      </c>
      <c r="J37" s="66"/>
      <c r="K37" s="83" t="str">
        <f t="shared" si="12"/>
        <v>0.00%</v>
      </c>
      <c r="L37" s="2">
        <f>ROUND(H37*(1+M19),0)</f>
        <v>0</v>
      </c>
      <c r="M37" s="871" t="str">
        <f>TEXT(M19,"0.0%")&amp;" = Est. S &amp; C"</f>
        <v>2.0% = Est. S &amp; C</v>
      </c>
      <c r="O37" s="83" t="str">
        <f t="shared" si="13"/>
        <v>0.00%</v>
      </c>
      <c r="P37" s="2">
        <f>ROUND(L37*(1+Q19),0)</f>
        <v>0</v>
      </c>
      <c r="Q37" s="871"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2"/>
      <c r="B38" s="939"/>
      <c r="D38" s="2">
        <v>0</v>
      </c>
      <c r="E38" s="863"/>
      <c r="F38" s="2"/>
      <c r="G38" s="83" t="str">
        <f t="shared" si="9"/>
        <v>0.00%</v>
      </c>
      <c r="H38" s="2">
        <f t="shared" si="10"/>
        <v>0</v>
      </c>
      <c r="I38" s="871" t="str">
        <f t="shared" si="11"/>
        <v>2.0% = Est. S &amp; C</v>
      </c>
      <c r="J38" s="66"/>
      <c r="K38" s="83" t="str">
        <f t="shared" si="12"/>
        <v>0.00%</v>
      </c>
      <c r="L38" s="2">
        <f>ROUND(H38*(1+M19),0)</f>
        <v>0</v>
      </c>
      <c r="M38" s="871" t="str">
        <f>TEXT(M19,"0.0%")&amp;" = Est. S &amp; C"</f>
        <v>2.0% = Est. S &amp; C</v>
      </c>
      <c r="O38" s="83" t="str">
        <f t="shared" si="13"/>
        <v>0.00%</v>
      </c>
      <c r="P38" s="2">
        <f>ROUND(L38*(1+Q19),0)</f>
        <v>0</v>
      </c>
      <c r="Q38" s="871"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2"/>
      <c r="B39" s="939"/>
      <c r="D39" s="2">
        <v>0</v>
      </c>
      <c r="E39" s="863"/>
      <c r="F39" s="2"/>
      <c r="G39" s="83" t="str">
        <f t="shared" si="9"/>
        <v>0.00%</v>
      </c>
      <c r="H39" s="2">
        <f t="shared" si="10"/>
        <v>0</v>
      </c>
      <c r="I39" s="871" t="str">
        <f t="shared" si="11"/>
        <v>2.0% = Est. S &amp; C</v>
      </c>
      <c r="J39" s="66"/>
      <c r="K39" s="83" t="str">
        <f t="shared" si="12"/>
        <v>0.00%</v>
      </c>
      <c r="L39" s="2">
        <f>ROUND(H39*(1+M19),0)</f>
        <v>0</v>
      </c>
      <c r="M39" s="871" t="str">
        <f>TEXT(M19,"0.0%")&amp;" = Est. S &amp; C"</f>
        <v>2.0% = Est. S &amp; C</v>
      </c>
      <c r="O39" s="83" t="str">
        <f t="shared" si="13"/>
        <v>0.00%</v>
      </c>
      <c r="P39" s="2">
        <f>ROUND(L39*(1+Q19),0)</f>
        <v>0</v>
      </c>
      <c r="Q39" s="871"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2"/>
      <c r="B40" s="939"/>
      <c r="E40" s="863"/>
      <c r="F40" s="2"/>
      <c r="H40" s="2"/>
      <c r="I40" s="871"/>
      <c r="J40" s="66"/>
      <c r="L40" s="2"/>
      <c r="M40" s="948"/>
      <c r="Q40" s="948"/>
      <c r="T40" s="2"/>
      <c r="U40" s="73"/>
      <c r="X40" s="2"/>
      <c r="Y40" s="73"/>
      <c r="AB40" s="2"/>
      <c r="AC40" s="73"/>
    </row>
    <row r="41" spans="1:29" hidden="1" x14ac:dyDescent="0.25">
      <c r="A41" s="153"/>
      <c r="B41" s="939"/>
      <c r="D41" s="8">
        <f>SUM(D33:D40)</f>
        <v>0</v>
      </c>
      <c r="E41" s="863"/>
      <c r="F41" s="2"/>
      <c r="G41" s="83" t="str">
        <f>IF(D41=0,"0.00%",(H41-D41)/D41)</f>
        <v>0.00%</v>
      </c>
      <c r="H41" s="8">
        <f>SUM(H33:H40)</f>
        <v>0</v>
      </c>
      <c r="I41" s="872"/>
      <c r="J41" s="29"/>
      <c r="K41" s="83" t="str">
        <f>IF(H41=0,"0.00%",(L41-H41)/H41)</f>
        <v>0.00%</v>
      </c>
      <c r="L41" s="8">
        <f>SUM(L33:L40)</f>
        <v>0</v>
      </c>
      <c r="M41" s="948"/>
      <c r="O41" s="83" t="str">
        <f>IF(L41=0,"0.00%",(P41-L41)/L41)</f>
        <v>0.00%</v>
      </c>
      <c r="P41" s="8">
        <f>SUM(P33:P40)</f>
        <v>0</v>
      </c>
      <c r="Q41" s="948"/>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52"/>
      <c r="B42" s="930" t="s">
        <v>28</v>
      </c>
      <c r="E42" s="863"/>
      <c r="F42" s="2"/>
      <c r="H42" s="2"/>
      <c r="I42" s="871"/>
      <c r="J42" s="66"/>
      <c r="L42" s="2"/>
      <c r="M42" s="948"/>
      <c r="Q42" s="948"/>
      <c r="T42" s="2"/>
      <c r="U42" s="73"/>
      <c r="X42" s="2"/>
      <c r="Y42" s="73"/>
      <c r="AB42" s="2"/>
      <c r="AC42" s="73"/>
    </row>
    <row r="43" spans="1:29" hidden="1" x14ac:dyDescent="0.25">
      <c r="A43" s="154"/>
      <c r="B43" s="936" t="s">
        <v>27</v>
      </c>
      <c r="E43" s="863"/>
      <c r="F43" s="2"/>
      <c r="H43" s="2"/>
      <c r="I43" s="871"/>
      <c r="J43" s="66"/>
      <c r="L43" s="2"/>
      <c r="M43" s="948"/>
      <c r="Q43" s="948"/>
      <c r="T43" s="2"/>
      <c r="U43" s="73"/>
      <c r="X43" s="2"/>
      <c r="Y43" s="73"/>
      <c r="AB43" s="2"/>
      <c r="AC43" s="73"/>
    </row>
    <row r="44" spans="1:29" hidden="1" x14ac:dyDescent="0.25">
      <c r="A44" s="152"/>
      <c r="B44" s="939" t="s">
        <v>83</v>
      </c>
      <c r="C44" s="857" t="s">
        <v>76</v>
      </c>
      <c r="D44" s="2">
        <v>0</v>
      </c>
      <c r="E44" s="854" t="str">
        <f>TEXT('MYP Assumptions'!$D$55,"0.00%")&amp;", STRS rate"</f>
        <v>12.58%, STRS rate</v>
      </c>
      <c r="F44" s="2"/>
      <c r="G44" s="83" t="str">
        <f t="shared" ref="G44:G53" si="17">IF(D44=0,"0.00%",(H44-D44)/D44)</f>
        <v>0.00%</v>
      </c>
      <c r="H44" s="2">
        <f>ROUND(H30*LEFT(I44,6),0)</f>
        <v>0</v>
      </c>
      <c r="I44" s="854" t="str">
        <f>TEXT('MYP Assumptions'!E55,"0.00%")&amp;", projected STRS rate"</f>
        <v>14.43%, projected STRS rate</v>
      </c>
      <c r="J44" s="66"/>
      <c r="K44" s="83" t="str">
        <f t="shared" ref="K44:K53" si="18">IF(H44=0,"0.00%",(L44-H44)/H44)</f>
        <v>0.00%</v>
      </c>
      <c r="L44" s="2">
        <f>ROUND(L30*LEFT(M44,6),0)</f>
        <v>0</v>
      </c>
      <c r="M44" s="854" t="str">
        <f>TEXT('MYP Assumptions'!F55,"0.00%")&amp;", projected STRS rate"</f>
        <v>16.28%, projected STRS rate</v>
      </c>
      <c r="O44" s="83" t="str">
        <f t="shared" ref="O44:O53" si="19">IF(L44=0,"0.00%",(P44-L44)/L44)</f>
        <v>0.00%</v>
      </c>
      <c r="P44" s="2">
        <f>ROUND(P30*LEFT(Q44,6),0)</f>
        <v>0</v>
      </c>
      <c r="Q44" s="854" t="str">
        <f>TEXT('MYP Assumptions'!G55,"0.00%")&amp;", projected STRS rate"</f>
        <v>18.13%, projected STRS rate</v>
      </c>
      <c r="S44" s="83" t="str">
        <f t="shared" ref="S44:S53" si="20">IF(P44=0,"0.00%",(T44-P44)/P44)</f>
        <v>0.00%</v>
      </c>
      <c r="T44" s="2">
        <f>ROUND(T30*LEFT(U44,6),0)</f>
        <v>0</v>
      </c>
      <c r="U44" s="81" t="str">
        <f>TEXT('MYP Assumptions'!H55,"0.00%")&amp;", projected STRS rate"</f>
        <v>19.10%, projected STRS rate</v>
      </c>
      <c r="W44" s="83" t="str">
        <f t="shared" ref="W44:W53" si="21">IF(T44=0,"0.00%",(X44-T44)/T44)</f>
        <v>0.00%</v>
      </c>
      <c r="X44" s="2">
        <f>ROUND(X30*LEFT(Y44,6),0)</f>
        <v>0</v>
      </c>
      <c r="Y44" s="81" t="str">
        <f>TEXT('MYP Assumptions'!I55,"0.00%")&amp;", projected STRS rate"</f>
        <v>19.10%, projected STRS rate</v>
      </c>
      <c r="AA44" s="83" t="str">
        <f t="shared" ref="AA44:AA53" si="22">IF(X44=0,"0.00%",(AB44-X44)/X44)</f>
        <v>0.00%</v>
      </c>
      <c r="AB44" s="2">
        <f>ROUND(AB30*LEFT(AC44,6),0)</f>
        <v>0</v>
      </c>
      <c r="AC44" s="81" t="str">
        <f>TEXT('MYP Assumptions'!J55,"0.00%")&amp;", projected STRS rate"</f>
        <v>19.10%, projected STRS rate</v>
      </c>
    </row>
    <row r="45" spans="1:29" hidden="1" x14ac:dyDescent="0.25">
      <c r="A45" s="152"/>
      <c r="B45" s="939" t="s">
        <v>84</v>
      </c>
      <c r="C45" s="857" t="s">
        <v>77</v>
      </c>
      <c r="D45" s="2">
        <v>0</v>
      </c>
      <c r="E45" s="854" t="str">
        <f>TEXT('MYP Assumptions'!$D$56,"0.00%")&amp;", PERS rate"</f>
        <v>13.89%, PERS rate</v>
      </c>
      <c r="F45" s="2"/>
      <c r="G45" s="83" t="str">
        <f t="shared" si="17"/>
        <v>0.00%</v>
      </c>
      <c r="H45" s="2">
        <f>ROUND(H41*LEFT(I45,6),0)</f>
        <v>0</v>
      </c>
      <c r="I45" s="854" t="str">
        <f>TEXT('MYP Assumptions'!E56,"0.00%")&amp;", projected PERS rate"</f>
        <v>15.53%, projected PERS rate</v>
      </c>
      <c r="J45" s="66"/>
      <c r="K45" s="83" t="str">
        <f t="shared" si="18"/>
        <v>0.00%</v>
      </c>
      <c r="L45" s="2">
        <f>ROUND(L41*LEFT(M45,6),0)</f>
        <v>0</v>
      </c>
      <c r="M45" s="854" t="str">
        <f>TEXT('MYP Assumptions'!F56,"0.00%")&amp;", projected PERS rate"</f>
        <v>18.10%, projected PERS rate</v>
      </c>
      <c r="O45" s="83" t="str">
        <f t="shared" si="19"/>
        <v>0.00%</v>
      </c>
      <c r="P45" s="2">
        <f>ROUND(P41*LEFT(Q45,6),0)</f>
        <v>0</v>
      </c>
      <c r="Q45" s="854" t="str">
        <f>TEXT('MYP Assumptions'!G56,"0.00%")&amp;", projected PERS rate"</f>
        <v>20.80%, projected PERS rate</v>
      </c>
      <c r="S45" s="83" t="str">
        <f t="shared" si="20"/>
        <v>0.00%</v>
      </c>
      <c r="T45" s="2">
        <f>ROUND(T41*LEFT(U45,6),0)</f>
        <v>0</v>
      </c>
      <c r="U45" s="81" t="str">
        <f>TEXT('MYP Assumptions'!H56,"0.00%")&amp;", projected PERS rate"</f>
        <v>23.80%, projected PERS rate</v>
      </c>
      <c r="W45" s="83" t="str">
        <f t="shared" si="21"/>
        <v>0.00%</v>
      </c>
      <c r="X45" s="2">
        <f>ROUND(X41*LEFT(Y45,6),0)</f>
        <v>0</v>
      </c>
      <c r="Y45" s="81" t="str">
        <f>TEXT('MYP Assumptions'!I56,"0.00%")&amp;", projected PERS rate"</f>
        <v>25.20%, projected PERS rate</v>
      </c>
      <c r="AA45" s="83" t="str">
        <f t="shared" si="22"/>
        <v>0.00%</v>
      </c>
      <c r="AB45" s="2">
        <f>ROUND(AB41*LEFT(AC45,6),0)</f>
        <v>0</v>
      </c>
      <c r="AC45" s="81" t="str">
        <f>TEXT('MYP Assumptions'!J56,"0.00%")&amp;", projected PERS rate"</f>
        <v>26.10%, projected PERS rate</v>
      </c>
    </row>
    <row r="46" spans="1:29" hidden="1" x14ac:dyDescent="0.25">
      <c r="A46" s="152"/>
      <c r="B46" s="939" t="s">
        <v>85</v>
      </c>
      <c r="C46" s="857" t="s">
        <v>78</v>
      </c>
      <c r="D46" s="2">
        <v>0</v>
      </c>
      <c r="E46" s="854" t="str">
        <f>TEXT('MYP Assumptions'!$D$57,"0.00%")&amp;", SS rate"</f>
        <v>6.20%, SS rate</v>
      </c>
      <c r="F46" s="2"/>
      <c r="G46" s="83" t="str">
        <f t="shared" si="17"/>
        <v>0.00%</v>
      </c>
      <c r="H46" s="2">
        <f>ROUND(H41*LEFT(I46,5),0)</f>
        <v>0</v>
      </c>
      <c r="I46" s="854" t="str">
        <f>TEXT('MYP Assumptions'!E57,"0.00%")&amp;", no rate change"</f>
        <v>6.20%, no rate change</v>
      </c>
      <c r="J46" s="66"/>
      <c r="K46" s="83" t="str">
        <f t="shared" si="18"/>
        <v>0.00%</v>
      </c>
      <c r="L46" s="2">
        <f>ROUND(L41*LEFT(M46,5),0)</f>
        <v>0</v>
      </c>
      <c r="M46" s="854" t="str">
        <f>TEXT('MYP Assumptions'!F57,"0.00%")&amp;", no rate change"</f>
        <v>6.20%, no rate change</v>
      </c>
      <c r="O46" s="83" t="str">
        <f t="shared" si="19"/>
        <v>0.00%</v>
      </c>
      <c r="P46" s="2">
        <f>ROUND(P41*LEFT(Q46,5),0)</f>
        <v>0</v>
      </c>
      <c r="Q46" s="854" t="str">
        <f>TEXT('MYP Assumptions'!G57,"0.00%")&amp;", no rate change"</f>
        <v>6.20%, no rate change</v>
      </c>
      <c r="S46" s="83" t="str">
        <f t="shared" si="20"/>
        <v>0.00%</v>
      </c>
      <c r="T46" s="2">
        <f>ROUND(T41*LEFT(U46,5),0)</f>
        <v>0</v>
      </c>
      <c r="U46" s="81" t="str">
        <f>TEXT('MYP Assumptions'!H57,"0.00%")&amp;", no rate change"</f>
        <v>6.20%, no rate change</v>
      </c>
      <c r="W46" s="83" t="str">
        <f t="shared" si="21"/>
        <v>0.00%</v>
      </c>
      <c r="X46" s="2">
        <f>ROUND(X41*LEFT(Y46,5),0)</f>
        <v>0</v>
      </c>
      <c r="Y46" s="81" t="str">
        <f>TEXT('MYP Assumptions'!I57,"0.00%")&amp;", no rate change"</f>
        <v>6.20%, no rate change</v>
      </c>
      <c r="AA46" s="83" t="str">
        <f t="shared" si="22"/>
        <v>0.00%</v>
      </c>
      <c r="AB46" s="2">
        <f>ROUND(AB41*LEFT(AC46,5),0)</f>
        <v>0</v>
      </c>
      <c r="AC46" s="81" t="str">
        <f>TEXT('MYP Assumptions'!J57,"0.00%")&amp;", no rate change"</f>
        <v>6.20%, no rate change</v>
      </c>
    </row>
    <row r="47" spans="1:29" hidden="1" x14ac:dyDescent="0.25">
      <c r="A47" s="152"/>
      <c r="B47" s="939" t="s">
        <v>86</v>
      </c>
      <c r="C47" s="857" t="s">
        <v>79</v>
      </c>
      <c r="D47" s="2">
        <v>0</v>
      </c>
      <c r="E47" s="854" t="str">
        <f>TEXT('MYP Assumptions'!$D$58,"0.00%")&amp;", Medicare rate"</f>
        <v>1.45%, Medicare rate</v>
      </c>
      <c r="F47" s="2"/>
      <c r="G47" s="83" t="str">
        <f t="shared" si="17"/>
        <v>0.00%</v>
      </c>
      <c r="H47" s="2">
        <f>ROUND((H41+H30)*LEFT(I47,5),0)</f>
        <v>0</v>
      </c>
      <c r="I47" s="854" t="str">
        <f>TEXT('MYP Assumptions'!E58,"0.00%")&amp;", no rate change"</f>
        <v>1.45%, no rate change</v>
      </c>
      <c r="J47" s="66"/>
      <c r="K47" s="83" t="str">
        <f t="shared" si="18"/>
        <v>0.00%</v>
      </c>
      <c r="L47" s="2">
        <f>ROUND((L41+L30)*LEFT(M47,5),0)</f>
        <v>0</v>
      </c>
      <c r="M47" s="854" t="str">
        <f>TEXT('MYP Assumptions'!F58,"0.00%")&amp;", no rate change"</f>
        <v>1.45%, no rate change</v>
      </c>
      <c r="O47" s="83" t="str">
        <f t="shared" si="19"/>
        <v>0.00%</v>
      </c>
      <c r="P47" s="2">
        <f>ROUND((P41+P30)*LEFT(Q47,5),0)</f>
        <v>0</v>
      </c>
      <c r="Q47" s="854" t="str">
        <f>TEXT('MYP Assumptions'!G58,"0.00%")&amp;", no rate change"</f>
        <v>1.45%, no rate change</v>
      </c>
      <c r="S47" s="83" t="str">
        <f t="shared" si="20"/>
        <v>0.00%</v>
      </c>
      <c r="T47" s="2">
        <f>ROUND((T41+T30)*LEFT(U47,5),0)</f>
        <v>0</v>
      </c>
      <c r="U47" s="81" t="str">
        <f>TEXT('MYP Assumptions'!H58,"0.00%")&amp;", no rate change"</f>
        <v>1.45%, no rate change</v>
      </c>
      <c r="W47" s="83" t="str">
        <f t="shared" si="21"/>
        <v>0.00%</v>
      </c>
      <c r="X47" s="2">
        <f>ROUND((X41+X30)*LEFT(Y47,5),0)</f>
        <v>0</v>
      </c>
      <c r="Y47" s="81" t="str">
        <f>TEXT('MYP Assumptions'!I58,"0.00%")&amp;", no rate change"</f>
        <v>1.45%, no rate change</v>
      </c>
      <c r="AA47" s="83" t="str">
        <f t="shared" si="22"/>
        <v>0.00%</v>
      </c>
      <c r="AB47" s="2">
        <f>ROUND((AB41+AB30)*LEFT(AC47,5),0)</f>
        <v>0</v>
      </c>
      <c r="AC47" s="81" t="str">
        <f>TEXT('MYP Assumptions'!J58,"0.00%")&amp;", no rate change"</f>
        <v>1.45%, no rate change</v>
      </c>
    </row>
    <row r="48" spans="1:29" hidden="1" x14ac:dyDescent="0.25">
      <c r="A48" s="152"/>
      <c r="B48" s="939" t="s">
        <v>87</v>
      </c>
      <c r="C48" s="857" t="s">
        <v>80</v>
      </c>
      <c r="D48" s="2">
        <v>0</v>
      </c>
      <c r="E48" s="854"/>
      <c r="F48" s="2"/>
      <c r="G48" s="83" t="str">
        <f t="shared" si="17"/>
        <v>0.00%</v>
      </c>
      <c r="H48" s="2">
        <f>ROUND((D48)*(LEFT(I48,5)+1),0)</f>
        <v>0</v>
      </c>
      <c r="I48" s="854" t="str">
        <f>TEXT('MYP Assumptions'!$M$65,"0.00%")&amp;", projected increase"</f>
        <v>7.00%, projected increase</v>
      </c>
      <c r="J48" s="66"/>
      <c r="K48" s="83" t="str">
        <f t="shared" si="18"/>
        <v>0.00%</v>
      </c>
      <c r="L48" s="2">
        <f>ROUND((H48)*(LEFT(M48,5)+1),0)</f>
        <v>0</v>
      </c>
      <c r="M48" s="854" t="str">
        <f>TEXT('MYP Assumptions'!$M$65,"0.00%")&amp;", projected increase"</f>
        <v>7.00%, projected increase</v>
      </c>
      <c r="O48" s="83" t="str">
        <f t="shared" si="19"/>
        <v>0.00%</v>
      </c>
      <c r="P48" s="2">
        <f>ROUND((L48)*(LEFT(Q48,5)+1),0)</f>
        <v>0</v>
      </c>
      <c r="Q48" s="854" t="str">
        <f>TEXT('MYP Assumptions'!$M$65,"0.00%")&amp;", projected increase"</f>
        <v>7.00%, projected increase</v>
      </c>
      <c r="S48" s="83" t="str">
        <f t="shared" si="20"/>
        <v>0.00%</v>
      </c>
      <c r="T48" s="2">
        <f>ROUND((P48)*(LEFT(U48,5)+1),0)</f>
        <v>0</v>
      </c>
      <c r="U48" s="81" t="str">
        <f>TEXT('MYP Assumptions'!$M$65,"0.00%")&amp;", projected increase"</f>
        <v>7.00%, projected increase</v>
      </c>
      <c r="W48" s="83" t="str">
        <f t="shared" si="21"/>
        <v>0.00%</v>
      </c>
      <c r="X48" s="2">
        <f>ROUND((T48)*(LEFT(Y48,5)+1),0)</f>
        <v>0</v>
      </c>
      <c r="Y48" s="81" t="str">
        <f>TEXT('MYP Assumptions'!$M$65,"0.00%")&amp;", projected increase"</f>
        <v>7.00%, projected increase</v>
      </c>
      <c r="AA48" s="83" t="str">
        <f t="shared" si="22"/>
        <v>0.00%</v>
      </c>
      <c r="AB48" s="2">
        <f>ROUND((X48)*(LEFT(AC48,5)+1),0)</f>
        <v>0</v>
      </c>
      <c r="AC48" s="81" t="str">
        <f>TEXT('MYP Assumptions'!$M$65,"0.00%")&amp;", projected increase"</f>
        <v>7.00%, projected increase</v>
      </c>
    </row>
    <row r="49" spans="1:29" hidden="1" x14ac:dyDescent="0.25">
      <c r="A49" s="152"/>
      <c r="B49" s="939" t="s">
        <v>88</v>
      </c>
      <c r="C49" s="857" t="s">
        <v>81</v>
      </c>
      <c r="D49" s="2">
        <v>0</v>
      </c>
      <c r="E49" s="854" t="str">
        <f>TEXT('MYP Assumptions'!$D$59,"0.00%")&amp;", SUI rate"</f>
        <v>0.05%, SUI rate</v>
      </c>
      <c r="F49" s="2"/>
      <c r="G49" s="83" t="str">
        <f t="shared" si="17"/>
        <v>0.00%</v>
      </c>
      <c r="H49" s="2">
        <f>ROUND((H41+H30)*LEFT(I49,5),0)</f>
        <v>0</v>
      </c>
      <c r="I49" s="854" t="str">
        <f>TEXT('MYP Assumptions'!E59,"0.00%")&amp;", no rate change"</f>
        <v>0.05%, no rate change</v>
      </c>
      <c r="J49" s="66"/>
      <c r="K49" s="83" t="str">
        <f t="shared" si="18"/>
        <v>0.00%</v>
      </c>
      <c r="L49" s="2">
        <f>ROUND((L41+L30)*LEFT(M49,5),0)</f>
        <v>0</v>
      </c>
      <c r="M49" s="854" t="str">
        <f>TEXT('MYP Assumptions'!F59,"0.00%")&amp;", no rate change"</f>
        <v>0.05%, no rate change</v>
      </c>
      <c r="O49" s="83" t="str">
        <f t="shared" si="19"/>
        <v>0.00%</v>
      </c>
      <c r="P49" s="2">
        <f>ROUND((P41+P30)*LEFT(Q49,5),0)</f>
        <v>0</v>
      </c>
      <c r="Q49" s="854" t="str">
        <f>TEXT('MYP Assumptions'!G59,"0.00%")&amp;", no rate change"</f>
        <v>0.05%, no rate change</v>
      </c>
      <c r="S49" s="83" t="str">
        <f t="shared" si="20"/>
        <v>0.00%</v>
      </c>
      <c r="T49" s="2">
        <f>ROUND((T41+T30)*LEFT(U49,5),0)</f>
        <v>0</v>
      </c>
      <c r="U49" s="81" t="str">
        <f>TEXT('MYP Assumptions'!H59,"0.00%")&amp;", no rate change"</f>
        <v>0.05%, no rate change</v>
      </c>
      <c r="W49" s="83" t="str">
        <f t="shared" si="21"/>
        <v>0.00%</v>
      </c>
      <c r="X49" s="2">
        <f>ROUND((X41+X30)*LEFT(Y49,5),0)</f>
        <v>0</v>
      </c>
      <c r="Y49" s="81" t="str">
        <f>TEXT('MYP Assumptions'!I59,"0.00%")&amp;", no rate change"</f>
        <v>0.05%, no rate change</v>
      </c>
      <c r="AA49" s="83" t="str">
        <f t="shared" si="22"/>
        <v>0.00%</v>
      </c>
      <c r="AB49" s="2">
        <f>ROUND((AB41+AB30)*LEFT(AC49,5),0)</f>
        <v>0</v>
      </c>
      <c r="AC49" s="81" t="str">
        <f>TEXT('MYP Assumptions'!J59,"0.00%")&amp;", no rate change"</f>
        <v>0.05%, no rate change</v>
      </c>
    </row>
    <row r="50" spans="1:29" hidden="1" x14ac:dyDescent="0.25">
      <c r="A50" s="152"/>
      <c r="B50" s="939" t="s">
        <v>89</v>
      </c>
      <c r="C50" s="857" t="s">
        <v>82</v>
      </c>
      <c r="D50" s="2">
        <v>0</v>
      </c>
      <c r="E50" s="854" t="str">
        <f>TEXT('MYP Assumptions'!$D$60,"0.00%")&amp;", W/C rate"</f>
        <v>1.10%, W/C rate</v>
      </c>
      <c r="F50" s="2"/>
      <c r="G50" s="83" t="str">
        <f t="shared" si="17"/>
        <v>0.00%</v>
      </c>
      <c r="H50" s="2">
        <f>ROUND((H41+H30)*LEFT(I50,5),0)</f>
        <v>0</v>
      </c>
      <c r="I50" s="854" t="str">
        <f>TEXT('MYP Assumptions'!E60,"0.00%")&amp;", no rate change"</f>
        <v>0.80%, no rate change</v>
      </c>
      <c r="J50" s="66"/>
      <c r="K50" s="83" t="str">
        <f t="shared" si="18"/>
        <v>0.00%</v>
      </c>
      <c r="L50" s="2">
        <f>ROUND((L41+L30)*LEFT(M50,5),0)</f>
        <v>0</v>
      </c>
      <c r="M50" s="854" t="str">
        <f>TEXT('MYP Assumptions'!F60,"0.00%")&amp;", no rate change"</f>
        <v>0.80%, no rate change</v>
      </c>
      <c r="O50" s="83" t="str">
        <f t="shared" si="19"/>
        <v>0.00%</v>
      </c>
      <c r="P50" s="2">
        <f>ROUND((P41+P30)*LEFT(Q50,5),0)</f>
        <v>0</v>
      </c>
      <c r="Q50" s="854" t="str">
        <f>TEXT('MYP Assumptions'!G60,"0.00%")&amp;", no rate change"</f>
        <v>0.80%, no rate change</v>
      </c>
      <c r="S50" s="83" t="str">
        <f t="shared" si="20"/>
        <v>0.00%</v>
      </c>
      <c r="T50" s="2">
        <f>ROUND((T41+T30)*LEFT(U50,5),0)</f>
        <v>0</v>
      </c>
      <c r="U50" s="81" t="str">
        <f>TEXT('MYP Assumptions'!H60,"0.00%")&amp;", no rate change"</f>
        <v>0.80%, no rate change</v>
      </c>
      <c r="W50" s="83" t="str">
        <f t="shared" si="21"/>
        <v>0.00%</v>
      </c>
      <c r="X50" s="2">
        <f>ROUND((X41+X30)*LEFT(Y50,5),0)</f>
        <v>0</v>
      </c>
      <c r="Y50" s="81" t="str">
        <f>TEXT('MYP Assumptions'!I60,"0.00%")&amp;", no rate change"</f>
        <v>0.80%, no rate change</v>
      </c>
      <c r="AA50" s="83" t="str">
        <f t="shared" si="22"/>
        <v>0.00%</v>
      </c>
      <c r="AB50" s="2">
        <f>ROUND((AB41+AB30)*LEFT(AC50,5),0)</f>
        <v>0</v>
      </c>
      <c r="AC50" s="81" t="str">
        <f>TEXT('MYP Assumptions'!J60,"0.00%")&amp;", no rate change"</f>
        <v>0.80%, no rate change</v>
      </c>
    </row>
    <row r="51" spans="1:29" hidden="1" x14ac:dyDescent="0.25">
      <c r="A51" s="152"/>
      <c r="B51" s="939" t="s">
        <v>90</v>
      </c>
      <c r="C51" s="857" t="s">
        <v>92</v>
      </c>
      <c r="D51" s="2">
        <v>0</v>
      </c>
      <c r="E51" s="863"/>
      <c r="F51" s="2"/>
      <c r="G51" s="83" t="str">
        <f t="shared" si="17"/>
        <v>0.00%</v>
      </c>
      <c r="H51" s="2">
        <f>D51</f>
        <v>0</v>
      </c>
      <c r="I51" s="854" t="s">
        <v>166</v>
      </c>
      <c r="J51" s="66"/>
      <c r="K51" s="83" t="str">
        <f t="shared" si="18"/>
        <v>0.00%</v>
      </c>
      <c r="L51" s="2">
        <f>H51</f>
        <v>0</v>
      </c>
      <c r="M51" s="854" t="s">
        <v>166</v>
      </c>
      <c r="O51" s="83" t="str">
        <f t="shared" si="19"/>
        <v>0.00%</v>
      </c>
      <c r="P51" s="2">
        <f>L51</f>
        <v>0</v>
      </c>
      <c r="Q51" s="854" t="s">
        <v>166</v>
      </c>
      <c r="S51" s="83" t="str">
        <f t="shared" si="20"/>
        <v>0.00%</v>
      </c>
      <c r="T51" s="2">
        <f>P51</f>
        <v>0</v>
      </c>
      <c r="U51" s="81" t="s">
        <v>166</v>
      </c>
      <c r="W51" s="83" t="str">
        <f t="shared" si="21"/>
        <v>0.00%</v>
      </c>
      <c r="X51" s="2">
        <f>T51</f>
        <v>0</v>
      </c>
      <c r="Y51" s="81" t="s">
        <v>166</v>
      </c>
      <c r="AA51" s="83" t="str">
        <f t="shared" si="22"/>
        <v>0.00%</v>
      </c>
      <c r="AB51" s="2">
        <f>X51</f>
        <v>0</v>
      </c>
      <c r="AC51" s="81" t="s">
        <v>166</v>
      </c>
    </row>
    <row r="52" spans="1:29" hidden="1" x14ac:dyDescent="0.25">
      <c r="A52" s="152"/>
      <c r="B52" s="939" t="s">
        <v>91</v>
      </c>
      <c r="C52" s="857" t="s">
        <v>93</v>
      </c>
      <c r="D52" s="2">
        <v>0</v>
      </c>
      <c r="E52" s="863"/>
      <c r="F52" s="2"/>
      <c r="G52" s="83" t="str">
        <f t="shared" si="17"/>
        <v>0.00%</v>
      </c>
      <c r="H52" s="2">
        <f>D52</f>
        <v>0</v>
      </c>
      <c r="I52" s="854" t="s">
        <v>166</v>
      </c>
      <c r="J52" s="66"/>
      <c r="K52" s="83" t="str">
        <f t="shared" si="18"/>
        <v>0.00%</v>
      </c>
      <c r="L52" s="2">
        <f>H52</f>
        <v>0</v>
      </c>
      <c r="M52" s="854" t="s">
        <v>166</v>
      </c>
      <c r="O52" s="83" t="str">
        <f t="shared" si="19"/>
        <v>0.00%</v>
      </c>
      <c r="P52" s="2">
        <f>L52</f>
        <v>0</v>
      </c>
      <c r="Q52" s="854" t="s">
        <v>166</v>
      </c>
      <c r="S52" s="83" t="str">
        <f t="shared" si="20"/>
        <v>0.00%</v>
      </c>
      <c r="T52" s="2">
        <f>P52</f>
        <v>0</v>
      </c>
      <c r="U52" s="81" t="s">
        <v>166</v>
      </c>
      <c r="W52" s="83" t="str">
        <f t="shared" si="21"/>
        <v>0.00%</v>
      </c>
      <c r="X52" s="2">
        <f>T52</f>
        <v>0</v>
      </c>
      <c r="Y52" s="81" t="s">
        <v>166</v>
      </c>
      <c r="AA52" s="83" t="str">
        <f t="shared" si="22"/>
        <v>0.00%</v>
      </c>
      <c r="AB52" s="2">
        <f>X52</f>
        <v>0</v>
      </c>
      <c r="AC52" s="81" t="s">
        <v>166</v>
      </c>
    </row>
    <row r="53" spans="1:29" hidden="1" x14ac:dyDescent="0.25">
      <c r="A53" s="153"/>
      <c r="B53" s="939"/>
      <c r="D53" s="8">
        <f>SUM(D44:D52)</f>
        <v>0</v>
      </c>
      <c r="E53" s="863"/>
      <c r="F53" s="2"/>
      <c r="G53" s="83" t="str">
        <f t="shared" si="17"/>
        <v>0.00%</v>
      </c>
      <c r="H53" s="8">
        <f>SUM(H44:H52)</f>
        <v>0</v>
      </c>
      <c r="I53" s="872"/>
      <c r="J53" s="29"/>
      <c r="K53" s="83" t="str">
        <f t="shared" si="18"/>
        <v>0.00%</v>
      </c>
      <c r="L53" s="8">
        <f>SUM(L44:L52)</f>
        <v>0</v>
      </c>
      <c r="M53" s="948"/>
      <c r="O53" s="83" t="str">
        <f t="shared" si="19"/>
        <v>0.00%</v>
      </c>
      <c r="P53" s="8">
        <f>SUM(P44:P52)</f>
        <v>0</v>
      </c>
      <c r="Q53" s="948"/>
      <c r="S53" s="83" t="str">
        <f t="shared" si="20"/>
        <v>0.00%</v>
      </c>
      <c r="T53" s="8">
        <f>SUM(T44:T52)</f>
        <v>0</v>
      </c>
      <c r="U53" s="73"/>
      <c r="W53" s="83" t="str">
        <f t="shared" si="21"/>
        <v>0.00%</v>
      </c>
      <c r="X53" s="8">
        <f>SUM(X44:X52)</f>
        <v>0</v>
      </c>
      <c r="Y53" s="73"/>
      <c r="AA53" s="83" t="str">
        <f t="shared" si="22"/>
        <v>0.00%</v>
      </c>
      <c r="AB53" s="8">
        <f>SUM(AB44:AB52)</f>
        <v>0</v>
      </c>
      <c r="AC53" s="73"/>
    </row>
    <row r="54" spans="1:29" hidden="1" x14ac:dyDescent="0.25">
      <c r="A54" s="154"/>
      <c r="B54" s="939"/>
      <c r="E54" s="863"/>
      <c r="F54" s="2"/>
      <c r="H54" s="2"/>
      <c r="I54" s="871"/>
      <c r="J54" s="66"/>
      <c r="L54" s="2"/>
      <c r="M54" s="948"/>
      <c r="Q54" s="948"/>
      <c r="T54" s="2"/>
      <c r="U54" s="73"/>
      <c r="X54" s="2"/>
      <c r="Y54" s="73"/>
      <c r="AB54" s="2"/>
      <c r="AC54" s="73"/>
    </row>
    <row r="55" spans="1:29" hidden="1" x14ac:dyDescent="0.25">
      <c r="A55" s="153"/>
      <c r="B55" s="936" t="s">
        <v>26</v>
      </c>
      <c r="D55" s="8">
        <f>SUM(D53,D41,D30)</f>
        <v>0</v>
      </c>
      <c r="E55" s="863"/>
      <c r="F55" s="2"/>
      <c r="G55" s="83" t="str">
        <f>IF(D55=0,"0.00%",(H55-D55)/D55)</f>
        <v>0.00%</v>
      </c>
      <c r="H55" s="8">
        <f>SUM(H53,H41,H30)</f>
        <v>0</v>
      </c>
      <c r="I55" s="872"/>
      <c r="J55" s="29"/>
      <c r="K55" s="83" t="str">
        <f>IF(H55=0,"0.00%",(L55-H55)/H55)</f>
        <v>0.00%</v>
      </c>
      <c r="L55" s="8">
        <f>SUM(L53,L41,L30)</f>
        <v>0</v>
      </c>
      <c r="M55" s="948"/>
      <c r="O55" s="83" t="str">
        <f>IF(L55=0,"0.00%",(P55-L55)/L55)</f>
        <v>0.00%</v>
      </c>
      <c r="P55" s="8">
        <f>SUM(P53,P41,P30)</f>
        <v>0</v>
      </c>
      <c r="Q55" s="948"/>
      <c r="S55" s="83" t="str">
        <f>IF(P55=0,"0.00%",(T55-P55)/P55)</f>
        <v>0.00%</v>
      </c>
      <c r="T55" s="8">
        <f>SUM(T53,T41,T30)</f>
        <v>0</v>
      </c>
      <c r="U55" s="73"/>
      <c r="W55" s="83" t="str">
        <f>IF(T55=0,"0.00%",(X55-T55)/T55)</f>
        <v>0.00%</v>
      </c>
      <c r="X55" s="8">
        <f>SUM(X53,X41,X30)</f>
        <v>0</v>
      </c>
      <c r="Y55" s="73"/>
      <c r="AA55" s="83" t="str">
        <f>IF(X55=0,"0.00%",(AB55-X55)/X55)</f>
        <v>0.00%</v>
      </c>
      <c r="AB55" s="8">
        <f>SUM(AB53,AB41,AB30)</f>
        <v>0</v>
      </c>
      <c r="AC55" s="73"/>
    </row>
    <row r="56" spans="1:29" hidden="1" x14ac:dyDescent="0.25">
      <c r="A56" s="155"/>
      <c r="E56" s="863"/>
      <c r="F56" s="2"/>
      <c r="H56" s="2"/>
      <c r="I56" s="871"/>
      <c r="J56" s="66"/>
      <c r="L56" s="2"/>
      <c r="M56" s="948"/>
      <c r="Q56" s="948"/>
      <c r="T56" s="2"/>
      <c r="U56" s="73"/>
      <c r="X56" s="2"/>
      <c r="Y56" s="73"/>
      <c r="AB56" s="2"/>
      <c r="AC56" s="73"/>
    </row>
    <row r="57" spans="1:29" hidden="1" x14ac:dyDescent="0.25">
      <c r="A57" s="152"/>
      <c r="E57" s="863"/>
      <c r="F57" s="2"/>
      <c r="H57" s="2"/>
      <c r="I57" s="871"/>
      <c r="J57" s="66"/>
      <c r="L57" s="2"/>
      <c r="M57" s="948"/>
      <c r="Q57" s="948"/>
      <c r="T57" s="2"/>
      <c r="U57" s="73"/>
      <c r="X57" s="2"/>
      <c r="Y57" s="73"/>
      <c r="AB57" s="2"/>
      <c r="AC57" s="73"/>
    </row>
    <row r="58" spans="1:29" hidden="1" x14ac:dyDescent="0.25">
      <c r="A58" s="155"/>
      <c r="B58" s="940" t="s">
        <v>25</v>
      </c>
      <c r="C58" s="873"/>
      <c r="E58" s="863"/>
      <c r="F58" s="2"/>
      <c r="H58" s="2"/>
      <c r="I58" s="871"/>
      <c r="J58" s="66"/>
      <c r="L58" s="2"/>
      <c r="M58" s="948"/>
      <c r="Q58" s="948"/>
      <c r="T58" s="2"/>
      <c r="U58" s="73"/>
      <c r="X58" s="2"/>
      <c r="Y58" s="73"/>
      <c r="AB58" s="2"/>
      <c r="AC58" s="73"/>
    </row>
    <row r="59" spans="1:29" hidden="1" x14ac:dyDescent="0.25">
      <c r="A59" s="152"/>
      <c r="B59" s="939"/>
      <c r="D59" s="2">
        <v>0</v>
      </c>
      <c r="E59" s="863"/>
      <c r="F59" s="2"/>
      <c r="G59" s="83" t="str">
        <f t="shared" ref="G59:G66" si="23">IF(D59=0,"0.00%",(H59-D59)/D59)</f>
        <v>0.00%</v>
      </c>
      <c r="H59" s="2">
        <f t="shared" ref="H59:H65" si="24">ROUND(D59*(LEFT(I59,5)+1),0)</f>
        <v>0</v>
      </c>
      <c r="I59" s="854" t="str">
        <f>TEXT('MYP Assumptions'!E75,"0.00%")&amp;", CPI"</f>
        <v>3.42%, CPI</v>
      </c>
      <c r="J59" s="66"/>
      <c r="K59" s="83" t="str">
        <f t="shared" ref="K59:K66" si="25">IF(H59=0,"0.00%",(L59-H59)/H59)</f>
        <v>0.00%</v>
      </c>
      <c r="L59" s="2">
        <f>ROUND(H59*(LEFT(M59,5)+1),0)</f>
        <v>0</v>
      </c>
      <c r="M59" s="854" t="str">
        <f>TEXT('MYP Assumptions'!F75,"0.00%")&amp;", CPI"</f>
        <v>3.35%, CPI</v>
      </c>
      <c r="O59" s="83" t="str">
        <f t="shared" ref="O59:O66" si="26">IF(L59=0,"0.00%",(P59-L59)/L59)</f>
        <v>0.00%</v>
      </c>
      <c r="P59" s="2">
        <f>ROUND(L59*(LEFT(Q59,5)+1),0)</f>
        <v>0</v>
      </c>
      <c r="Q59" s="854" t="str">
        <f>TEXT('MYP Assumptions'!G75,"0.00%")&amp;", CPI"</f>
        <v>3.02%, CPI</v>
      </c>
      <c r="S59" s="83" t="str">
        <f t="shared" ref="S59:S66" si="27">IF(P59=0,"0.00%",(T59-P59)/P59)</f>
        <v>0.00%</v>
      </c>
      <c r="T59" s="2">
        <f>ROUND(P59*(LEFT(U59,5)+1),0)</f>
        <v>0</v>
      </c>
      <c r="U59" s="81" t="str">
        <f>TEXT('MYP Assumptions'!H75,"0.00%")&amp;", CPI"</f>
        <v>2.73%, CPI</v>
      </c>
      <c r="W59" s="83" t="str">
        <f t="shared" ref="W59:W66" si="28">IF(T59=0,"0.00%",(X59-T59)/T59)</f>
        <v>0.00%</v>
      </c>
      <c r="X59" s="2">
        <f>ROUND(T59*(LEFT(Y59,5)+1),0)</f>
        <v>0</v>
      </c>
      <c r="Y59" s="81" t="str">
        <f>TEXT('MYP Assumptions'!I75,"0.00%")&amp;", CPI"</f>
        <v>2.73%, CPI</v>
      </c>
      <c r="AA59" s="83" t="str">
        <f t="shared" ref="AA59:AA66" si="29">IF(X59=0,"0.00%",(AB59-X59)/X59)</f>
        <v>0.00%</v>
      </c>
      <c r="AB59" s="2">
        <f>ROUND(X59*(LEFT(AC59,5)+1),0)</f>
        <v>0</v>
      </c>
      <c r="AC59" s="81" t="str">
        <f>TEXT('MYP Assumptions'!J75,"0.00%")&amp;", CPI"</f>
        <v>2.73%, CPI</v>
      </c>
    </row>
    <row r="60" spans="1:29" hidden="1" x14ac:dyDescent="0.25">
      <c r="A60" s="152"/>
      <c r="B60" s="939"/>
      <c r="D60" s="2">
        <v>0</v>
      </c>
      <c r="E60" s="863"/>
      <c r="F60" s="2"/>
      <c r="G60" s="83" t="str">
        <f t="shared" si="23"/>
        <v>0.00%</v>
      </c>
      <c r="H60" s="2">
        <f t="shared" si="24"/>
        <v>0</v>
      </c>
      <c r="I60" s="854" t="str">
        <f>TEXT('MYP Assumptions'!E75,"0.00%")&amp;", CPI"</f>
        <v>3.42%, CPI</v>
      </c>
      <c r="J60" s="66"/>
      <c r="K60" s="83" t="str">
        <f t="shared" si="25"/>
        <v>0.00%</v>
      </c>
      <c r="L60" s="2">
        <f t="shared" ref="L60:L65" si="30">ROUND(H60*(LEFT(M60,5)+1),0)</f>
        <v>0</v>
      </c>
      <c r="M60" s="854" t="str">
        <f>TEXT('MYP Assumptions'!F75,"0.00%")&amp;", CPI"</f>
        <v>3.35%, CPI</v>
      </c>
      <c r="O60" s="83" t="str">
        <f t="shared" si="26"/>
        <v>0.00%</v>
      </c>
      <c r="P60" s="2">
        <f t="shared" ref="P60:P65" si="31">ROUND(L60*(LEFT(Q60,5)+1),0)</f>
        <v>0</v>
      </c>
      <c r="Q60" s="854" t="str">
        <f>TEXT('MYP Assumptions'!G75,"0.00%")&amp;", CPI"</f>
        <v>3.02%, CPI</v>
      </c>
      <c r="S60" s="83" t="str">
        <f t="shared" si="27"/>
        <v>0.00%</v>
      </c>
      <c r="T60" s="2">
        <f t="shared" ref="T60:T65" si="32">ROUND(P60*(LEFT(U60,5)+1),0)</f>
        <v>0</v>
      </c>
      <c r="U60" s="81" t="str">
        <f>TEXT('MYP Assumptions'!H75,"0.00%")&amp;", CPI"</f>
        <v>2.73%, CPI</v>
      </c>
      <c r="W60" s="83" t="str">
        <f t="shared" si="28"/>
        <v>0.00%</v>
      </c>
      <c r="X60" s="2">
        <f t="shared" ref="X60:X65" si="33">ROUND(T60*(LEFT(Y60,5)+1),0)</f>
        <v>0</v>
      </c>
      <c r="Y60" s="81" t="str">
        <f>TEXT('MYP Assumptions'!I75,"0.00%")&amp;", CPI"</f>
        <v>2.73%, CPI</v>
      </c>
      <c r="AA60" s="83" t="str">
        <f t="shared" si="29"/>
        <v>0.00%</v>
      </c>
      <c r="AB60" s="2">
        <f t="shared" ref="AB60:AB65" si="34">ROUND(X60*(LEFT(AC60,5)+1),0)</f>
        <v>0</v>
      </c>
      <c r="AC60" s="81" t="str">
        <f>TEXT('MYP Assumptions'!J75,"0.00%")&amp;", CPI"</f>
        <v>2.73%, CPI</v>
      </c>
    </row>
    <row r="61" spans="1:29" hidden="1" x14ac:dyDescent="0.25">
      <c r="A61" s="152"/>
      <c r="B61" s="939"/>
      <c r="D61" s="2">
        <v>0</v>
      </c>
      <c r="E61" s="863"/>
      <c r="F61" s="2"/>
      <c r="G61" s="83" t="str">
        <f t="shared" si="23"/>
        <v>0.00%</v>
      </c>
      <c r="H61" s="2">
        <f t="shared" si="24"/>
        <v>0</v>
      </c>
      <c r="I61" s="854" t="str">
        <f>TEXT('MYP Assumptions'!E75,"0.00%")&amp;", CPI"</f>
        <v>3.42%, CPI</v>
      </c>
      <c r="J61" s="66"/>
      <c r="K61" s="83" t="str">
        <f t="shared" si="25"/>
        <v>0.00%</v>
      </c>
      <c r="L61" s="2">
        <f t="shared" si="30"/>
        <v>0</v>
      </c>
      <c r="M61" s="854" t="str">
        <f>TEXT('MYP Assumptions'!F75,"0.00%")&amp;", CPI"</f>
        <v>3.35%, CPI</v>
      </c>
      <c r="O61" s="83" t="str">
        <f t="shared" si="26"/>
        <v>0.00%</v>
      </c>
      <c r="P61" s="2">
        <f t="shared" si="31"/>
        <v>0</v>
      </c>
      <c r="Q61" s="854" t="str">
        <f>TEXT('MYP Assumptions'!G75,"0.00%")&amp;", CPI"</f>
        <v>3.02%, CPI</v>
      </c>
      <c r="S61" s="83" t="str">
        <f t="shared" si="27"/>
        <v>0.00%</v>
      </c>
      <c r="T61" s="2">
        <f t="shared" si="32"/>
        <v>0</v>
      </c>
      <c r="U61" s="81" t="str">
        <f>TEXT('MYP Assumptions'!H75,"0.00%")&amp;", CPI"</f>
        <v>2.73%, CPI</v>
      </c>
      <c r="W61" s="83" t="str">
        <f t="shared" si="28"/>
        <v>0.00%</v>
      </c>
      <c r="X61" s="2">
        <f t="shared" si="33"/>
        <v>0</v>
      </c>
      <c r="Y61" s="81" t="str">
        <f>TEXT('MYP Assumptions'!I75,"0.00%")&amp;", CPI"</f>
        <v>2.73%, CPI</v>
      </c>
      <c r="AA61" s="83" t="str">
        <f t="shared" si="29"/>
        <v>0.00%</v>
      </c>
      <c r="AB61" s="2">
        <f t="shared" si="34"/>
        <v>0</v>
      </c>
      <c r="AC61" s="81" t="str">
        <f>TEXT('MYP Assumptions'!J75,"0.00%")&amp;", CPI"</f>
        <v>2.73%, CPI</v>
      </c>
    </row>
    <row r="62" spans="1:29" hidden="1" x14ac:dyDescent="0.25">
      <c r="A62" s="152"/>
      <c r="B62" s="939"/>
      <c r="D62" s="2">
        <v>0</v>
      </c>
      <c r="E62" s="863"/>
      <c r="F62" s="2"/>
      <c r="G62" s="83" t="str">
        <f t="shared" si="23"/>
        <v>0.00%</v>
      </c>
      <c r="H62" s="2">
        <f t="shared" si="24"/>
        <v>0</v>
      </c>
      <c r="I62" s="854" t="str">
        <f>TEXT('MYP Assumptions'!E75,"0.00%")&amp;", CPI"</f>
        <v>3.42%, CPI</v>
      </c>
      <c r="J62" s="66"/>
      <c r="K62" s="83" t="str">
        <f t="shared" si="25"/>
        <v>0.00%</v>
      </c>
      <c r="L62" s="2">
        <f t="shared" si="30"/>
        <v>0</v>
      </c>
      <c r="M62" s="854" t="str">
        <f>TEXT('MYP Assumptions'!F75,"0.00%")&amp;", CPI"</f>
        <v>3.35%, CPI</v>
      </c>
      <c r="O62" s="83" t="str">
        <f t="shared" si="26"/>
        <v>0.00%</v>
      </c>
      <c r="P62" s="2">
        <f t="shared" si="31"/>
        <v>0</v>
      </c>
      <c r="Q62" s="854" t="str">
        <f>TEXT('MYP Assumptions'!G75,"0.00%")&amp;", CPI"</f>
        <v>3.02%, CPI</v>
      </c>
      <c r="S62" s="83" t="str">
        <f t="shared" si="27"/>
        <v>0.00%</v>
      </c>
      <c r="T62" s="2">
        <f t="shared" si="32"/>
        <v>0</v>
      </c>
      <c r="U62" s="81" t="str">
        <f>TEXT('MYP Assumptions'!H75,"0.00%")&amp;", CPI"</f>
        <v>2.73%, CPI</v>
      </c>
      <c r="W62" s="83" t="str">
        <f t="shared" si="28"/>
        <v>0.00%</v>
      </c>
      <c r="X62" s="2">
        <f t="shared" si="33"/>
        <v>0</v>
      </c>
      <c r="Y62" s="81" t="str">
        <f>TEXT('MYP Assumptions'!I75,"0.00%")&amp;", CPI"</f>
        <v>2.73%, CPI</v>
      </c>
      <c r="AA62" s="83" t="str">
        <f t="shared" si="29"/>
        <v>0.00%</v>
      </c>
      <c r="AB62" s="2">
        <f t="shared" si="34"/>
        <v>0</v>
      </c>
      <c r="AC62" s="81" t="str">
        <f>TEXT('MYP Assumptions'!J75,"0.00%")&amp;", CPI"</f>
        <v>2.73%, CPI</v>
      </c>
    </row>
    <row r="63" spans="1:29" hidden="1" x14ac:dyDescent="0.25">
      <c r="A63" s="152"/>
      <c r="B63" s="939"/>
      <c r="D63" s="2">
        <v>0</v>
      </c>
      <c r="E63" s="863"/>
      <c r="F63" s="2"/>
      <c r="G63" s="83" t="str">
        <f t="shared" si="23"/>
        <v>0.00%</v>
      </c>
      <c r="H63" s="2">
        <f t="shared" si="24"/>
        <v>0</v>
      </c>
      <c r="I63" s="854" t="str">
        <f>TEXT('MYP Assumptions'!E75,"0.00%")&amp;", CPI"</f>
        <v>3.42%, CPI</v>
      </c>
      <c r="J63" s="66"/>
      <c r="K63" s="83" t="str">
        <f t="shared" si="25"/>
        <v>0.00%</v>
      </c>
      <c r="L63" s="2">
        <f t="shared" si="30"/>
        <v>0</v>
      </c>
      <c r="M63" s="854" t="str">
        <f>TEXT('MYP Assumptions'!F75,"0.00%")&amp;", CPI"</f>
        <v>3.35%, CPI</v>
      </c>
      <c r="O63" s="83" t="str">
        <f t="shared" si="26"/>
        <v>0.00%</v>
      </c>
      <c r="P63" s="2">
        <f t="shared" si="31"/>
        <v>0</v>
      </c>
      <c r="Q63" s="854" t="str">
        <f>TEXT('MYP Assumptions'!G75,"0.00%")&amp;", CPI"</f>
        <v>3.02%, CPI</v>
      </c>
      <c r="S63" s="83" t="str">
        <f t="shared" si="27"/>
        <v>0.00%</v>
      </c>
      <c r="T63" s="2">
        <f t="shared" si="32"/>
        <v>0</v>
      </c>
      <c r="U63" s="81" t="str">
        <f>TEXT('MYP Assumptions'!H75,"0.00%")&amp;", CPI"</f>
        <v>2.73%, CPI</v>
      </c>
      <c r="W63" s="83" t="str">
        <f t="shared" si="28"/>
        <v>0.00%</v>
      </c>
      <c r="X63" s="2">
        <f t="shared" si="33"/>
        <v>0</v>
      </c>
      <c r="Y63" s="81" t="str">
        <f>TEXT('MYP Assumptions'!I75,"0.00%")&amp;", CPI"</f>
        <v>2.73%, CPI</v>
      </c>
      <c r="AA63" s="83" t="str">
        <f t="shared" si="29"/>
        <v>0.00%</v>
      </c>
      <c r="AB63" s="2">
        <f t="shared" si="34"/>
        <v>0</v>
      </c>
      <c r="AC63" s="81" t="str">
        <f>TEXT('MYP Assumptions'!J75,"0.00%")&amp;", CPI"</f>
        <v>2.73%, CPI</v>
      </c>
    </row>
    <row r="64" spans="1:29" hidden="1" x14ac:dyDescent="0.25">
      <c r="A64" s="152"/>
      <c r="B64" s="939"/>
      <c r="D64" s="2">
        <v>0</v>
      </c>
      <c r="E64" s="863"/>
      <c r="F64" s="2"/>
      <c r="G64" s="83" t="str">
        <f t="shared" si="23"/>
        <v>0.00%</v>
      </c>
      <c r="H64" s="2">
        <f t="shared" si="24"/>
        <v>0</v>
      </c>
      <c r="I64" s="854" t="str">
        <f>TEXT('MYP Assumptions'!E75,"0.00%")&amp;", CPI"</f>
        <v>3.42%, CPI</v>
      </c>
      <c r="J64" s="66"/>
      <c r="K64" s="83" t="str">
        <f t="shared" si="25"/>
        <v>0.00%</v>
      </c>
      <c r="L64" s="2">
        <f t="shared" si="30"/>
        <v>0</v>
      </c>
      <c r="M64" s="854" t="str">
        <f>TEXT('MYP Assumptions'!F75,"0.00%")&amp;", CPI"</f>
        <v>3.35%, CPI</v>
      </c>
      <c r="O64" s="83" t="str">
        <f t="shared" si="26"/>
        <v>0.00%</v>
      </c>
      <c r="P64" s="2">
        <f t="shared" si="31"/>
        <v>0</v>
      </c>
      <c r="Q64" s="854" t="str">
        <f>TEXT('MYP Assumptions'!G75,"0.00%")&amp;", CPI"</f>
        <v>3.02%, CPI</v>
      </c>
      <c r="S64" s="83" t="str">
        <f t="shared" si="27"/>
        <v>0.00%</v>
      </c>
      <c r="T64" s="2">
        <f t="shared" si="32"/>
        <v>0</v>
      </c>
      <c r="U64" s="81" t="str">
        <f>TEXT('MYP Assumptions'!H75,"0.00%")&amp;", CPI"</f>
        <v>2.73%, CPI</v>
      </c>
      <c r="W64" s="83" t="str">
        <f t="shared" si="28"/>
        <v>0.00%</v>
      </c>
      <c r="X64" s="2">
        <f t="shared" si="33"/>
        <v>0</v>
      </c>
      <c r="Y64" s="81" t="str">
        <f>TEXT('MYP Assumptions'!I75,"0.00%")&amp;", CPI"</f>
        <v>2.73%, CPI</v>
      </c>
      <c r="AA64" s="83" t="str">
        <f t="shared" si="29"/>
        <v>0.00%</v>
      </c>
      <c r="AB64" s="2">
        <f t="shared" si="34"/>
        <v>0</v>
      </c>
      <c r="AC64" s="81" t="str">
        <f>TEXT('MYP Assumptions'!J75,"0.00%")&amp;", CPI"</f>
        <v>2.73%, CPI</v>
      </c>
    </row>
    <row r="65" spans="1:29" hidden="1" x14ac:dyDescent="0.25">
      <c r="A65" s="152"/>
      <c r="B65" s="939"/>
      <c r="C65" s="941"/>
      <c r="D65" s="2">
        <v>0</v>
      </c>
      <c r="E65" s="863"/>
      <c r="F65" s="2"/>
      <c r="G65" s="83" t="str">
        <f t="shared" si="23"/>
        <v>0.00%</v>
      </c>
      <c r="H65" s="2">
        <f t="shared" si="24"/>
        <v>0</v>
      </c>
      <c r="I65" s="854" t="str">
        <f>TEXT('MYP Assumptions'!E75,"0.00%")&amp;", CPI"</f>
        <v>3.42%, CPI</v>
      </c>
      <c r="J65" s="66"/>
      <c r="K65" s="83" t="str">
        <f t="shared" si="25"/>
        <v>0.00%</v>
      </c>
      <c r="L65" s="2">
        <f t="shared" si="30"/>
        <v>0</v>
      </c>
      <c r="M65" s="854" t="str">
        <f>TEXT('MYP Assumptions'!F75,"0.00%")&amp;", CPI"</f>
        <v>3.35%, CPI</v>
      </c>
      <c r="O65" s="83" t="str">
        <f t="shared" si="26"/>
        <v>0.00%</v>
      </c>
      <c r="P65" s="2">
        <f t="shared" si="31"/>
        <v>0</v>
      </c>
      <c r="Q65" s="854" t="str">
        <f>TEXT('MYP Assumptions'!G75,"0.00%")&amp;", CPI"</f>
        <v>3.02%, CPI</v>
      </c>
      <c r="S65" s="83" t="str">
        <f t="shared" si="27"/>
        <v>0.00%</v>
      </c>
      <c r="T65" s="2">
        <f t="shared" si="32"/>
        <v>0</v>
      </c>
      <c r="U65" s="81" t="str">
        <f>TEXT('MYP Assumptions'!H75,"0.00%")&amp;", CPI"</f>
        <v>2.73%, CPI</v>
      </c>
      <c r="W65" s="83" t="str">
        <f t="shared" si="28"/>
        <v>0.00%</v>
      </c>
      <c r="X65" s="2">
        <f t="shared" si="33"/>
        <v>0</v>
      </c>
      <c r="Y65" s="81" t="str">
        <f>TEXT('MYP Assumptions'!I75,"0.00%")&amp;", CPI"</f>
        <v>2.73%, CPI</v>
      </c>
      <c r="AA65" s="83" t="str">
        <f t="shared" si="29"/>
        <v>0.00%</v>
      </c>
      <c r="AB65" s="2">
        <f t="shared" si="34"/>
        <v>0</v>
      </c>
      <c r="AC65" s="81" t="str">
        <f>TEXT('MYP Assumptions'!J75,"0.00%")&amp;", CPI"</f>
        <v>2.73%, CPI</v>
      </c>
    </row>
    <row r="66" spans="1:29" hidden="1" x14ac:dyDescent="0.25">
      <c r="A66" s="153"/>
      <c r="B66" s="857"/>
      <c r="D66" s="8">
        <f>SUM(D59:D65)</f>
        <v>0</v>
      </c>
      <c r="E66" s="863"/>
      <c r="F66" s="2"/>
      <c r="G66" s="83" t="str">
        <f t="shared" si="23"/>
        <v>0.00%</v>
      </c>
      <c r="H66" s="8">
        <f>SUM(H59:H65)</f>
        <v>0</v>
      </c>
      <c r="I66" s="872"/>
      <c r="J66" s="29"/>
      <c r="K66" s="83" t="str">
        <f t="shared" si="25"/>
        <v>0.00%</v>
      </c>
      <c r="L66" s="8">
        <f>SUM(L59:L65)</f>
        <v>0</v>
      </c>
      <c r="M66" s="948"/>
      <c r="O66" s="83" t="str">
        <f t="shared" si="26"/>
        <v>0.00%</v>
      </c>
      <c r="P66" s="8">
        <f>SUM(P59:P65)</f>
        <v>0</v>
      </c>
      <c r="Q66" s="948"/>
      <c r="S66" s="83" t="str">
        <f t="shared" si="27"/>
        <v>0.00%</v>
      </c>
      <c r="T66" s="8">
        <f>SUM(T59:T65)</f>
        <v>0</v>
      </c>
      <c r="U66" s="73"/>
      <c r="W66" s="83" t="str">
        <f t="shared" si="28"/>
        <v>0.00%</v>
      </c>
      <c r="X66" s="8">
        <f>SUM(X59:X65)</f>
        <v>0</v>
      </c>
      <c r="Y66" s="73"/>
      <c r="AA66" s="83" t="str">
        <f t="shared" si="29"/>
        <v>0.00%</v>
      </c>
      <c r="AB66" s="8">
        <f>SUM(AB59:AB65)</f>
        <v>0</v>
      </c>
      <c r="AC66" s="73"/>
    </row>
    <row r="67" spans="1:29" hidden="1" x14ac:dyDescent="0.25">
      <c r="A67" s="152"/>
      <c r="E67" s="863"/>
      <c r="F67" s="2"/>
      <c r="H67" s="2"/>
      <c r="I67" s="871"/>
      <c r="J67" s="66"/>
      <c r="L67" s="2"/>
      <c r="M67" s="948"/>
      <c r="Q67" s="948"/>
      <c r="T67" s="2"/>
      <c r="U67" s="73"/>
      <c r="X67" s="2"/>
      <c r="Y67" s="73"/>
      <c r="AB67" s="2"/>
      <c r="AC67" s="73"/>
    </row>
    <row r="68" spans="1:29" s="4" customFormat="1" x14ac:dyDescent="0.25">
      <c r="A68" s="150"/>
      <c r="B68" s="936" t="s">
        <v>16</v>
      </c>
      <c r="C68" s="873"/>
      <c r="D68" s="6"/>
      <c r="E68" s="864"/>
      <c r="F68" s="6"/>
      <c r="G68" s="373"/>
      <c r="H68" s="6"/>
      <c r="I68" s="873"/>
      <c r="J68" s="58"/>
      <c r="K68" s="380"/>
      <c r="L68" s="6"/>
      <c r="M68" s="950"/>
      <c r="O68" s="380"/>
      <c r="P68" s="6"/>
      <c r="Q68" s="950"/>
      <c r="R68" s="111"/>
      <c r="U68" s="71"/>
      <c r="Y68" s="71"/>
      <c r="AC68" s="71"/>
    </row>
    <row r="69" spans="1:29" x14ac:dyDescent="0.25">
      <c r="A69" s="152"/>
      <c r="B69" s="939">
        <v>5814</v>
      </c>
      <c r="C69" s="857" t="s">
        <v>4</v>
      </c>
      <c r="D69" s="2">
        <v>640821.34</v>
      </c>
      <c r="E69" s="863" t="s">
        <v>276</v>
      </c>
      <c r="F69" s="2"/>
      <c r="G69" s="83">
        <f t="shared" ref="G69:G74" si="35">IF(D69=0,"0.00%",(H69-D69)/D69)</f>
        <v>-1</v>
      </c>
      <c r="H69" s="2">
        <v>0</v>
      </c>
      <c r="I69" s="854"/>
      <c r="J69" s="66"/>
      <c r="K69" s="83" t="str">
        <f t="shared" ref="K69:K82" si="36">IF(H69=0,"0.00%",(L69-H69)/H69)</f>
        <v>0.00%</v>
      </c>
      <c r="L69" s="2">
        <v>0</v>
      </c>
      <c r="M69" s="854"/>
      <c r="O69" s="83" t="str">
        <f t="shared" ref="O69:O82" si="37">IF(L69=0,"0.00%",(P69-L69)/L69)</f>
        <v>0.00%</v>
      </c>
      <c r="P69" s="2">
        <v>0</v>
      </c>
      <c r="Q69" s="854"/>
      <c r="S69" s="83" t="str">
        <f t="shared" ref="S69:S82" si="38">IF(P69=0,"0.00%",(T69-P69)/P69)</f>
        <v>0.00%</v>
      </c>
      <c r="T69" s="2">
        <f>ROUND(P69*(LEFT(U69,5)+1),0)</f>
        <v>0</v>
      </c>
      <c r="U69" s="81" t="str">
        <f>TEXT('MYP Assumptions'!H75,"0.00%")&amp;", CPI"</f>
        <v>2.73%, CPI</v>
      </c>
      <c r="W69" s="83" t="str">
        <f t="shared" ref="W69:W82" si="39">IF(T69=0,"0.00%",(X69-T69)/T69)</f>
        <v>0.00%</v>
      </c>
      <c r="X69" s="2">
        <f>ROUND(T69*(LEFT(Y69,5)+1),0)</f>
        <v>0</v>
      </c>
      <c r="Y69" s="81" t="str">
        <f>TEXT('MYP Assumptions'!I75,"0.00%")&amp;", CPI"</f>
        <v>2.73%, CPI</v>
      </c>
      <c r="AA69" s="83" t="str">
        <f t="shared" ref="AA69:AA82" si="40">IF(X69=0,"0.00%",(AB69-X69)/X69)</f>
        <v>0.00%</v>
      </c>
      <c r="AB69" s="2">
        <f>ROUND(X69*(LEFT(AC69,5)+1),0)</f>
        <v>0</v>
      </c>
      <c r="AC69" s="81" t="str">
        <f>TEXT('MYP Assumptions'!J75,"0.00%")&amp;", CPI"</f>
        <v>2.73%, CPI</v>
      </c>
    </row>
    <row r="70" spans="1:29" hidden="1" x14ac:dyDescent="0.25">
      <c r="A70" s="152"/>
      <c r="B70" s="939"/>
      <c r="D70" s="2">
        <v>0</v>
      </c>
      <c r="E70" s="863"/>
      <c r="F70" s="2"/>
      <c r="G70" s="83" t="str">
        <f t="shared" si="35"/>
        <v>0.00%</v>
      </c>
      <c r="H70" s="2">
        <f>ROUND(D70*(LEFT(I70,5)+1),0)</f>
        <v>0</v>
      </c>
      <c r="I70" s="854" t="str">
        <f>TEXT('MYP Assumptions'!E75,"0.00%")&amp;", CPI"</f>
        <v>3.42%, CPI</v>
      </c>
      <c r="J70" s="66"/>
      <c r="K70" s="83" t="str">
        <f t="shared" si="36"/>
        <v>0.00%</v>
      </c>
      <c r="L70" s="2">
        <f t="shared" ref="L70:L81" si="41">ROUND(H70*(LEFT(M70,5)+1),0)</f>
        <v>0</v>
      </c>
      <c r="M70" s="854" t="str">
        <f>TEXT('MYP Assumptions'!F75,"0.00%")&amp;", CPI"</f>
        <v>3.35%, CPI</v>
      </c>
      <c r="O70" s="83" t="str">
        <f t="shared" si="37"/>
        <v>0.00%</v>
      </c>
      <c r="P70" s="2">
        <f t="shared" ref="P70:P81" si="42">ROUND(L70*(LEFT(Q70,5)+1),0)</f>
        <v>0</v>
      </c>
      <c r="Q70" s="854" t="str">
        <f>TEXT('MYP Assumptions'!G75,"0.00%")&amp;", CPI"</f>
        <v>3.02%, CPI</v>
      </c>
      <c r="S70" s="83" t="str">
        <f t="shared" si="38"/>
        <v>0.00%</v>
      </c>
      <c r="T70" s="2">
        <f t="shared" ref="T70:T81" si="43">ROUND(P70*(LEFT(U70,5)+1),0)</f>
        <v>0</v>
      </c>
      <c r="U70" s="81" t="str">
        <f>TEXT('MYP Assumptions'!H75,"0.00%")&amp;", CPI"</f>
        <v>2.73%, CPI</v>
      </c>
      <c r="W70" s="83" t="str">
        <f t="shared" si="39"/>
        <v>0.00%</v>
      </c>
      <c r="X70" s="2">
        <f t="shared" ref="X70:X81" si="44">ROUND(T70*(LEFT(Y70,5)+1),0)</f>
        <v>0</v>
      </c>
      <c r="Y70" s="81" t="str">
        <f>TEXT('MYP Assumptions'!I75,"0.00%")&amp;", CPI"</f>
        <v>2.73%, CPI</v>
      </c>
      <c r="AA70" s="83" t="str">
        <f t="shared" si="40"/>
        <v>0.00%</v>
      </c>
      <c r="AB70" s="2">
        <f t="shared" ref="AB70:AB81" si="45">ROUND(X70*(LEFT(AC70,5)+1),0)</f>
        <v>0</v>
      </c>
      <c r="AC70" s="81" t="str">
        <f>TEXT('MYP Assumptions'!J75,"0.00%")&amp;", CPI"</f>
        <v>2.73%, CPI</v>
      </c>
    </row>
    <row r="71" spans="1:29" hidden="1" x14ac:dyDescent="0.25">
      <c r="A71" s="152"/>
      <c r="B71" s="939"/>
      <c r="D71" s="2">
        <v>0</v>
      </c>
      <c r="E71" s="863"/>
      <c r="F71" s="2"/>
      <c r="G71" s="83" t="str">
        <f t="shared" si="35"/>
        <v>0.00%</v>
      </c>
      <c r="H71" s="2">
        <f t="shared" ref="H71:H76" si="46">ROUND(D71*(LEFT(I71,5)+1),0)</f>
        <v>0</v>
      </c>
      <c r="I71" s="854" t="str">
        <f>TEXT('MYP Assumptions'!E75,"0.00%")&amp;", CPI"</f>
        <v>3.42%, CPI</v>
      </c>
      <c r="J71" s="66"/>
      <c r="K71" s="83" t="str">
        <f t="shared" si="36"/>
        <v>0.00%</v>
      </c>
      <c r="L71" s="2">
        <f t="shared" si="41"/>
        <v>0</v>
      </c>
      <c r="M71" s="854" t="str">
        <f>TEXT('MYP Assumptions'!F75,"0.00%")&amp;", CPI"</f>
        <v>3.35%, CPI</v>
      </c>
      <c r="O71" s="83" t="str">
        <f t="shared" si="37"/>
        <v>0.00%</v>
      </c>
      <c r="P71" s="2">
        <f t="shared" si="42"/>
        <v>0</v>
      </c>
      <c r="Q71" s="854" t="str">
        <f>TEXT('MYP Assumptions'!G75,"0.00%")&amp;", CPI"</f>
        <v>3.02%, CPI</v>
      </c>
      <c r="S71" s="83" t="str">
        <f t="shared" si="38"/>
        <v>0.00%</v>
      </c>
      <c r="T71" s="2">
        <f t="shared" si="43"/>
        <v>0</v>
      </c>
      <c r="U71" s="81" t="str">
        <f>TEXT('MYP Assumptions'!H75,"0.00%")&amp;", CPI"</f>
        <v>2.73%, CPI</v>
      </c>
      <c r="W71" s="83" t="str">
        <f t="shared" si="39"/>
        <v>0.00%</v>
      </c>
      <c r="X71" s="2">
        <f t="shared" si="44"/>
        <v>0</v>
      </c>
      <c r="Y71" s="81" t="str">
        <f>TEXT('MYP Assumptions'!I75,"0.00%")&amp;", CPI"</f>
        <v>2.73%, CPI</v>
      </c>
      <c r="AA71" s="83" t="str">
        <f t="shared" si="40"/>
        <v>0.00%</v>
      </c>
      <c r="AB71" s="2">
        <f t="shared" si="45"/>
        <v>0</v>
      </c>
      <c r="AC71" s="81" t="str">
        <f>TEXT('MYP Assumptions'!J75,"0.00%")&amp;", CPI"</f>
        <v>2.73%, CPI</v>
      </c>
    </row>
    <row r="72" spans="1:29" hidden="1" x14ac:dyDescent="0.25">
      <c r="A72" s="152"/>
      <c r="B72" s="939"/>
      <c r="D72" s="2">
        <v>0</v>
      </c>
      <c r="E72" s="863"/>
      <c r="F72" s="2"/>
      <c r="G72" s="83" t="str">
        <f t="shared" si="35"/>
        <v>0.00%</v>
      </c>
      <c r="H72" s="2">
        <f t="shared" si="46"/>
        <v>0</v>
      </c>
      <c r="I72" s="854" t="str">
        <f>TEXT('MYP Assumptions'!E75,"0.00%")&amp;", CPI"</f>
        <v>3.42%, CPI</v>
      </c>
      <c r="J72" s="66"/>
      <c r="K72" s="83" t="str">
        <f t="shared" si="36"/>
        <v>0.00%</v>
      </c>
      <c r="L72" s="2">
        <f t="shared" si="41"/>
        <v>0</v>
      </c>
      <c r="M72" s="854" t="str">
        <f>TEXT('MYP Assumptions'!F75,"0.00%")&amp;", CPI"</f>
        <v>3.35%, CPI</v>
      </c>
      <c r="O72" s="83" t="str">
        <f t="shared" si="37"/>
        <v>0.00%</v>
      </c>
      <c r="P72" s="2">
        <f t="shared" si="42"/>
        <v>0</v>
      </c>
      <c r="Q72" s="854" t="str">
        <f>TEXT('MYP Assumptions'!G75,"0.00%")&amp;", CPI"</f>
        <v>3.02%, CPI</v>
      </c>
      <c r="S72" s="83" t="str">
        <f t="shared" si="38"/>
        <v>0.00%</v>
      </c>
      <c r="T72" s="2">
        <f t="shared" si="43"/>
        <v>0</v>
      </c>
      <c r="U72" s="81" t="str">
        <f>TEXT('MYP Assumptions'!H75,"0.00%")&amp;", CPI"</f>
        <v>2.73%, CPI</v>
      </c>
      <c r="W72" s="83" t="str">
        <f t="shared" si="39"/>
        <v>0.00%</v>
      </c>
      <c r="X72" s="2">
        <f t="shared" si="44"/>
        <v>0</v>
      </c>
      <c r="Y72" s="81" t="str">
        <f>TEXT('MYP Assumptions'!I75,"0.00%")&amp;", CPI"</f>
        <v>2.73%, CPI</v>
      </c>
      <c r="AA72" s="83" t="str">
        <f t="shared" si="40"/>
        <v>0.00%</v>
      </c>
      <c r="AB72" s="2">
        <f t="shared" si="45"/>
        <v>0</v>
      </c>
      <c r="AC72" s="81" t="str">
        <f>TEXT('MYP Assumptions'!J75,"0.00%")&amp;", CPI"</f>
        <v>2.73%, CPI</v>
      </c>
    </row>
    <row r="73" spans="1:29" hidden="1" x14ac:dyDescent="0.25">
      <c r="A73" s="152"/>
      <c r="B73" s="939"/>
      <c r="D73" s="2">
        <v>0</v>
      </c>
      <c r="E73" s="863"/>
      <c r="F73" s="2"/>
      <c r="G73" s="83" t="str">
        <f t="shared" si="35"/>
        <v>0.00%</v>
      </c>
      <c r="H73" s="2">
        <f t="shared" si="46"/>
        <v>0</v>
      </c>
      <c r="I73" s="854" t="str">
        <f>TEXT('MYP Assumptions'!E75,"0.00%")&amp;", CPI"</f>
        <v>3.42%, CPI</v>
      </c>
      <c r="J73" s="66"/>
      <c r="K73" s="83" t="str">
        <f t="shared" si="36"/>
        <v>0.00%</v>
      </c>
      <c r="L73" s="2">
        <f t="shared" si="41"/>
        <v>0</v>
      </c>
      <c r="M73" s="854" t="str">
        <f>TEXT('MYP Assumptions'!F75,"0.00%")&amp;", CPI"</f>
        <v>3.35%, CPI</v>
      </c>
      <c r="O73" s="83" t="str">
        <f t="shared" si="37"/>
        <v>0.00%</v>
      </c>
      <c r="P73" s="2">
        <f t="shared" si="42"/>
        <v>0</v>
      </c>
      <c r="Q73" s="854" t="str">
        <f>TEXT('MYP Assumptions'!G75,"0.00%")&amp;", CPI"</f>
        <v>3.02%, CPI</v>
      </c>
      <c r="S73" s="83" t="str">
        <f t="shared" si="38"/>
        <v>0.00%</v>
      </c>
      <c r="T73" s="2">
        <f t="shared" si="43"/>
        <v>0</v>
      </c>
      <c r="U73" s="81" t="str">
        <f>TEXT('MYP Assumptions'!H75,"0.00%")&amp;", CPI"</f>
        <v>2.73%, CPI</v>
      </c>
      <c r="W73" s="83" t="str">
        <f t="shared" si="39"/>
        <v>0.00%</v>
      </c>
      <c r="X73" s="2">
        <f t="shared" si="44"/>
        <v>0</v>
      </c>
      <c r="Y73" s="81" t="str">
        <f>TEXT('MYP Assumptions'!I75,"0.00%")&amp;", CPI"</f>
        <v>2.73%, CPI</v>
      </c>
      <c r="AA73" s="83" t="str">
        <f t="shared" si="40"/>
        <v>0.00%</v>
      </c>
      <c r="AB73" s="2">
        <f t="shared" si="45"/>
        <v>0</v>
      </c>
      <c r="AC73" s="81" t="str">
        <f>TEXT('MYP Assumptions'!J75,"0.00%")&amp;", CPI"</f>
        <v>2.73%, CPI</v>
      </c>
    </row>
    <row r="74" spans="1:29" hidden="1" x14ac:dyDescent="0.25">
      <c r="A74" s="152"/>
      <c r="B74" s="939"/>
      <c r="D74" s="2">
        <v>0</v>
      </c>
      <c r="E74" s="863"/>
      <c r="F74" s="2"/>
      <c r="G74" s="83" t="str">
        <f t="shared" si="35"/>
        <v>0.00%</v>
      </c>
      <c r="H74" s="2">
        <f t="shared" si="46"/>
        <v>0</v>
      </c>
      <c r="I74" s="854" t="str">
        <f>TEXT('MYP Assumptions'!E75,"0.00%")&amp;", CPI"</f>
        <v>3.42%, CPI</v>
      </c>
      <c r="J74" s="66"/>
      <c r="K74" s="83" t="str">
        <f t="shared" si="36"/>
        <v>0.00%</v>
      </c>
      <c r="L74" s="2">
        <f t="shared" si="41"/>
        <v>0</v>
      </c>
      <c r="M74" s="854" t="str">
        <f>TEXT('MYP Assumptions'!F75,"0.00%")&amp;", CPI"</f>
        <v>3.35%, CPI</v>
      </c>
      <c r="O74" s="83" t="str">
        <f t="shared" si="37"/>
        <v>0.00%</v>
      </c>
      <c r="P74" s="2">
        <f t="shared" si="42"/>
        <v>0</v>
      </c>
      <c r="Q74" s="854" t="str">
        <f>TEXT('MYP Assumptions'!G75,"0.00%")&amp;", CPI"</f>
        <v>3.02%, CPI</v>
      </c>
      <c r="S74" s="83" t="str">
        <f t="shared" si="38"/>
        <v>0.00%</v>
      </c>
      <c r="T74" s="2">
        <f t="shared" si="43"/>
        <v>0</v>
      </c>
      <c r="U74" s="81" t="str">
        <f>TEXT('MYP Assumptions'!H75,"0.00%")&amp;", CPI"</f>
        <v>2.73%, CPI</v>
      </c>
      <c r="W74" s="83" t="str">
        <f t="shared" si="39"/>
        <v>0.00%</v>
      </c>
      <c r="X74" s="2">
        <f t="shared" si="44"/>
        <v>0</v>
      </c>
      <c r="Y74" s="81" t="str">
        <f>TEXT('MYP Assumptions'!I75,"0.00%")&amp;", CPI"</f>
        <v>2.73%, CPI</v>
      </c>
      <c r="AA74" s="83" t="str">
        <f t="shared" si="40"/>
        <v>0.00%</v>
      </c>
      <c r="AB74" s="2">
        <f t="shared" si="45"/>
        <v>0</v>
      </c>
      <c r="AC74" s="81" t="str">
        <f>TEXT('MYP Assumptions'!J75,"0.00%")&amp;", CPI"</f>
        <v>2.73%, CPI</v>
      </c>
    </row>
    <row r="75" spans="1:29" hidden="1" x14ac:dyDescent="0.25">
      <c r="A75" s="152"/>
      <c r="B75" s="939"/>
      <c r="D75" s="2">
        <v>0</v>
      </c>
      <c r="E75" s="863"/>
      <c r="F75" s="2"/>
      <c r="G75" s="83" t="str">
        <f>IF(D75=0,"0.00%",(H75-D75)/D75)</f>
        <v>0.00%</v>
      </c>
      <c r="H75" s="2">
        <f t="shared" si="46"/>
        <v>0</v>
      </c>
      <c r="I75" s="854" t="str">
        <f>TEXT('MYP Assumptions'!E75,"0.00%")&amp;", CPI"</f>
        <v>3.42%, CPI</v>
      </c>
      <c r="J75" s="66"/>
      <c r="K75" s="83" t="str">
        <f t="shared" si="36"/>
        <v>0.00%</v>
      </c>
      <c r="L75" s="2">
        <f t="shared" si="41"/>
        <v>0</v>
      </c>
      <c r="M75" s="854" t="str">
        <f>TEXT('MYP Assumptions'!F75,"0.00%")&amp;", CPI"</f>
        <v>3.35%, CPI</v>
      </c>
      <c r="O75" s="83" t="str">
        <f t="shared" si="37"/>
        <v>0.00%</v>
      </c>
      <c r="P75" s="2">
        <f t="shared" si="42"/>
        <v>0</v>
      </c>
      <c r="Q75" s="854" t="str">
        <f>TEXT('MYP Assumptions'!G75,"0.00%")&amp;", CPI"</f>
        <v>3.02%, CPI</v>
      </c>
      <c r="S75" s="83" t="str">
        <f t="shared" si="38"/>
        <v>0.00%</v>
      </c>
      <c r="T75" s="2">
        <f t="shared" si="43"/>
        <v>0</v>
      </c>
      <c r="U75" s="81" t="str">
        <f>TEXT('MYP Assumptions'!H75,"0.00%")&amp;", CPI"</f>
        <v>2.73%, CPI</v>
      </c>
      <c r="W75" s="83" t="str">
        <f t="shared" si="39"/>
        <v>0.00%</v>
      </c>
      <c r="X75" s="2">
        <f t="shared" si="44"/>
        <v>0</v>
      </c>
      <c r="Y75" s="81" t="str">
        <f>TEXT('MYP Assumptions'!I75,"0.00%")&amp;", CPI"</f>
        <v>2.73%, CPI</v>
      </c>
      <c r="AA75" s="83" t="str">
        <f t="shared" si="40"/>
        <v>0.00%</v>
      </c>
      <c r="AB75" s="2">
        <f t="shared" si="45"/>
        <v>0</v>
      </c>
      <c r="AC75" s="81" t="str">
        <f>TEXT('MYP Assumptions'!J75,"0.00%")&amp;", CPI"</f>
        <v>2.73%, CPI</v>
      </c>
    </row>
    <row r="76" spans="1:29" hidden="1" x14ac:dyDescent="0.25">
      <c r="A76" s="152"/>
      <c r="B76" s="939"/>
      <c r="D76" s="2">
        <v>0</v>
      </c>
      <c r="E76" s="863"/>
      <c r="F76" s="2"/>
      <c r="G76" s="83" t="str">
        <f t="shared" ref="G76:G82" si="47">IF(D76=0,"0.00%",(H76-D76)/D76)</f>
        <v>0.00%</v>
      </c>
      <c r="H76" s="2">
        <f t="shared" si="46"/>
        <v>0</v>
      </c>
      <c r="I76" s="854" t="str">
        <f>TEXT('MYP Assumptions'!E75,"0.00%")&amp;", CPI"</f>
        <v>3.42%, CPI</v>
      </c>
      <c r="J76" s="66"/>
      <c r="K76" s="83" t="str">
        <f t="shared" si="36"/>
        <v>0.00%</v>
      </c>
      <c r="L76" s="2">
        <f t="shared" si="41"/>
        <v>0</v>
      </c>
      <c r="M76" s="854" t="str">
        <f>TEXT('MYP Assumptions'!F75,"0.00%")&amp;", CPI"</f>
        <v>3.35%, CPI</v>
      </c>
      <c r="O76" s="83" t="str">
        <f t="shared" si="37"/>
        <v>0.00%</v>
      </c>
      <c r="P76" s="2">
        <f t="shared" si="42"/>
        <v>0</v>
      </c>
      <c r="Q76" s="854" t="str">
        <f>TEXT('MYP Assumptions'!G75,"0.00%")&amp;", CPI"</f>
        <v>3.02%, CPI</v>
      </c>
      <c r="S76" s="83" t="str">
        <f t="shared" si="38"/>
        <v>0.00%</v>
      </c>
      <c r="T76" s="2">
        <f t="shared" si="43"/>
        <v>0</v>
      </c>
      <c r="U76" s="81" t="str">
        <f>TEXT('MYP Assumptions'!H75,"0.00%")&amp;", CPI"</f>
        <v>2.73%, CPI</v>
      </c>
      <c r="W76" s="83" t="str">
        <f t="shared" si="39"/>
        <v>0.00%</v>
      </c>
      <c r="X76" s="2">
        <f t="shared" si="44"/>
        <v>0</v>
      </c>
      <c r="Y76" s="81" t="str">
        <f>TEXT('MYP Assumptions'!I75,"0.00%")&amp;", CPI"</f>
        <v>2.73%, CPI</v>
      </c>
      <c r="AA76" s="83" t="str">
        <f t="shared" si="40"/>
        <v>0.00%</v>
      </c>
      <c r="AB76" s="2">
        <f t="shared" si="45"/>
        <v>0</v>
      </c>
      <c r="AC76" s="81" t="str">
        <f>TEXT('MYP Assumptions'!J75,"0.00%")&amp;", CPI"</f>
        <v>2.73%, CPI</v>
      </c>
    </row>
    <row r="77" spans="1:29" hidden="1" x14ac:dyDescent="0.25">
      <c r="A77" s="152"/>
      <c r="B77" s="939"/>
      <c r="D77" s="2">
        <v>0</v>
      </c>
      <c r="E77" s="863"/>
      <c r="F77" s="2"/>
      <c r="G77" s="83" t="str">
        <f t="shared" si="47"/>
        <v>0.00%</v>
      </c>
      <c r="H77" s="2">
        <f>ROUND(D77*(LEFT(I77,5)+1),0)</f>
        <v>0</v>
      </c>
      <c r="I77" s="854" t="str">
        <f>TEXT('MYP Assumptions'!E75,"0.00%")&amp;", CPI"</f>
        <v>3.42%, CPI</v>
      </c>
      <c r="J77" s="66"/>
      <c r="K77" s="83" t="str">
        <f t="shared" si="36"/>
        <v>0.00%</v>
      </c>
      <c r="L77" s="2">
        <f t="shared" si="41"/>
        <v>0</v>
      </c>
      <c r="M77" s="854" t="str">
        <f>TEXT('MYP Assumptions'!F75,"0.00%")&amp;", CPI"</f>
        <v>3.35%, CPI</v>
      </c>
      <c r="O77" s="83" t="str">
        <f t="shared" si="37"/>
        <v>0.00%</v>
      </c>
      <c r="P77" s="2">
        <f t="shared" si="42"/>
        <v>0</v>
      </c>
      <c r="Q77" s="854" t="str">
        <f>TEXT('MYP Assumptions'!G75,"0.00%")&amp;", CPI"</f>
        <v>3.02%, CPI</v>
      </c>
      <c r="S77" s="83" t="str">
        <f t="shared" si="38"/>
        <v>0.00%</v>
      </c>
      <c r="T77" s="2">
        <f t="shared" si="43"/>
        <v>0</v>
      </c>
      <c r="U77" s="81" t="str">
        <f>TEXT('MYP Assumptions'!H75,"0.00%")&amp;", CPI"</f>
        <v>2.73%, CPI</v>
      </c>
      <c r="W77" s="83" t="str">
        <f t="shared" si="39"/>
        <v>0.00%</v>
      </c>
      <c r="X77" s="2">
        <f t="shared" si="44"/>
        <v>0</v>
      </c>
      <c r="Y77" s="81" t="str">
        <f>TEXT('MYP Assumptions'!I75,"0.00%")&amp;", CPI"</f>
        <v>2.73%, CPI</v>
      </c>
      <c r="AA77" s="83" t="str">
        <f t="shared" si="40"/>
        <v>0.00%</v>
      </c>
      <c r="AB77" s="2">
        <f t="shared" si="45"/>
        <v>0</v>
      </c>
      <c r="AC77" s="81" t="str">
        <f>TEXT('MYP Assumptions'!J75,"0.00%")&amp;", CPI"</f>
        <v>2.73%, CPI</v>
      </c>
    </row>
    <row r="78" spans="1:29" hidden="1" x14ac:dyDescent="0.25">
      <c r="A78" s="152"/>
      <c r="B78" s="939"/>
      <c r="D78" s="2">
        <v>0</v>
      </c>
      <c r="E78" s="863"/>
      <c r="F78" s="2"/>
      <c r="G78" s="83" t="str">
        <f t="shared" si="47"/>
        <v>0.00%</v>
      </c>
      <c r="H78" s="2">
        <f>ROUND(D78*(LEFT(I78,5)+1),0)</f>
        <v>0</v>
      </c>
      <c r="I78" s="854" t="str">
        <f>TEXT('MYP Assumptions'!E75,"0.00%")&amp;", CPI"</f>
        <v>3.42%, CPI</v>
      </c>
      <c r="J78" s="66"/>
      <c r="K78" s="83" t="str">
        <f t="shared" si="36"/>
        <v>0.00%</v>
      </c>
      <c r="L78" s="2">
        <f t="shared" si="41"/>
        <v>0</v>
      </c>
      <c r="M78" s="854" t="str">
        <f>TEXT('MYP Assumptions'!F75,"0.00%")&amp;", CPI"</f>
        <v>3.35%, CPI</v>
      </c>
      <c r="O78" s="83" t="str">
        <f t="shared" si="37"/>
        <v>0.00%</v>
      </c>
      <c r="P78" s="2">
        <f t="shared" si="42"/>
        <v>0</v>
      </c>
      <c r="Q78" s="854" t="str">
        <f>TEXT('MYP Assumptions'!G75,"0.00%")&amp;", CPI"</f>
        <v>3.02%, CPI</v>
      </c>
      <c r="S78" s="83" t="str">
        <f t="shared" si="38"/>
        <v>0.00%</v>
      </c>
      <c r="T78" s="2">
        <f t="shared" si="43"/>
        <v>0</v>
      </c>
      <c r="U78" s="81" t="str">
        <f>TEXT('MYP Assumptions'!H75,"0.00%")&amp;", CPI"</f>
        <v>2.73%, CPI</v>
      </c>
      <c r="W78" s="83" t="str">
        <f t="shared" si="39"/>
        <v>0.00%</v>
      </c>
      <c r="X78" s="2">
        <f t="shared" si="44"/>
        <v>0</v>
      </c>
      <c r="Y78" s="81" t="str">
        <f>TEXT('MYP Assumptions'!I75,"0.00%")&amp;", CPI"</f>
        <v>2.73%, CPI</v>
      </c>
      <c r="AA78" s="83" t="str">
        <f t="shared" si="40"/>
        <v>0.00%</v>
      </c>
      <c r="AB78" s="2">
        <f t="shared" si="45"/>
        <v>0</v>
      </c>
      <c r="AC78" s="81" t="str">
        <f>TEXT('MYP Assumptions'!J75,"0.00%")&amp;", CPI"</f>
        <v>2.73%, CPI</v>
      </c>
    </row>
    <row r="79" spans="1:29" hidden="1" x14ac:dyDescent="0.25">
      <c r="A79" s="152"/>
      <c r="B79" s="939"/>
      <c r="D79" s="2">
        <v>0</v>
      </c>
      <c r="E79" s="863"/>
      <c r="F79" s="2"/>
      <c r="G79" s="83" t="str">
        <f t="shared" si="47"/>
        <v>0.00%</v>
      </c>
      <c r="H79" s="2">
        <f>ROUND(D79*(LEFT(I79,5)+1),0)</f>
        <v>0</v>
      </c>
      <c r="I79" s="854" t="str">
        <f>TEXT('MYP Assumptions'!E75,"0.00%")&amp;", CPI"</f>
        <v>3.42%, CPI</v>
      </c>
      <c r="J79" s="66"/>
      <c r="K79" s="83" t="str">
        <f t="shared" si="36"/>
        <v>0.00%</v>
      </c>
      <c r="L79" s="2">
        <f t="shared" si="41"/>
        <v>0</v>
      </c>
      <c r="M79" s="854" t="str">
        <f>TEXT('MYP Assumptions'!F75,"0.00%")&amp;", CPI"</f>
        <v>3.35%, CPI</v>
      </c>
      <c r="O79" s="83" t="str">
        <f t="shared" si="37"/>
        <v>0.00%</v>
      </c>
      <c r="P79" s="2">
        <f t="shared" si="42"/>
        <v>0</v>
      </c>
      <c r="Q79" s="854" t="str">
        <f>TEXT('MYP Assumptions'!G75,"0.00%")&amp;", CPI"</f>
        <v>3.02%, CPI</v>
      </c>
      <c r="S79" s="83" t="str">
        <f t="shared" si="38"/>
        <v>0.00%</v>
      </c>
      <c r="T79" s="2">
        <f t="shared" si="43"/>
        <v>0</v>
      </c>
      <c r="U79" s="81" t="str">
        <f>TEXT('MYP Assumptions'!H75,"0.00%")&amp;", CPI"</f>
        <v>2.73%, CPI</v>
      </c>
      <c r="W79" s="83" t="str">
        <f t="shared" si="39"/>
        <v>0.00%</v>
      </c>
      <c r="X79" s="2">
        <f t="shared" si="44"/>
        <v>0</v>
      </c>
      <c r="Y79" s="81" t="str">
        <f>TEXT('MYP Assumptions'!I75,"0.00%")&amp;", CPI"</f>
        <v>2.73%, CPI</v>
      </c>
      <c r="AA79" s="83" t="str">
        <f t="shared" si="40"/>
        <v>0.00%</v>
      </c>
      <c r="AB79" s="2">
        <f t="shared" si="45"/>
        <v>0</v>
      </c>
      <c r="AC79" s="81" t="str">
        <f>TEXT('MYP Assumptions'!J75,"0.00%")&amp;", CPI"</f>
        <v>2.73%, CPI</v>
      </c>
    </row>
    <row r="80" spans="1:29" hidden="1" x14ac:dyDescent="0.25">
      <c r="A80" s="152"/>
      <c r="B80" s="939"/>
      <c r="D80" s="2">
        <v>0</v>
      </c>
      <c r="E80" s="863"/>
      <c r="F80" s="2"/>
      <c r="G80" s="83" t="str">
        <f t="shared" si="47"/>
        <v>0.00%</v>
      </c>
      <c r="H80" s="2">
        <f>ROUND(D80*(LEFT(I80,5)+1),0)</f>
        <v>0</v>
      </c>
      <c r="I80" s="854" t="str">
        <f>TEXT('MYP Assumptions'!E75,"0.00%")&amp;", CPI"</f>
        <v>3.42%, CPI</v>
      </c>
      <c r="J80" s="66"/>
      <c r="K80" s="83" t="str">
        <f t="shared" si="36"/>
        <v>0.00%</v>
      </c>
      <c r="L80" s="2">
        <f t="shared" si="41"/>
        <v>0</v>
      </c>
      <c r="M80" s="854" t="str">
        <f>TEXT('MYP Assumptions'!F75,"0.00%")&amp;", CPI"</f>
        <v>3.35%, CPI</v>
      </c>
      <c r="O80" s="83" t="str">
        <f t="shared" si="37"/>
        <v>0.00%</v>
      </c>
      <c r="P80" s="2">
        <f t="shared" si="42"/>
        <v>0</v>
      </c>
      <c r="Q80" s="854" t="str">
        <f>TEXT('MYP Assumptions'!G75,"0.00%")&amp;", CPI"</f>
        <v>3.02%, CPI</v>
      </c>
      <c r="S80" s="83" t="str">
        <f t="shared" si="38"/>
        <v>0.00%</v>
      </c>
      <c r="T80" s="2">
        <f t="shared" si="43"/>
        <v>0</v>
      </c>
      <c r="U80" s="81" t="str">
        <f>TEXT('MYP Assumptions'!H75,"0.00%")&amp;", CPI"</f>
        <v>2.73%, CPI</v>
      </c>
      <c r="W80" s="83" t="str">
        <f t="shared" si="39"/>
        <v>0.00%</v>
      </c>
      <c r="X80" s="2">
        <f t="shared" si="44"/>
        <v>0</v>
      </c>
      <c r="Y80" s="81" t="str">
        <f>TEXT('MYP Assumptions'!I75,"0.00%")&amp;", CPI"</f>
        <v>2.73%, CPI</v>
      </c>
      <c r="AA80" s="83" t="str">
        <f t="shared" si="40"/>
        <v>0.00%</v>
      </c>
      <c r="AB80" s="2">
        <f t="shared" si="45"/>
        <v>0</v>
      </c>
      <c r="AC80" s="81" t="str">
        <f>TEXT('MYP Assumptions'!J75,"0.00%")&amp;", CPI"</f>
        <v>2.73%, CPI</v>
      </c>
    </row>
    <row r="81" spans="1:29" hidden="1" x14ac:dyDescent="0.25">
      <c r="A81" s="152"/>
      <c r="B81" s="939"/>
      <c r="D81" s="2">
        <f>'RS 3010-ALL'!AF80</f>
        <v>0</v>
      </c>
      <c r="E81" s="863"/>
      <c r="F81" s="2"/>
      <c r="G81" s="83" t="str">
        <f t="shared" si="47"/>
        <v>0.00%</v>
      </c>
      <c r="H81" s="2">
        <f>ROUND(D81*(LEFT(I81,5)+1),0)</f>
        <v>0</v>
      </c>
      <c r="I81" s="854" t="str">
        <f>TEXT('MYP Assumptions'!E75,"0.00%")&amp;", CPI"</f>
        <v>3.42%, CPI</v>
      </c>
      <c r="J81" s="66"/>
      <c r="K81" s="83" t="str">
        <f t="shared" si="36"/>
        <v>0.00%</v>
      </c>
      <c r="L81" s="2">
        <f t="shared" si="41"/>
        <v>0</v>
      </c>
      <c r="M81" s="854" t="str">
        <f>TEXT('MYP Assumptions'!F75,"0.00%")&amp;", CPI"</f>
        <v>3.35%, CPI</v>
      </c>
      <c r="O81" s="83" t="str">
        <f t="shared" si="37"/>
        <v>0.00%</v>
      </c>
      <c r="P81" s="2">
        <f t="shared" si="42"/>
        <v>0</v>
      </c>
      <c r="Q81" s="854" t="str">
        <f>TEXT('MYP Assumptions'!G75,"0.00%")&amp;", CPI"</f>
        <v>3.02%, CPI</v>
      </c>
      <c r="S81" s="83" t="str">
        <f t="shared" si="38"/>
        <v>0.00%</v>
      </c>
      <c r="T81" s="2">
        <f t="shared" si="43"/>
        <v>0</v>
      </c>
      <c r="U81" s="81" t="str">
        <f>TEXT('MYP Assumptions'!H75,"0.00%")&amp;", CPI"</f>
        <v>2.73%, CPI</v>
      </c>
      <c r="W81" s="83" t="str">
        <f t="shared" si="39"/>
        <v>0.00%</v>
      </c>
      <c r="X81" s="2">
        <f t="shared" si="44"/>
        <v>0</v>
      </c>
      <c r="Y81" s="81" t="str">
        <f>TEXT('MYP Assumptions'!I75,"0.00%")&amp;", CPI"</f>
        <v>2.73%, CPI</v>
      </c>
      <c r="AA81" s="83" t="str">
        <f t="shared" si="40"/>
        <v>0.00%</v>
      </c>
      <c r="AB81" s="2">
        <f t="shared" si="45"/>
        <v>0</v>
      </c>
      <c r="AC81" s="81" t="str">
        <f>TEXT('MYP Assumptions'!J75,"0.00%")&amp;", CPI"</f>
        <v>2.73%, CPI</v>
      </c>
    </row>
    <row r="82" spans="1:29" x14ac:dyDescent="0.25">
      <c r="A82" s="153"/>
      <c r="D82" s="8">
        <f>SUM(D69:D81)</f>
        <v>640821.34</v>
      </c>
      <c r="E82" s="863"/>
      <c r="F82" s="2"/>
      <c r="G82" s="83">
        <f t="shared" si="47"/>
        <v>-1</v>
      </c>
      <c r="H82" s="8">
        <f>SUM(H69:H81)</f>
        <v>0</v>
      </c>
      <c r="I82" s="872"/>
      <c r="J82" s="29"/>
      <c r="K82" s="83" t="str">
        <f t="shared" si="36"/>
        <v>0.00%</v>
      </c>
      <c r="L82" s="8">
        <f>SUM(L69:L81)</f>
        <v>0</v>
      </c>
      <c r="M82" s="948"/>
      <c r="O82" s="83" t="str">
        <f t="shared" si="37"/>
        <v>0.00%</v>
      </c>
      <c r="P82" s="8">
        <f>SUM(P69:P81)</f>
        <v>0</v>
      </c>
      <c r="Q82" s="948"/>
      <c r="S82" s="83" t="str">
        <f t="shared" si="38"/>
        <v>0.00%</v>
      </c>
      <c r="T82" s="8">
        <f>SUM(T69:T81)</f>
        <v>0</v>
      </c>
      <c r="U82" s="73"/>
      <c r="W82" s="83" t="str">
        <f t="shared" si="39"/>
        <v>0.00%</v>
      </c>
      <c r="X82" s="8">
        <f>SUM(X69:X81)</f>
        <v>0</v>
      </c>
      <c r="Y82" s="73"/>
      <c r="AA82" s="83" t="str">
        <f t="shared" si="40"/>
        <v>0.00%</v>
      </c>
      <c r="AB82" s="8">
        <f>SUM(AB69:AB81)</f>
        <v>0</v>
      </c>
      <c r="AC82" s="73"/>
    </row>
    <row r="83" spans="1:29" x14ac:dyDescent="0.25">
      <c r="A83" s="152"/>
      <c r="B83" s="936"/>
      <c r="E83" s="863"/>
      <c r="F83" s="2"/>
      <c r="G83" s="83"/>
      <c r="H83" s="2"/>
      <c r="I83" s="871"/>
      <c r="J83" s="66"/>
      <c r="L83" s="2"/>
      <c r="M83" s="948"/>
      <c r="Q83" s="948"/>
      <c r="T83" s="2"/>
      <c r="U83" s="73"/>
      <c r="X83" s="2"/>
      <c r="Y83" s="73"/>
      <c r="AB83" s="2"/>
      <c r="AC83" s="73"/>
    </row>
    <row r="84" spans="1:29" x14ac:dyDescent="0.25">
      <c r="A84" s="152"/>
      <c r="B84" s="936" t="s">
        <v>338</v>
      </c>
      <c r="E84" s="863"/>
      <c r="F84" s="2"/>
      <c r="G84" s="83"/>
      <c r="H84" s="2"/>
      <c r="I84" s="871"/>
      <c r="J84" s="66"/>
      <c r="L84" s="2"/>
      <c r="M84" s="948"/>
      <c r="Q84" s="948"/>
      <c r="T84" s="2"/>
      <c r="U84" s="73"/>
      <c r="X84" s="2"/>
      <c r="Y84" s="73"/>
      <c r="AB84" s="2"/>
      <c r="AC84" s="73"/>
    </row>
    <row r="85" spans="1:29" x14ac:dyDescent="0.25">
      <c r="A85" s="152"/>
      <c r="B85" s="939" t="s">
        <v>352</v>
      </c>
      <c r="C85" s="857" t="s">
        <v>963</v>
      </c>
      <c r="D85" s="10">
        <v>12729</v>
      </c>
      <c r="E85" s="863"/>
      <c r="F85" s="2"/>
      <c r="G85" s="83"/>
      <c r="H85" s="10">
        <v>0</v>
      </c>
      <c r="I85" s="871"/>
      <c r="J85" s="66"/>
      <c r="L85" s="10">
        <v>0</v>
      </c>
      <c r="M85" s="948"/>
      <c r="P85" s="10">
        <v>0</v>
      </c>
      <c r="Q85" s="948"/>
      <c r="T85" s="2"/>
      <c r="U85" s="73"/>
      <c r="X85" s="2"/>
      <c r="Y85" s="73"/>
      <c r="AB85" s="2"/>
      <c r="AC85" s="73"/>
    </row>
    <row r="86" spans="1:29" x14ac:dyDescent="0.25">
      <c r="A86" s="152"/>
      <c r="B86" s="936"/>
      <c r="E86" s="863"/>
      <c r="F86" s="2"/>
      <c r="G86" s="83"/>
      <c r="H86" s="2"/>
      <c r="I86" s="871"/>
      <c r="J86" s="66"/>
      <c r="L86" s="2"/>
      <c r="M86" s="948"/>
      <c r="Q86" s="948"/>
      <c r="T86" s="2"/>
      <c r="U86" s="73"/>
      <c r="X86" s="2"/>
      <c r="Y86" s="73"/>
      <c r="AB86" s="2"/>
      <c r="AC86" s="73"/>
    </row>
    <row r="87" spans="1:29" x14ac:dyDescent="0.25">
      <c r="A87" s="152"/>
      <c r="E87" s="863"/>
      <c r="F87" s="2"/>
      <c r="H87" s="2"/>
      <c r="I87" s="871"/>
      <c r="J87" s="66"/>
      <c r="L87" s="2"/>
      <c r="M87" s="948"/>
      <c r="Q87" s="948"/>
      <c r="T87" s="2"/>
      <c r="U87" s="73"/>
      <c r="X87" s="2"/>
      <c r="Y87" s="73"/>
      <c r="AB87" s="2"/>
      <c r="AC87" s="73"/>
    </row>
    <row r="88" spans="1:29" x14ac:dyDescent="0.25">
      <c r="A88" s="153"/>
      <c r="B88" s="936" t="s">
        <v>0</v>
      </c>
      <c r="D88" s="8">
        <f>SUM(D82,D66,D55,D13,D85)</f>
        <v>653550.34</v>
      </c>
      <c r="E88" s="863"/>
      <c r="F88" s="2"/>
      <c r="G88" s="83">
        <f>IF(D88=0,"0.00%",(H88-D88)/D88)</f>
        <v>-1</v>
      </c>
      <c r="H88" s="8">
        <f>SUM(H82,H66,H55,H13,H85)</f>
        <v>0</v>
      </c>
      <c r="I88" s="872"/>
      <c r="J88" s="29"/>
      <c r="K88" s="83" t="str">
        <f>IF(H88=0,"0.00%",(L88-H88)/H88)</f>
        <v>0.00%</v>
      </c>
      <c r="L88" s="8">
        <f>SUM(L82,L66,L55,L13,L85)</f>
        <v>0</v>
      </c>
      <c r="M88" s="948"/>
      <c r="O88" s="83" t="str">
        <f>IF(L88=0,"0.00%",(P88-L88)/L88)</f>
        <v>0.00%</v>
      </c>
      <c r="P88" s="8">
        <f>SUM(P82,P66,P55,P13,P85)</f>
        <v>0</v>
      </c>
      <c r="Q88" s="948"/>
      <c r="S88" s="83" t="str">
        <f>IF(P88=0,"0.00%",(T88-P88)/P88)</f>
        <v>0.00%</v>
      </c>
      <c r="T88" s="8">
        <f>SUM(T82,T66,T55,T13)</f>
        <v>0</v>
      </c>
      <c r="U88" s="73"/>
      <c r="W88" s="83" t="str">
        <f>IF(T88=0,"0.00%",(X88-T88)/T88)</f>
        <v>0.00%</v>
      </c>
      <c r="X88" s="8">
        <f>SUM(X82,X66,X55,X13)</f>
        <v>0</v>
      </c>
      <c r="Y88" s="73"/>
      <c r="AA88" s="83" t="str">
        <f>IF(X88=0,"0.00%",(AB88-X88)/X88)</f>
        <v>0.00%</v>
      </c>
      <c r="AB88" s="8">
        <f>SUM(AB82,AB66,AB55,AB13)</f>
        <v>0</v>
      </c>
      <c r="AC88" s="73"/>
    </row>
    <row r="89" spans="1:29" x14ac:dyDescent="0.25">
      <c r="A89" s="152"/>
      <c r="E89" s="863"/>
      <c r="F89" s="2"/>
      <c r="H89" s="2"/>
      <c r="I89" s="871"/>
      <c r="J89" s="66"/>
      <c r="L89" s="2"/>
      <c r="M89" s="948"/>
      <c r="Q89" s="948"/>
      <c r="T89" s="2"/>
      <c r="U89" s="73"/>
      <c r="X89" s="2"/>
      <c r="Y89" s="73"/>
      <c r="AB89" s="2"/>
      <c r="AC89" s="73"/>
    </row>
    <row r="90" spans="1:29" x14ac:dyDescent="0.25">
      <c r="A90" s="152"/>
      <c r="B90" s="936" t="s">
        <v>138</v>
      </c>
      <c r="D90" s="3">
        <f>+D11-D88</f>
        <v>190310.30000000005</v>
      </c>
      <c r="G90" s="83">
        <f>IF(D90=0,"0.00%",(H90-D90)/D90)</f>
        <v>-1</v>
      </c>
      <c r="H90" s="3">
        <f>H11-H88</f>
        <v>0</v>
      </c>
      <c r="I90" s="871"/>
      <c r="J90" s="66"/>
      <c r="K90" s="83" t="str">
        <f>IF(H90=0,"0.00%",(L90-H90)/H90)</f>
        <v>0.00%</v>
      </c>
      <c r="L90" s="3">
        <f>L11-L88</f>
        <v>0</v>
      </c>
      <c r="M90" s="948"/>
      <c r="O90" s="83" t="str">
        <f>IF(L90=0,"0.00%",(P90-L90)/L90)</f>
        <v>0.00%</v>
      </c>
      <c r="P90" s="3">
        <f>P11-P88</f>
        <v>0</v>
      </c>
      <c r="Q90" s="948"/>
      <c r="S90" s="83" t="str">
        <f>IF(P90=0,"0.00%",(T90-P90)/P90)</f>
        <v>0.00%</v>
      </c>
      <c r="T90" s="3">
        <f>T11-T88</f>
        <v>0</v>
      </c>
      <c r="U90" s="73"/>
      <c r="W90" s="83" t="str">
        <f>IF(T90=0,"0.00%",(X90-T90)/T90)</f>
        <v>0.00%</v>
      </c>
      <c r="X90" s="3">
        <f>X11-X88</f>
        <v>0</v>
      </c>
      <c r="Y90" s="73"/>
      <c r="AA90" s="83" t="str">
        <f>IF(X90=0,"0.00%",(AB90-X90)/X90)</f>
        <v>0.00%</v>
      </c>
      <c r="AB90" s="3">
        <f>AB11-AB88</f>
        <v>0</v>
      </c>
      <c r="AC90" s="73"/>
    </row>
    <row r="91" spans="1:29" x14ac:dyDescent="0.25">
      <c r="B91" s="936"/>
      <c r="C91" s="930"/>
      <c r="D91" s="3"/>
      <c r="H91" s="3"/>
      <c r="I91" s="871"/>
      <c r="J91" s="66"/>
      <c r="L91" s="3"/>
      <c r="M91" s="948"/>
      <c r="P91" s="3"/>
      <c r="Q91" s="948"/>
      <c r="T91" s="44"/>
      <c r="U91" s="73"/>
      <c r="X91" s="44"/>
      <c r="Y91" s="73"/>
      <c r="AB91" s="44"/>
      <c r="AC91" s="73"/>
    </row>
    <row r="92" spans="1:29" x14ac:dyDescent="0.25">
      <c r="B92" s="936" t="s">
        <v>136</v>
      </c>
      <c r="C92" s="932"/>
      <c r="D92" s="3">
        <f>D7+D90</f>
        <v>0</v>
      </c>
      <c r="G92" s="83" t="str">
        <f>IF(D92=0,"0.00%",(H92-D92)/D92)</f>
        <v>0.00%</v>
      </c>
      <c r="H92" s="3">
        <f>H7+H90</f>
        <v>0</v>
      </c>
      <c r="I92" s="871"/>
      <c r="J92" s="66"/>
      <c r="K92" s="83" t="str">
        <f>IF(H92=0,"0.00%",(L92-H92)/H92)</f>
        <v>0.00%</v>
      </c>
      <c r="L92" s="3">
        <f>L7+L90</f>
        <v>0</v>
      </c>
      <c r="M92" s="948"/>
      <c r="O92" s="83" t="str">
        <f>IF(L92=0,"0.00%",(P92-L92)/L92)</f>
        <v>0.00%</v>
      </c>
      <c r="P92" s="3">
        <f>P7+P90</f>
        <v>0</v>
      </c>
      <c r="Q92" s="948"/>
      <c r="S92" s="83" t="str">
        <f>IF(P92=0,"0.00%",(T92-P92)/P92)</f>
        <v>0.00%</v>
      </c>
      <c r="T92" s="49">
        <f>T7+T90</f>
        <v>0</v>
      </c>
      <c r="U92" s="73"/>
      <c r="W92" s="83" t="str">
        <f>IF(T92=0,"0.00%",(X92-T92)/T92)</f>
        <v>0.00%</v>
      </c>
      <c r="X92" s="49">
        <f>X7+X90</f>
        <v>0</v>
      </c>
      <c r="Y92" s="73"/>
      <c r="AA92" s="83" t="str">
        <f>IF(X92=0,"0.00%",(AB92-X92)/X92)</f>
        <v>0.00%</v>
      </c>
      <c r="AB92" s="49">
        <f>AB7+AB90</f>
        <v>0</v>
      </c>
      <c r="AC92" s="73"/>
    </row>
    <row r="93" spans="1:29" x14ac:dyDescent="0.25">
      <c r="C93" s="873"/>
      <c r="G93" s="374"/>
      <c r="H93" s="5"/>
      <c r="I93" s="872"/>
      <c r="J93" s="29"/>
      <c r="L93" s="5"/>
      <c r="M93" s="948"/>
      <c r="P93" s="5"/>
      <c r="Q93" s="948"/>
      <c r="T93" s="5"/>
      <c r="U93" s="73"/>
      <c r="X93" s="5"/>
      <c r="Y93" s="73"/>
      <c r="AB93" s="5"/>
      <c r="AC93" s="73"/>
    </row>
    <row r="94" spans="1:29" x14ac:dyDescent="0.25">
      <c r="C94" s="868"/>
      <c r="G94" s="374"/>
      <c r="H94" s="36"/>
      <c r="I94" s="871"/>
      <c r="J94" s="66"/>
      <c r="L94" s="2"/>
      <c r="M94" s="948"/>
      <c r="Q94" s="948"/>
      <c r="T94" s="2"/>
      <c r="U94" s="73"/>
      <c r="X94" s="2"/>
      <c r="Y94" s="73"/>
      <c r="AB94" s="2"/>
      <c r="AC94" s="73"/>
    </row>
    <row r="95" spans="1:29" x14ac:dyDescent="0.25">
      <c r="C95" s="868"/>
      <c r="G95" s="374"/>
      <c r="H95" s="36"/>
      <c r="I95" s="871"/>
      <c r="J95" s="66"/>
      <c r="L95" s="2"/>
      <c r="M95" s="948"/>
      <c r="Q95" s="948"/>
      <c r="T95" s="2"/>
      <c r="U95" s="73"/>
      <c r="X95" s="2"/>
      <c r="Y95" s="73"/>
      <c r="AB95" s="2"/>
      <c r="AC95" s="73"/>
    </row>
    <row r="96" spans="1:29" x14ac:dyDescent="0.25">
      <c r="C96" s="868"/>
      <c r="G96" s="374"/>
      <c r="H96" s="36"/>
      <c r="I96" s="871"/>
      <c r="J96" s="66"/>
      <c r="L96" s="2"/>
      <c r="M96" s="948"/>
      <c r="Q96" s="948"/>
      <c r="T96" s="2"/>
      <c r="U96" s="73"/>
      <c r="X96" s="2"/>
      <c r="Y96" s="73"/>
      <c r="AB96" s="2"/>
      <c r="AC96" s="73"/>
    </row>
    <row r="97" spans="1:29" x14ac:dyDescent="0.25">
      <c r="C97" s="868"/>
      <c r="G97" s="374"/>
      <c r="H97" s="36"/>
      <c r="I97" s="871"/>
      <c r="J97" s="66"/>
      <c r="L97" s="2"/>
      <c r="M97" s="948"/>
      <c r="Q97" s="948"/>
      <c r="T97" s="2"/>
      <c r="U97" s="73"/>
      <c r="X97" s="2"/>
      <c r="Y97" s="73"/>
      <c r="AB97" s="2"/>
      <c r="AC97" s="73"/>
    </row>
    <row r="98" spans="1:29" s="137" customFormat="1" ht="11.25" x14ac:dyDescent="0.2">
      <c r="A98" s="156"/>
      <c r="B98" s="942"/>
      <c r="C98" s="943" t="s">
        <v>223</v>
      </c>
      <c r="D98" s="134">
        <f>+D82+D66+D53+D41+D30</f>
        <v>640821.34</v>
      </c>
      <c r="E98" s="865"/>
      <c r="G98" s="133" t="s">
        <v>223</v>
      </c>
      <c r="H98" s="134">
        <f>+H82+H66+H53+H41+H30</f>
        <v>0</v>
      </c>
      <c r="I98" s="874"/>
      <c r="J98" s="135"/>
      <c r="K98" s="133" t="s">
        <v>223</v>
      </c>
      <c r="L98" s="134">
        <f>+L82+L66+L53+L41+L30</f>
        <v>0</v>
      </c>
      <c r="M98" s="951"/>
      <c r="O98" s="133" t="s">
        <v>223</v>
      </c>
      <c r="P98" s="134">
        <f>+P82+P66+P53+P41+P30</f>
        <v>0</v>
      </c>
      <c r="Q98" s="951"/>
      <c r="R98" s="139"/>
      <c r="S98" s="133" t="s">
        <v>223</v>
      </c>
      <c r="T98" s="134">
        <f>+T82+T66+T53+T41+T30</f>
        <v>0</v>
      </c>
      <c r="U98" s="138"/>
      <c r="W98" s="133" t="s">
        <v>223</v>
      </c>
      <c r="X98" s="134">
        <f>+X82+X66+X53+X41+X30</f>
        <v>0</v>
      </c>
      <c r="Y98" s="138"/>
      <c r="AA98" s="133" t="s">
        <v>223</v>
      </c>
      <c r="AB98" s="134">
        <f>+AB82+AB66+AB53+AB41+AB30</f>
        <v>0</v>
      </c>
      <c r="AC98" s="138"/>
    </row>
    <row r="99" spans="1:29" s="137" customFormat="1" ht="11.25" x14ac:dyDescent="0.2">
      <c r="A99" s="158"/>
      <c r="B99" s="942"/>
      <c r="C99" s="944" t="s">
        <v>224</v>
      </c>
      <c r="D99" s="142">
        <f>+D13</f>
        <v>0</v>
      </c>
      <c r="E99" s="866"/>
      <c r="F99" s="144"/>
      <c r="G99" s="375" t="s">
        <v>224</v>
      </c>
      <c r="H99" s="142">
        <f>+H13</f>
        <v>0</v>
      </c>
      <c r="I99" s="875"/>
      <c r="J99" s="143"/>
      <c r="K99" s="375" t="s">
        <v>224</v>
      </c>
      <c r="L99" s="142">
        <f>+L13</f>
        <v>0</v>
      </c>
      <c r="M99" s="951"/>
      <c r="O99" s="375" t="s">
        <v>224</v>
      </c>
      <c r="P99" s="142">
        <f>+P13</f>
        <v>0</v>
      </c>
      <c r="Q99" s="865"/>
      <c r="R99" s="139"/>
      <c r="S99" s="141" t="s">
        <v>224</v>
      </c>
      <c r="T99" s="142">
        <f>+T13</f>
        <v>0</v>
      </c>
      <c r="W99" s="141" t="s">
        <v>224</v>
      </c>
      <c r="X99" s="142">
        <f>+X13</f>
        <v>0</v>
      </c>
      <c r="AA99" s="141" t="s">
        <v>224</v>
      </c>
      <c r="AB99" s="142">
        <f>+AB13</f>
        <v>0</v>
      </c>
    </row>
    <row r="100" spans="1:29" s="137" customFormat="1" ht="11.25" x14ac:dyDescent="0.2">
      <c r="A100" s="158"/>
      <c r="B100" s="942"/>
      <c r="C100" s="944"/>
      <c r="D100" s="145">
        <f>+D98+D99</f>
        <v>640821.34</v>
      </c>
      <c r="E100" s="866"/>
      <c r="F100" s="144"/>
      <c r="G100" s="375"/>
      <c r="H100" s="145">
        <f>+H98+H99</f>
        <v>0</v>
      </c>
      <c r="I100" s="875"/>
      <c r="J100" s="143"/>
      <c r="K100" s="375"/>
      <c r="L100" s="145">
        <f>+L98+L99</f>
        <v>0</v>
      </c>
      <c r="M100" s="865"/>
      <c r="O100" s="375"/>
      <c r="P100" s="145">
        <f>+P98+P99</f>
        <v>0</v>
      </c>
      <c r="Q100" s="865"/>
      <c r="R100" s="139"/>
      <c r="S100" s="141"/>
      <c r="T100" s="145">
        <f>+T98+T99</f>
        <v>0</v>
      </c>
      <c r="W100" s="141"/>
      <c r="X100" s="145">
        <f>+X98+X99</f>
        <v>0</v>
      </c>
      <c r="AA100" s="141"/>
      <c r="AB100" s="145">
        <f>+AB98+AB99</f>
        <v>0</v>
      </c>
    </row>
    <row r="101" spans="1:29" ht="15" customHeight="1" x14ac:dyDescent="0.25">
      <c r="A101" s="152"/>
      <c r="B101" s="945"/>
      <c r="C101" s="945"/>
      <c r="D101" s="5">
        <f>+D88-D100</f>
        <v>12729</v>
      </c>
      <c r="E101" s="863"/>
      <c r="F101" s="2"/>
      <c r="G101" s="376"/>
      <c r="H101" s="5">
        <f>+H88-H100</f>
        <v>0</v>
      </c>
      <c r="K101" s="376"/>
      <c r="L101" s="5">
        <f>+L88-L100</f>
        <v>0</v>
      </c>
      <c r="O101" s="376"/>
      <c r="P101" s="5">
        <f>+P88-P100</f>
        <v>0</v>
      </c>
      <c r="S101" s="103"/>
      <c r="T101" s="5">
        <f>+T88-T100</f>
        <v>0</v>
      </c>
      <c r="W101" s="103"/>
      <c r="X101" s="5">
        <f>+X88-X100</f>
        <v>0</v>
      </c>
      <c r="AA101" s="103"/>
      <c r="AB101" s="5">
        <f>+AB88-AB100</f>
        <v>0</v>
      </c>
    </row>
    <row r="102" spans="1:29" x14ac:dyDescent="0.25">
      <c r="A102" s="152"/>
      <c r="B102" s="945"/>
      <c r="C102" s="945"/>
      <c r="D102" s="36"/>
      <c r="E102" s="863"/>
      <c r="F102" s="2"/>
    </row>
    <row r="103" spans="1:29" x14ac:dyDescent="0.25">
      <c r="A103" s="152"/>
      <c r="B103" s="932"/>
      <c r="C103" s="868"/>
      <c r="D103" s="25"/>
      <c r="E103" s="863"/>
      <c r="F103" s="2"/>
    </row>
    <row r="104" spans="1:29" x14ac:dyDescent="0.25">
      <c r="B104" s="932"/>
      <c r="C104" s="868"/>
      <c r="D104" s="36"/>
    </row>
    <row r="105" spans="1:29" x14ac:dyDescent="0.25">
      <c r="B105" s="932"/>
      <c r="C105" s="868"/>
      <c r="D105" s="36"/>
    </row>
    <row r="106" spans="1:29" ht="15" customHeight="1" x14ac:dyDescent="0.25">
      <c r="B106" s="932"/>
      <c r="C106" s="868"/>
      <c r="D106" s="36"/>
    </row>
    <row r="107" spans="1:29" x14ac:dyDescent="0.25">
      <c r="B107" s="932"/>
      <c r="C107" s="868"/>
      <c r="D107" s="36"/>
    </row>
    <row r="108" spans="1:29" x14ac:dyDescent="0.25">
      <c r="B108" s="932"/>
      <c r="C108" s="868"/>
      <c r="D108" s="36"/>
    </row>
    <row r="109" spans="1:29" ht="15" customHeight="1" x14ac:dyDescent="0.25">
      <c r="B109" s="2209"/>
      <c r="C109" s="2209"/>
      <c r="D109" s="36"/>
    </row>
    <row r="110" spans="1:29" x14ac:dyDescent="0.25">
      <c r="B110" s="2209"/>
      <c r="C110" s="2209"/>
      <c r="D110" s="36"/>
    </row>
    <row r="111" spans="1:29" x14ac:dyDescent="0.25">
      <c r="B111" s="932"/>
      <c r="C111" s="868"/>
      <c r="D111" s="6"/>
    </row>
    <row r="112" spans="1:29" x14ac:dyDescent="0.25">
      <c r="B112" s="932"/>
      <c r="C112" s="868"/>
      <c r="D112" s="36"/>
    </row>
    <row r="113" spans="2:4" x14ac:dyDescent="0.25">
      <c r="B113" s="932"/>
      <c r="C113" s="868"/>
      <c r="D113" s="36"/>
    </row>
    <row r="114" spans="2:4" ht="28.5" customHeight="1" x14ac:dyDescent="0.25">
      <c r="B114" s="932"/>
      <c r="C114" s="868"/>
      <c r="D114" s="25"/>
    </row>
    <row r="115" spans="2:4" x14ac:dyDescent="0.25">
      <c r="B115" s="932"/>
      <c r="C115" s="868"/>
      <c r="D115" s="36"/>
    </row>
    <row r="116" spans="2:4" x14ac:dyDescent="0.25">
      <c r="B116" s="932"/>
      <c r="C116" s="868"/>
      <c r="D116" s="36"/>
    </row>
    <row r="117" spans="2:4" x14ac:dyDescent="0.25">
      <c r="B117" s="932"/>
      <c r="C117" s="868"/>
      <c r="D117" s="36"/>
    </row>
    <row r="118" spans="2:4" x14ac:dyDescent="0.25">
      <c r="B118" s="932"/>
      <c r="C118" s="868"/>
      <c r="D118" s="36"/>
    </row>
    <row r="119" spans="2:4" x14ac:dyDescent="0.25">
      <c r="B119" s="932"/>
      <c r="C119" s="868"/>
      <c r="D119" s="36"/>
    </row>
    <row r="120" spans="2:4" x14ac:dyDescent="0.25">
      <c r="B120" s="932"/>
      <c r="C120" s="868"/>
      <c r="D120" s="36"/>
    </row>
    <row r="121" spans="2:4" x14ac:dyDescent="0.25">
      <c r="B121" s="932"/>
      <c r="C121" s="868"/>
      <c r="D121" s="36"/>
    </row>
    <row r="122" spans="2:4" x14ac:dyDescent="0.25">
      <c r="B122" s="932"/>
      <c r="C122" s="868"/>
      <c r="D122" s="36"/>
    </row>
    <row r="123" spans="2:4" x14ac:dyDescent="0.25">
      <c r="B123" s="932"/>
      <c r="C123" s="868"/>
      <c r="D123" s="36"/>
    </row>
    <row r="124" spans="2:4" x14ac:dyDescent="0.25">
      <c r="B124" s="932"/>
      <c r="C124" s="868"/>
      <c r="D124" s="36"/>
    </row>
    <row r="125" spans="2:4" x14ac:dyDescent="0.25">
      <c r="B125" s="932"/>
      <c r="C125" s="868"/>
      <c r="D125" s="36"/>
    </row>
    <row r="126" spans="2:4" x14ac:dyDescent="0.25">
      <c r="B126" s="932"/>
      <c r="C126" s="868"/>
      <c r="D126" s="36"/>
    </row>
    <row r="127" spans="2:4" x14ac:dyDescent="0.25">
      <c r="B127" s="932"/>
      <c r="C127" s="868"/>
      <c r="D127" s="36"/>
    </row>
    <row r="128" spans="2:4" x14ac:dyDescent="0.25">
      <c r="B128" s="932"/>
      <c r="C128" s="868"/>
      <c r="D128" s="36"/>
    </row>
    <row r="129" spans="2:4" x14ac:dyDescent="0.25">
      <c r="B129" s="932"/>
      <c r="C129" s="868"/>
      <c r="D129" s="36"/>
    </row>
  </sheetData>
  <sheetProtection password="B79F" sheet="1" objects="1" scenarios="1"/>
  <mergeCells count="1">
    <mergeCell ref="B109:C110"/>
  </mergeCells>
  <pageMargins left="0.25" right="0.25" top="0.5" bottom="0.5" header="0.25" footer="0.25"/>
  <pageSetup paperSize="5" scale="73" orientation="portrait" r:id="rId1"/>
  <headerFooter>
    <oddHeader>&amp;L&amp;F</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C139"/>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1.7109375" style="146" customWidth="1"/>
    <col min="2" max="2" width="8.5703125" style="930" customWidth="1"/>
    <col min="3" max="3" width="18.28515625" style="857" customWidth="1"/>
    <col min="4" max="4" width="16" style="2" customWidth="1"/>
    <col min="5" max="5" width="17.7109375" style="857" hidden="1" customWidth="1"/>
    <col min="6" max="6" width="6" style="39" customWidth="1"/>
    <col min="7" max="7" width="9.7109375" style="52" bestFit="1" customWidth="1"/>
    <col min="8" max="8" width="13.85546875" style="122" bestFit="1" customWidth="1"/>
    <col min="9" max="9" width="26" style="868" hidden="1" customWidth="1"/>
    <col min="10" max="10" width="5.7109375" style="59" customWidth="1"/>
    <col min="11" max="11" width="9.42578125" style="377" bestFit="1" customWidth="1"/>
    <col min="12" max="12" width="14" style="123" bestFit="1" customWidth="1"/>
    <col min="13" max="13" width="26" style="857" hidden="1" customWidth="1"/>
    <col min="14" max="14" width="5.7109375" style="39" customWidth="1"/>
    <col min="15" max="15" width="9.42578125" style="377" bestFit="1" customWidth="1"/>
    <col min="16" max="16" width="14" style="2" bestFit="1" customWidth="1"/>
    <col min="17" max="17" width="26" style="857"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930" t="s">
        <v>61</v>
      </c>
      <c r="C1" s="931" t="s">
        <v>311</v>
      </c>
      <c r="D1" s="1044"/>
      <c r="E1" s="855"/>
      <c r="F1" s="98"/>
      <c r="G1" s="369"/>
      <c r="H1" s="1045"/>
      <c r="I1" s="855"/>
      <c r="K1" s="382"/>
      <c r="L1" s="122"/>
      <c r="M1" s="855"/>
      <c r="N1" s="51"/>
      <c r="O1" s="382"/>
      <c r="P1" s="122"/>
      <c r="Q1" s="855"/>
      <c r="T1" s="86">
        <v>0</v>
      </c>
      <c r="U1" s="98"/>
      <c r="X1" s="86">
        <v>0</v>
      </c>
      <c r="Y1" s="98"/>
      <c r="AB1" s="86">
        <v>0</v>
      </c>
      <c r="AC1" s="98"/>
    </row>
    <row r="2" spans="1:29" ht="17.25" x14ac:dyDescent="0.4">
      <c r="B2" s="932" t="s">
        <v>59</v>
      </c>
      <c r="C2" s="933">
        <v>8150</v>
      </c>
      <c r="D2" s="1045"/>
      <c r="E2" s="855"/>
      <c r="F2" s="98"/>
      <c r="G2" s="1863"/>
      <c r="H2" s="328">
        <f>ROUND(+COMBINED!G57*0.03,0)</f>
        <v>2571507</v>
      </c>
      <c r="I2" s="328" t="s">
        <v>1004</v>
      </c>
      <c r="J2" s="328"/>
      <c r="K2" s="328"/>
      <c r="L2" s="328">
        <f>ROUND(+COMBINED!H57*0.03,0)</f>
        <v>2468427</v>
      </c>
      <c r="M2" s="328" t="s">
        <v>1004</v>
      </c>
      <c r="N2" s="328"/>
      <c r="O2" s="328"/>
      <c r="P2" s="328">
        <f>ROUND(+COMBINED!I57*0.03,0)</f>
        <v>2468674</v>
      </c>
      <c r="Q2" s="328" t="s">
        <v>1004</v>
      </c>
      <c r="T2" s="87">
        <v>0</v>
      </c>
      <c r="U2" s="98"/>
      <c r="X2" s="87">
        <v>0</v>
      </c>
      <c r="Y2" s="98"/>
      <c r="AB2" s="87">
        <v>0</v>
      </c>
      <c r="AC2" s="98"/>
    </row>
    <row r="3" spans="1:29" x14ac:dyDescent="0.25">
      <c r="D3" s="1046"/>
      <c r="E3" s="867"/>
      <c r="F3" s="1047"/>
      <c r="G3" s="1864"/>
      <c r="H3" s="122">
        <f>+H2-H9</f>
        <v>-37291</v>
      </c>
      <c r="I3" s="867" t="s">
        <v>1005</v>
      </c>
      <c r="K3" s="382"/>
      <c r="L3" s="122">
        <f>+L2-L9</f>
        <v>0</v>
      </c>
      <c r="M3" s="868"/>
      <c r="N3" s="51"/>
      <c r="O3" s="382"/>
      <c r="P3" s="122">
        <f>+P2-P9</f>
        <v>0</v>
      </c>
      <c r="Q3" s="868"/>
      <c r="T3" s="86">
        <f>SUM(T1:T2)</f>
        <v>0</v>
      </c>
      <c r="U3" s="51"/>
      <c r="X3" s="86">
        <f>SUM(X1:X2)</f>
        <v>0</v>
      </c>
      <c r="Y3" s="51"/>
      <c r="AB3" s="86">
        <f>SUM(AB1:AB2)</f>
        <v>0</v>
      </c>
      <c r="AC3" s="51"/>
    </row>
    <row r="4" spans="1:29" x14ac:dyDescent="0.25">
      <c r="D4" s="36"/>
      <c r="E4" s="868"/>
      <c r="F4" s="51"/>
      <c r="G4" s="374"/>
      <c r="K4" s="382"/>
      <c r="L4" s="122"/>
      <c r="M4" s="868"/>
      <c r="N4" s="51"/>
      <c r="O4" s="382"/>
      <c r="P4" s="122"/>
      <c r="Q4" s="868"/>
      <c r="T4" s="86"/>
      <c r="U4" s="51"/>
      <c r="X4" s="86"/>
      <c r="Y4" s="51"/>
      <c r="AB4" s="86"/>
      <c r="AC4" s="51"/>
    </row>
    <row r="5" spans="1:29" ht="15.75" x14ac:dyDescent="0.25">
      <c r="B5" s="934" t="s">
        <v>56</v>
      </c>
      <c r="P5" s="123"/>
      <c r="T5" s="73"/>
      <c r="X5" s="73"/>
      <c r="AB5" s="73"/>
    </row>
    <row r="6" spans="1:29" s="89" customFormat="1" ht="15.75" x14ac:dyDescent="0.25">
      <c r="A6" s="147"/>
      <c r="B6" s="935"/>
      <c r="C6" s="935"/>
      <c r="D6" s="284" t="s">
        <v>55</v>
      </c>
      <c r="E6" s="858"/>
      <c r="G6" s="371"/>
      <c r="H6" s="324" t="str">
        <f>LEFT(D6,4)+1&amp;"-"&amp;RIGHT(D6,4)+1</f>
        <v>2017-2018</v>
      </c>
      <c r="I6" s="869"/>
      <c r="J6" s="93"/>
      <c r="K6" s="378"/>
      <c r="L6" s="124" t="str">
        <f>LEFT(H6,4)+1&amp;"-"&amp;RIGHT(H6,4)+1</f>
        <v>2018-2019</v>
      </c>
      <c r="M6" s="946"/>
      <c r="N6" s="96"/>
      <c r="O6" s="381"/>
      <c r="P6" s="124" t="str">
        <f>LEFT(L6,4)+1&amp;"-"&amp;RIGHT(L6,4)+1</f>
        <v>2019-2020</v>
      </c>
      <c r="Q6" s="94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936" t="s">
        <v>54</v>
      </c>
      <c r="D7" s="2">
        <v>796942.06</v>
      </c>
      <c r="E7" s="928"/>
      <c r="H7" s="2">
        <f>D102</f>
        <v>887128.48000000045</v>
      </c>
      <c r="I7" s="928"/>
      <c r="J7" s="60"/>
      <c r="L7" s="2">
        <f>H102</f>
        <v>243096.48000000045</v>
      </c>
      <c r="M7" s="928"/>
      <c r="P7" s="2">
        <f>L102</f>
        <v>239701.48000000045</v>
      </c>
      <c r="Q7" s="928"/>
      <c r="T7" s="2">
        <f>P102</f>
        <v>200128.48000000045</v>
      </c>
      <c r="U7" s="105"/>
      <c r="X7" s="2">
        <f>T102</f>
        <v>200128.48000000045</v>
      </c>
      <c r="Y7" s="105"/>
      <c r="AB7" s="2">
        <f>X102</f>
        <v>200128.48000000045</v>
      </c>
      <c r="AC7" s="105"/>
    </row>
    <row r="8" spans="1:29" x14ac:dyDescent="0.25">
      <c r="E8" s="928"/>
      <c r="H8" s="2"/>
      <c r="L8" s="2"/>
      <c r="M8" s="928"/>
      <c r="Q8" s="928"/>
      <c r="U8" s="105"/>
      <c r="Y8" s="105"/>
      <c r="AC8" s="105"/>
    </row>
    <row r="9" spans="1:29" x14ac:dyDescent="0.25">
      <c r="B9" s="930" t="s">
        <v>52</v>
      </c>
      <c r="C9" s="857" t="s">
        <v>312</v>
      </c>
      <c r="D9" s="2">
        <v>2400861</v>
      </c>
      <c r="E9" s="928"/>
      <c r="G9" s="83">
        <f>IF(D9=0,"0.00%",(H9-D9)/D9)</f>
        <v>8.6609345563945603E-2</v>
      </c>
      <c r="H9" s="297">
        <v>2608798</v>
      </c>
      <c r="I9" s="928" t="s">
        <v>341</v>
      </c>
      <c r="J9" s="61"/>
      <c r="K9" s="83">
        <f>IF(H9=0,"0.00%",(L9-H9)/H9)</f>
        <v>-5.3806772314299534E-2</v>
      </c>
      <c r="L9" s="216">
        <f>+UNRESTRICTED!H76</f>
        <v>2468427</v>
      </c>
      <c r="M9" s="928" t="s">
        <v>341</v>
      </c>
      <c r="O9" s="83">
        <f>IF(L9=0,"0.00%",(P9-L9)/L9)</f>
        <v>1.0006372479315775E-4</v>
      </c>
      <c r="P9" s="216">
        <f>+UNRESTRICTED!I76</f>
        <v>2468674</v>
      </c>
      <c r="Q9" s="928" t="s">
        <v>341</v>
      </c>
      <c r="S9" s="83">
        <f>IF(P9=0,"0.00%",(T9-P9)/P9)</f>
        <v>-1</v>
      </c>
      <c r="T9" s="3">
        <f>T3</f>
        <v>0</v>
      </c>
      <c r="U9" s="105"/>
      <c r="W9" s="83" t="str">
        <f>IF(T9=0,"0.00%",(X9-T9)/T9)</f>
        <v>0.00%</v>
      </c>
      <c r="X9" s="3">
        <f>X3</f>
        <v>0</v>
      </c>
      <c r="Y9" s="105"/>
      <c r="AA9" s="83" t="str">
        <f>IF(X9=0,"0.00%",(AB9-X9)/X9)</f>
        <v>0.00%</v>
      </c>
      <c r="AB9" s="3">
        <f>AB3</f>
        <v>0</v>
      </c>
      <c r="AC9" s="105"/>
    </row>
    <row r="10" spans="1:29" x14ac:dyDescent="0.25">
      <c r="C10" s="857" t="s">
        <v>313</v>
      </c>
      <c r="D10" s="2">
        <v>0</v>
      </c>
      <c r="E10" s="928"/>
      <c r="G10" s="83" t="str">
        <f t="shared" ref="G10:G15" si="0">IF(D10=0,"0.00%",(H10-D10)/D10)</f>
        <v>0.00%</v>
      </c>
      <c r="H10" s="3">
        <v>0</v>
      </c>
      <c r="I10" s="928"/>
      <c r="J10" s="61"/>
      <c r="K10" s="83" t="str">
        <f>IF(H10=0,"0.00%",(L10-H10)/H10)</f>
        <v>0.00%</v>
      </c>
      <c r="L10" s="3"/>
      <c r="M10" s="928"/>
      <c r="O10" s="83" t="str">
        <f>IF(L10=0,"0.00%",(P10-L10)/L10)</f>
        <v>0.00%</v>
      </c>
      <c r="P10" s="3"/>
      <c r="Q10" s="928"/>
      <c r="S10" s="83" t="str">
        <f>IF(P10=0,"0.00%",(T10-P10)/P10)</f>
        <v>0.00%</v>
      </c>
      <c r="T10" s="3">
        <f>+T98-T9</f>
        <v>2451942</v>
      </c>
      <c r="U10" s="105"/>
      <c r="W10" s="83">
        <f>IF(T10=0,"0.00%",(X10-T10)/T10)</f>
        <v>3.0258464515066016E-2</v>
      </c>
      <c r="X10" s="3">
        <f>+X98-X9</f>
        <v>2526134</v>
      </c>
      <c r="Y10" s="105"/>
      <c r="AA10" s="83">
        <f>IF(X10=0,"0.00%",(AB10-X10)/X10)</f>
        <v>2.889118312805259E-2</v>
      </c>
      <c r="AB10" s="3">
        <f>+AB98-AB9</f>
        <v>2599117</v>
      </c>
      <c r="AC10" s="105"/>
    </row>
    <row r="11" spans="1:29" x14ac:dyDescent="0.25">
      <c r="B11" s="936" t="s">
        <v>137</v>
      </c>
      <c r="D11" s="8">
        <f>SUM(D9:D10)</f>
        <v>2400861</v>
      </c>
      <c r="E11" s="928"/>
      <c r="G11" s="83">
        <f t="shared" si="0"/>
        <v>8.6609345563945603E-2</v>
      </c>
      <c r="H11" s="8">
        <f>SUM(H9:H10)</f>
        <v>2608798</v>
      </c>
      <c r="I11" s="1292">
        <f>+H11-D11</f>
        <v>207937</v>
      </c>
      <c r="J11" s="62"/>
      <c r="K11" s="83">
        <f>IF(H11=0,"0.00%",(L11-H11)/H11)</f>
        <v>-5.3806772314299534E-2</v>
      </c>
      <c r="L11" s="8">
        <f>SUM(L9:L10)</f>
        <v>2468427</v>
      </c>
      <c r="M11" s="1292">
        <f>+L11-H11</f>
        <v>-140371</v>
      </c>
      <c r="O11" s="83">
        <f>IF(L11=0,"0.00%",(P11-L11)/L11)</f>
        <v>1.0006372479315775E-4</v>
      </c>
      <c r="P11" s="8">
        <f>SUM(P9:P10)</f>
        <v>2468674</v>
      </c>
      <c r="Q11" s="1292">
        <f>+P11-L11</f>
        <v>247</v>
      </c>
      <c r="S11" s="83">
        <f>IF(P11=0,"0.00%",(T11-P11)/P11)</f>
        <v>-6.7777276384002102E-3</v>
      </c>
      <c r="T11" s="78">
        <f>SUM(T9:T10)</f>
        <v>2451942</v>
      </c>
      <c r="U11" s="105"/>
      <c r="W11" s="83">
        <f>IF(T11=0,"0.00%",(X11-T11)/T11)</f>
        <v>3.0258464515066016E-2</v>
      </c>
      <c r="X11" s="78">
        <f>SUM(X9:X10)</f>
        <v>2526134</v>
      </c>
      <c r="Y11" s="105"/>
      <c r="AA11" s="83">
        <f>IF(X11=0,"0.00%",(AB11-X11)/X11)</f>
        <v>2.889118312805259E-2</v>
      </c>
      <c r="AB11" s="78">
        <f>SUM(AB9:AB10)</f>
        <v>2599117</v>
      </c>
      <c r="AC11" s="105"/>
    </row>
    <row r="12" spans="1:29" x14ac:dyDescent="0.25">
      <c r="E12" s="928"/>
      <c r="H12" s="3"/>
      <c r="I12" s="928"/>
      <c r="J12" s="63"/>
      <c r="K12" s="52"/>
      <c r="L12" s="3"/>
      <c r="M12" s="928"/>
      <c r="O12" s="52"/>
      <c r="P12" s="3"/>
      <c r="Q12" s="928"/>
      <c r="S12" s="46"/>
      <c r="T12" s="44"/>
      <c r="U12" s="105"/>
      <c r="W12" s="46"/>
      <c r="X12" s="44"/>
      <c r="Y12" s="105"/>
      <c r="AA12" s="46"/>
      <c r="AB12" s="44"/>
      <c r="AC12" s="105"/>
    </row>
    <row r="13" spans="1:29" x14ac:dyDescent="0.25">
      <c r="B13" s="937"/>
      <c r="C13" s="938" t="s">
        <v>64</v>
      </c>
      <c r="D13" s="9">
        <f>+ROUND((D55+D69+D89)*$B$13,0)</f>
        <v>0</v>
      </c>
      <c r="E13" s="928"/>
      <c r="G13" s="83" t="str">
        <f t="shared" si="0"/>
        <v>0.00%</v>
      </c>
      <c r="H13" s="9">
        <f>+ROUND((H55+H69+H89)*$B$13,0)</f>
        <v>0</v>
      </c>
      <c r="I13" s="928"/>
      <c r="J13" s="64"/>
      <c r="K13" s="83" t="str">
        <f>IF(H13=0,"0.00%",(L13-H13)/H13)</f>
        <v>0.00%</v>
      </c>
      <c r="L13" s="9">
        <f>+ROUND((L55+L69+L89)*$B$13,0)</f>
        <v>0</v>
      </c>
      <c r="M13" s="928"/>
      <c r="O13" s="83" t="str">
        <f>IF(L13=0,"0.00%",(P13-L13)/L13)</f>
        <v>0.00%</v>
      </c>
      <c r="P13" s="9">
        <f>+ROUND((P55+P69+P89)*$B$13,0)</f>
        <v>0</v>
      </c>
      <c r="Q13" s="928"/>
      <c r="S13" s="83" t="str">
        <f>IF(P13=0,"0.00%",(T13-P13)/P13)</f>
        <v>0.00%</v>
      </c>
      <c r="T13" s="77">
        <f>+ROUND((T55+T69+T89)*$B$13,0)</f>
        <v>0</v>
      </c>
      <c r="U13" s="105"/>
      <c r="W13" s="83" t="str">
        <f>IF(T13=0,"0.00%",(X13-T13)/T13)</f>
        <v>0.00%</v>
      </c>
      <c r="X13" s="77">
        <f>+ROUND((X55+X69+X89)*$B$13,0)</f>
        <v>0</v>
      </c>
      <c r="Y13" s="105"/>
      <c r="AA13" s="83" t="str">
        <f>IF(X13=0,"0.00%",(AB13-X13)/X13)</f>
        <v>0.00%</v>
      </c>
      <c r="AB13" s="77">
        <f>+ROUND((AB55+AB69+AB89)*$B$13,0)</f>
        <v>0</v>
      </c>
      <c r="AC13" s="105"/>
    </row>
    <row r="14" spans="1:29" x14ac:dyDescent="0.25">
      <c r="E14" s="928"/>
      <c r="H14" s="3"/>
      <c r="I14" s="928"/>
      <c r="J14" s="63"/>
      <c r="K14" s="52"/>
      <c r="L14" s="3"/>
      <c r="M14" s="928"/>
      <c r="O14" s="52"/>
      <c r="P14" s="3"/>
      <c r="Q14" s="928"/>
      <c r="S14" s="46"/>
      <c r="T14" s="44"/>
      <c r="U14" s="105"/>
      <c r="W14" s="46"/>
      <c r="X14" s="44"/>
      <c r="Y14" s="105"/>
      <c r="AA14" s="46"/>
      <c r="AB14" s="44"/>
      <c r="AC14" s="105"/>
    </row>
    <row r="15" spans="1:29" x14ac:dyDescent="0.25">
      <c r="B15" s="936" t="s">
        <v>50</v>
      </c>
      <c r="D15" s="10">
        <f>D11-D13+D7</f>
        <v>3197803.06</v>
      </c>
      <c r="E15" s="928"/>
      <c r="G15" s="83">
        <f t="shared" si="0"/>
        <v>-0.18419053611137642</v>
      </c>
      <c r="H15" s="9">
        <f>H11-H13</f>
        <v>2608798</v>
      </c>
      <c r="I15" s="1292">
        <f>+H15-D15</f>
        <v>-589005.06000000006</v>
      </c>
      <c r="J15" s="62"/>
      <c r="K15" s="83">
        <f>IF(H15=0,"0.00%",(L15-H15)/H15)</f>
        <v>-5.3806772314299534E-2</v>
      </c>
      <c r="L15" s="9">
        <f>L11-L13</f>
        <v>2468427</v>
      </c>
      <c r="M15" s="1292">
        <f>+L15-H15</f>
        <v>-140371</v>
      </c>
      <c r="O15" s="83">
        <f>IF(L15=0,"0.00%",(P15-L15)/L15)</f>
        <v>1.0006372479315775E-4</v>
      </c>
      <c r="P15" s="9">
        <f>P11-P13</f>
        <v>2468674</v>
      </c>
      <c r="Q15" s="1292">
        <f>+P15-L15</f>
        <v>247</v>
      </c>
      <c r="S15" s="83">
        <f>IF(P15=0,"0.00%",(T15-P15)/P15)</f>
        <v>-6.7777276384002102E-3</v>
      </c>
      <c r="T15" s="19">
        <f>T11-T13</f>
        <v>2451942</v>
      </c>
      <c r="U15" s="105"/>
      <c r="W15" s="83">
        <f>IF(T15=0,"0.00%",(X15-T15)/T15)</f>
        <v>3.0258464515066016E-2</v>
      </c>
      <c r="X15" s="19">
        <f>X11-X13</f>
        <v>2526134</v>
      </c>
      <c r="Y15" s="105"/>
      <c r="AA15" s="83">
        <f>IF(X15=0,"0.00%",(AB15-X15)/X15)</f>
        <v>2.889118312805259E-2</v>
      </c>
      <c r="AB15" s="19">
        <f>AB11-AB13</f>
        <v>2599117</v>
      </c>
      <c r="AC15" s="105"/>
    </row>
    <row r="16" spans="1:29" x14ac:dyDescent="0.25">
      <c r="E16" s="928"/>
      <c r="H16" s="3"/>
      <c r="I16" s="928"/>
      <c r="J16" s="62"/>
      <c r="L16" s="3"/>
      <c r="M16" s="928"/>
      <c r="P16" s="3"/>
      <c r="Q16" s="928"/>
      <c r="T16" s="49"/>
      <c r="U16" s="105"/>
      <c r="X16" s="49"/>
      <c r="Y16" s="105"/>
      <c r="AB16" s="49"/>
      <c r="AC16" s="105"/>
    </row>
    <row r="17" spans="1:29" x14ac:dyDescent="0.25">
      <c r="C17" s="930"/>
      <c r="E17" s="928"/>
      <c r="H17" s="3"/>
      <c r="I17" s="928"/>
      <c r="J17" s="63"/>
      <c r="L17" s="3"/>
      <c r="M17" s="928"/>
      <c r="P17" s="3"/>
      <c r="Q17" s="928"/>
      <c r="T17" s="44"/>
      <c r="U17" s="105"/>
      <c r="X17" s="44"/>
      <c r="Y17" s="105"/>
      <c r="AB17" s="44"/>
      <c r="AC17" s="105"/>
    </row>
    <row r="18" spans="1:29" x14ac:dyDescent="0.25">
      <c r="A18" s="148"/>
      <c r="D18" s="29" t="s">
        <v>826</v>
      </c>
      <c r="E18" s="929"/>
      <c r="F18" s="32"/>
      <c r="H18" s="29" t="s">
        <v>177</v>
      </c>
      <c r="I18" s="929"/>
      <c r="J18" s="65"/>
      <c r="M18" s="929"/>
      <c r="Q18" s="929"/>
      <c r="U18" s="106"/>
      <c r="Y18" s="106"/>
      <c r="AC18" s="106"/>
    </row>
    <row r="19" spans="1:29" ht="17.25" x14ac:dyDescent="0.4">
      <c r="A19" s="149"/>
      <c r="D19" s="35" t="s">
        <v>827</v>
      </c>
      <c r="E19" s="860"/>
      <c r="F19" s="34"/>
      <c r="H19" s="35" t="s">
        <v>48</v>
      </c>
      <c r="I19" s="870"/>
      <c r="J19" s="29"/>
      <c r="L19" s="14" t="s">
        <v>48</v>
      </c>
      <c r="M19" s="1089">
        <v>1.4999999999999999E-2</v>
      </c>
      <c r="P19" s="14" t="s">
        <v>48</v>
      </c>
      <c r="Q19" s="1089">
        <v>1.4999999999999999E-2</v>
      </c>
      <c r="T19" s="14" t="s">
        <v>48</v>
      </c>
      <c r="U19" s="104">
        <v>0.02</v>
      </c>
      <c r="X19" s="14" t="s">
        <v>48</v>
      </c>
      <c r="Y19" s="104">
        <v>0.02</v>
      </c>
      <c r="AB19" s="14" t="s">
        <v>48</v>
      </c>
      <c r="AC19" s="104">
        <v>0.02</v>
      </c>
    </row>
    <row r="20" spans="1:29" s="13" customFormat="1" hidden="1" x14ac:dyDescent="0.25">
      <c r="A20" s="150"/>
      <c r="B20" s="936" t="s">
        <v>46</v>
      </c>
      <c r="C20" s="938"/>
      <c r="D20" s="10"/>
      <c r="E20" s="861"/>
      <c r="F20" s="10"/>
      <c r="G20" s="372"/>
      <c r="H20" s="10"/>
      <c r="I20" s="864"/>
      <c r="J20" s="57"/>
      <c r="K20" s="379"/>
      <c r="L20" s="10"/>
      <c r="M20" s="947"/>
      <c r="O20" s="379"/>
      <c r="P20" s="10"/>
      <c r="Q20" s="947"/>
      <c r="R20" s="111"/>
      <c r="T20" s="10"/>
      <c r="U20" s="74"/>
      <c r="X20" s="10"/>
      <c r="Y20" s="74"/>
      <c r="AB20" s="10"/>
      <c r="AC20" s="74"/>
    </row>
    <row r="21" spans="1:29" hidden="1" x14ac:dyDescent="0.25">
      <c r="A21" s="151"/>
      <c r="B21" s="939"/>
      <c r="D21" s="2">
        <v>0</v>
      </c>
      <c r="E21" s="863"/>
      <c r="F21" s="2"/>
      <c r="G21" s="83" t="str">
        <f t="shared" ref="G21:G30" si="1">IF(D21=0,"0.00%",(H21-D21)/D21)</f>
        <v>0.00%</v>
      </c>
      <c r="H21" s="2">
        <f t="shared" ref="H21:H27" si="2">ROUND(D21*(1+$I$19),0)</f>
        <v>0</v>
      </c>
      <c r="I21" s="854" t="str">
        <f t="shared" ref="I21:I28" si="3">TEXT($I$19,"0.0%")&amp;" = Est. S &amp; C"</f>
        <v>0.0% = Est. S &amp; C</v>
      </c>
      <c r="J21" s="66"/>
      <c r="K21" s="83" t="str">
        <f t="shared" ref="K21:K27" si="4">IF(H21=0,"0.00%",(L21-H21)/H21)</f>
        <v>0.00%</v>
      </c>
      <c r="L21" s="2">
        <f>ROUND(H21*(1+M19),0)</f>
        <v>0</v>
      </c>
      <c r="M21" s="871" t="str">
        <f>TEXT(M19,"0.0%")&amp;" = Est. S &amp; C"</f>
        <v>1.5% = Est. S &amp; C</v>
      </c>
      <c r="O21" s="83" t="str">
        <f t="shared" ref="O21:O27" si="5">IF(L21=0,"0.00%",(P21-L21)/L21)</f>
        <v>0.00%</v>
      </c>
      <c r="P21" s="2">
        <f>ROUND(L21*(1+Q19),0)</f>
        <v>0</v>
      </c>
      <c r="Q21" s="871" t="str">
        <f>TEXT(Q19,"0.0%")&amp;" = Est. S &amp; C"</f>
        <v>1.5%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2"/>
      <c r="B22" s="939"/>
      <c r="D22" s="2">
        <v>0</v>
      </c>
      <c r="E22" s="863"/>
      <c r="F22" s="2"/>
      <c r="G22" s="83" t="str">
        <f t="shared" si="1"/>
        <v>0.00%</v>
      </c>
      <c r="H22" s="2">
        <f t="shared" si="2"/>
        <v>0</v>
      </c>
      <c r="I22" s="871" t="str">
        <f t="shared" si="3"/>
        <v>0.0% = Est. S &amp; C</v>
      </c>
      <c r="J22" s="66"/>
      <c r="K22" s="83" t="str">
        <f t="shared" si="4"/>
        <v>0.00%</v>
      </c>
      <c r="L22" s="2">
        <f>ROUND(H22*(1+M19),0)</f>
        <v>0</v>
      </c>
      <c r="M22" s="871" t="str">
        <f>TEXT(M19,"0.0%")&amp;" = Est. S &amp; C"</f>
        <v>1.5% = Est. S &amp; C</v>
      </c>
      <c r="O22" s="83" t="str">
        <f t="shared" si="5"/>
        <v>0.00%</v>
      </c>
      <c r="P22" s="2">
        <f>ROUND(L22*(1+Q19),0)</f>
        <v>0</v>
      </c>
      <c r="Q22" s="871" t="str">
        <f>TEXT(Q19,"0.0%")&amp;" = Est. S &amp; C"</f>
        <v>1.5%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2"/>
      <c r="B23" s="939"/>
      <c r="D23" s="2">
        <v>0</v>
      </c>
      <c r="E23" s="863"/>
      <c r="F23" s="2"/>
      <c r="G23" s="83" t="str">
        <f t="shared" si="1"/>
        <v>0.00%</v>
      </c>
      <c r="H23" s="2">
        <f t="shared" si="2"/>
        <v>0</v>
      </c>
      <c r="I23" s="871" t="str">
        <f t="shared" si="3"/>
        <v>0.0% = Est. S &amp; C</v>
      </c>
      <c r="J23" s="66"/>
      <c r="K23" s="83" t="str">
        <f t="shared" si="4"/>
        <v>0.00%</v>
      </c>
      <c r="L23" s="2">
        <f>ROUND(H23*(1+M19),0)</f>
        <v>0</v>
      </c>
      <c r="M23" s="871" t="str">
        <f>TEXT(M19,"0.0%")&amp;" = Est. S &amp; C"</f>
        <v>1.5% = Est. S &amp; C</v>
      </c>
      <c r="O23" s="83" t="str">
        <f t="shared" si="5"/>
        <v>0.00%</v>
      </c>
      <c r="P23" s="2">
        <f>ROUND(L23*(1+Q19),0)</f>
        <v>0</v>
      </c>
      <c r="Q23" s="871" t="str">
        <f>TEXT(Q19,"0.0%")&amp;" = Est. S &amp; C"</f>
        <v>1.5%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2"/>
      <c r="B24" s="939"/>
      <c r="D24" s="2">
        <v>0</v>
      </c>
      <c r="E24" s="863"/>
      <c r="F24" s="2"/>
      <c r="G24" s="83" t="str">
        <f t="shared" si="1"/>
        <v>0.00%</v>
      </c>
      <c r="H24" s="2">
        <f t="shared" si="2"/>
        <v>0</v>
      </c>
      <c r="I24" s="871" t="str">
        <f t="shared" si="3"/>
        <v>0.0% = Est. S &amp; C</v>
      </c>
      <c r="J24" s="66"/>
      <c r="K24" s="83" t="str">
        <f t="shared" si="4"/>
        <v>0.00%</v>
      </c>
      <c r="L24" s="2">
        <f>ROUND(H24*(1+M19),0)</f>
        <v>0</v>
      </c>
      <c r="M24" s="871" t="str">
        <f>TEXT(M19,"0.0%")&amp;" = Est. S &amp; C"</f>
        <v>1.5% = Est. S &amp; C</v>
      </c>
      <c r="O24" s="83" t="str">
        <f t="shared" si="5"/>
        <v>0.00%</v>
      </c>
      <c r="P24" s="2">
        <f>ROUND(L24*(1+Q19),0)</f>
        <v>0</v>
      </c>
      <c r="Q24" s="871" t="str">
        <f>TEXT(Q19,"0.0%")&amp;" = Est. S &amp; C"</f>
        <v>1.5%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2"/>
      <c r="B25" s="939"/>
      <c r="D25" s="2">
        <v>0</v>
      </c>
      <c r="E25" s="863"/>
      <c r="F25" s="2"/>
      <c r="G25" s="83" t="str">
        <f t="shared" si="1"/>
        <v>0.00%</v>
      </c>
      <c r="H25" s="2">
        <f t="shared" si="2"/>
        <v>0</v>
      </c>
      <c r="I25" s="871" t="str">
        <f t="shared" si="3"/>
        <v>0.0% = Est. S &amp; C</v>
      </c>
      <c r="J25" s="66"/>
      <c r="K25" s="83" t="str">
        <f t="shared" si="4"/>
        <v>0.00%</v>
      </c>
      <c r="L25" s="2">
        <f>ROUND(H25*(1+M19),0)</f>
        <v>0</v>
      </c>
      <c r="M25" s="871" t="str">
        <f>TEXT(M19,"0.0%")&amp;" = Est. S &amp; C"</f>
        <v>1.5% = Est. S &amp; C</v>
      </c>
      <c r="O25" s="83" t="str">
        <f t="shared" si="5"/>
        <v>0.00%</v>
      </c>
      <c r="P25" s="2">
        <f>ROUND(L25*(1+Q19),0)</f>
        <v>0</v>
      </c>
      <c r="Q25" s="871" t="str">
        <f>TEXT(Q19,"0.0%")&amp;" = Est. S &amp; C"</f>
        <v>1.5%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2"/>
      <c r="B26" s="939"/>
      <c r="D26" s="2">
        <v>0</v>
      </c>
      <c r="E26" s="863"/>
      <c r="F26" s="2"/>
      <c r="G26" s="83" t="str">
        <f t="shared" si="1"/>
        <v>0.00%</v>
      </c>
      <c r="H26" s="2">
        <f t="shared" si="2"/>
        <v>0</v>
      </c>
      <c r="I26" s="871" t="str">
        <f t="shared" si="3"/>
        <v>0.0% = Est. S &amp; C</v>
      </c>
      <c r="J26" s="66"/>
      <c r="K26" s="83" t="str">
        <f t="shared" si="4"/>
        <v>0.00%</v>
      </c>
      <c r="L26" s="2">
        <f>ROUND(H26*(1+M19),0)</f>
        <v>0</v>
      </c>
      <c r="M26" s="382" t="str">
        <f>TEXT(M19,"0.0%")&amp;" = Est. S &amp; C"</f>
        <v>1.5% = Est. S &amp; C</v>
      </c>
      <c r="O26" s="83" t="str">
        <f t="shared" si="5"/>
        <v>0.00%</v>
      </c>
      <c r="P26" s="2">
        <f>ROUND(L26*(1+Q19),0)</f>
        <v>0</v>
      </c>
      <c r="Q26" s="871" t="str">
        <f>TEXT(Q19,"0.0%")&amp;" = Est. S &amp; C"</f>
        <v>1.5%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2"/>
      <c r="B27" s="939"/>
      <c r="D27" s="2">
        <v>0</v>
      </c>
      <c r="E27" s="863"/>
      <c r="F27" s="2"/>
      <c r="G27" s="83" t="str">
        <f t="shared" si="1"/>
        <v>0.00%</v>
      </c>
      <c r="H27" s="2">
        <f t="shared" si="2"/>
        <v>0</v>
      </c>
      <c r="I27" s="871" t="str">
        <f t="shared" si="3"/>
        <v>0.0% = Est. S &amp; C</v>
      </c>
      <c r="J27" s="66"/>
      <c r="K27" s="83" t="str">
        <f t="shared" si="4"/>
        <v>0.00%</v>
      </c>
      <c r="L27" s="2">
        <f>ROUND(H27*(1+M19),0)</f>
        <v>0</v>
      </c>
      <c r="M27" s="871" t="str">
        <f>TEXT(M19,"0.0%")&amp;" = Est. S &amp; C"</f>
        <v>1.5% = Est. S &amp; C</v>
      </c>
      <c r="O27" s="83" t="str">
        <f t="shared" si="5"/>
        <v>0.00%</v>
      </c>
      <c r="P27" s="2">
        <f>ROUND(L27*(1+Q19),0)</f>
        <v>0</v>
      </c>
      <c r="Q27" s="871" t="str">
        <f>TEXT(Q19,"0.0%")&amp;" = Est. S &amp; C"</f>
        <v>1.5%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2"/>
      <c r="B28" s="939"/>
      <c r="D28" s="2">
        <v>0</v>
      </c>
      <c r="E28" s="863"/>
      <c r="F28" s="2"/>
      <c r="G28" s="83" t="str">
        <f>IF(D28=0,"0.00%",(H28-D28)/D28)</f>
        <v>0.00%</v>
      </c>
      <c r="H28" s="2">
        <f>ROUND(D28*(1+$I$19),0)</f>
        <v>0</v>
      </c>
      <c r="I28" s="871" t="str">
        <f t="shared" si="3"/>
        <v>0.0% = Est. S &amp; C</v>
      </c>
      <c r="J28" s="66"/>
      <c r="K28" s="83" t="str">
        <f>IF(H28=0,"0.00%",(L28-H28)/H28)</f>
        <v>0.00%</v>
      </c>
      <c r="L28" s="2">
        <f>ROUND(H28*(1+M20),0)</f>
        <v>0</v>
      </c>
      <c r="M28" s="871" t="str">
        <f>TEXT(M20,"0.0%")&amp;" = Est. S &amp; C"</f>
        <v>0.0% = Est. S &amp; C</v>
      </c>
      <c r="O28" s="83" t="str">
        <f>IF(L28=0,"0.00%",(P28-L28)/L28)</f>
        <v>0.00%</v>
      </c>
      <c r="P28" s="2">
        <f>ROUND(L28*(1+Q20),0)</f>
        <v>0</v>
      </c>
      <c r="Q28" s="871"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939"/>
      <c r="E29" s="863"/>
      <c r="F29" s="2"/>
      <c r="G29" s="83"/>
      <c r="H29" s="2"/>
      <c r="I29" s="871"/>
      <c r="J29" s="66"/>
      <c r="L29" s="2"/>
      <c r="M29" s="948"/>
      <c r="Q29" s="948"/>
      <c r="T29" s="2"/>
      <c r="U29" s="73"/>
      <c r="X29" s="2"/>
      <c r="Y29" s="73"/>
      <c r="AB29" s="2"/>
      <c r="AC29" s="73"/>
    </row>
    <row r="30" spans="1:29" hidden="1" x14ac:dyDescent="0.25">
      <c r="A30" s="153"/>
      <c r="B30" s="939"/>
      <c r="D30" s="8">
        <f>SUM(D21:D29)</f>
        <v>0</v>
      </c>
      <c r="E30" s="863"/>
      <c r="F30" s="2"/>
      <c r="G30" s="83" t="str">
        <f t="shared" si="1"/>
        <v>0.00%</v>
      </c>
      <c r="H30" s="8">
        <f>SUM(H21:H29)</f>
        <v>0</v>
      </c>
      <c r="I30" s="872"/>
      <c r="J30" s="29"/>
      <c r="K30" s="83" t="str">
        <f>IF(H30=0,"0.00%",(L30-H30)/H30)</f>
        <v>0.00%</v>
      </c>
      <c r="L30" s="8">
        <f>SUM(L21:L29)</f>
        <v>0</v>
      </c>
      <c r="M30" s="948"/>
      <c r="O30" s="83" t="str">
        <f>IF(L30=0,"0.00%",(P30-L30)/L30)</f>
        <v>0.00%</v>
      </c>
      <c r="P30" s="8">
        <f>SUM(P21:P29)</f>
        <v>0</v>
      </c>
      <c r="Q30" s="948"/>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2"/>
      <c r="E31" s="863"/>
      <c r="F31" s="2"/>
      <c r="H31" s="2"/>
      <c r="I31" s="854"/>
      <c r="J31" s="66"/>
      <c r="L31" s="2"/>
      <c r="M31" s="949"/>
      <c r="Q31" s="949"/>
      <c r="T31" s="2"/>
      <c r="U31" s="73"/>
      <c r="X31" s="2"/>
      <c r="Y31" s="73"/>
      <c r="AB31" s="2"/>
      <c r="AC31" s="73"/>
    </row>
    <row r="32" spans="1:29" s="4" customFormat="1" x14ac:dyDescent="0.25">
      <c r="A32" s="150"/>
      <c r="B32" s="940" t="s">
        <v>35</v>
      </c>
      <c r="C32" s="873"/>
      <c r="D32" s="6"/>
      <c r="E32" s="864"/>
      <c r="F32" s="6"/>
      <c r="G32" s="373"/>
      <c r="H32" s="6"/>
      <c r="I32" s="864"/>
      <c r="J32" s="57"/>
      <c r="K32" s="380"/>
      <c r="L32" s="6"/>
      <c r="M32" s="950"/>
      <c r="O32" s="380"/>
      <c r="P32" s="6"/>
      <c r="Q32" s="950"/>
      <c r="R32" s="111"/>
      <c r="T32" s="6"/>
      <c r="U32" s="71"/>
      <c r="X32" s="6"/>
      <c r="Y32" s="71"/>
      <c r="AB32" s="6"/>
      <c r="AC32" s="71"/>
    </row>
    <row r="33" spans="1:29" x14ac:dyDescent="0.25">
      <c r="A33" s="152"/>
      <c r="B33" s="939">
        <v>2259</v>
      </c>
      <c r="C33" s="857" t="s">
        <v>314</v>
      </c>
      <c r="D33" s="2">
        <v>295720.12</v>
      </c>
      <c r="E33" s="863"/>
      <c r="F33" s="2"/>
      <c r="G33" s="83">
        <f t="shared" ref="G33:G39" si="9">IF(D33=0,"0.00%",(H33-D33)/D33)</f>
        <v>5.7956421767987938E-2</v>
      </c>
      <c r="H33" s="2">
        <v>312859</v>
      </c>
      <c r="I33" s="871"/>
      <c r="J33" s="66"/>
      <c r="K33" s="83">
        <f t="shared" ref="K33:K39" si="10">IF(H33=0,"0.00%",(L33-H33)/H33)</f>
        <v>1.5000367577726707E-2</v>
      </c>
      <c r="L33" s="2">
        <f>ROUND(H33*(1+M19),0)</f>
        <v>317552</v>
      </c>
      <c r="M33" s="871" t="str">
        <f>TEXT(M19,"0.0%")&amp;" = Est. S &amp; C"</f>
        <v>1.5% = Est. S &amp; C</v>
      </c>
      <c r="O33" s="83">
        <f t="shared" ref="O33:O39" si="11">IF(L33=0,"0.00%",(P33-L33)/L33)</f>
        <v>1.4999118254648058E-2</v>
      </c>
      <c r="P33" s="2">
        <f>ROUND(L33*(1+Q19),0)</f>
        <v>322315</v>
      </c>
      <c r="Q33" s="871" t="str">
        <f>TEXT(Q19,"0.0%")&amp;" = Est. S &amp; C"</f>
        <v>1.5% = Est. S &amp; C</v>
      </c>
      <c r="S33" s="83">
        <f t="shared" ref="S33:S39" si="12">IF(P33=0,"0.00%",(T33-P33)/P33)</f>
        <v>1.99990692335138E-2</v>
      </c>
      <c r="T33" s="2">
        <f>ROUND(P33*(1+U19),0)</f>
        <v>328761</v>
      </c>
      <c r="U33" s="36" t="str">
        <f>TEXT(U19,"0.0%")&amp;" = Est. S &amp; C"</f>
        <v>2.0% = Est. S &amp; C</v>
      </c>
      <c r="W33" s="83">
        <f t="shared" ref="W33:W39" si="13">IF(T33=0,"0.00%",(X33-T33)/T33)</f>
        <v>1.9999330820869871E-2</v>
      </c>
      <c r="X33" s="2">
        <f>ROUND(T33*(1+Y19),0)</f>
        <v>335336</v>
      </c>
      <c r="Y33" s="36" t="str">
        <f>TEXT(Y19,"0.0%")&amp;" = Est. S &amp; C"</f>
        <v>2.0% = Est. S &amp; C</v>
      </c>
      <c r="AA33" s="83">
        <f t="shared" ref="AA33:AA39" si="14">IF(X33=0,"0.00%",(AB33-X33)/X33)</f>
        <v>2.0000834983419615E-2</v>
      </c>
      <c r="AB33" s="2">
        <f>ROUND(X33*(1+AC19),0)</f>
        <v>342043</v>
      </c>
      <c r="AC33" s="36" t="str">
        <f>TEXT(AC19,"0.0%")&amp;" = Est. S &amp; C"</f>
        <v>2.0% = Est. S &amp; C</v>
      </c>
    </row>
    <row r="34" spans="1:29" x14ac:dyDescent="0.25">
      <c r="A34" s="152"/>
      <c r="B34" s="939">
        <v>2262</v>
      </c>
      <c r="C34" s="857" t="s">
        <v>315</v>
      </c>
      <c r="D34" s="2">
        <v>168687.46</v>
      </c>
      <c r="E34" s="863"/>
      <c r="F34" s="2"/>
      <c r="G34" s="83">
        <f t="shared" si="9"/>
        <v>2.7693463402673847E-2</v>
      </c>
      <c r="H34" s="2">
        <v>173359</v>
      </c>
      <c r="I34" s="871"/>
      <c r="J34" s="66"/>
      <c r="K34" s="83">
        <f t="shared" si="10"/>
        <v>1.4997779175006777E-2</v>
      </c>
      <c r="L34" s="2">
        <f>ROUND(H34*(1+M19),0)</f>
        <v>175959</v>
      </c>
      <c r="M34" s="871" t="str">
        <f>TEXT(M19,"0.0%")&amp;" = Est. S &amp; C"</f>
        <v>1.5% = Est. S &amp; C</v>
      </c>
      <c r="O34" s="83">
        <f t="shared" si="11"/>
        <v>1.4997811990293193E-2</v>
      </c>
      <c r="P34" s="2">
        <f>ROUND(L34*(1+Q19),0)</f>
        <v>178598</v>
      </c>
      <c r="Q34" s="871" t="str">
        <f>TEXT(Q19,"0.0%")&amp;" = Est. S &amp; C"</f>
        <v>1.5% = Est. S &amp; C</v>
      </c>
      <c r="S34" s="83">
        <f t="shared" si="12"/>
        <v>2.0000223966673759E-2</v>
      </c>
      <c r="T34" s="2">
        <f>ROUND(P34*(1+U19),0)</f>
        <v>182170</v>
      </c>
      <c r="U34" s="36" t="str">
        <f>TEXT(U19,"0.0%")&amp;" = Est. S &amp; C"</f>
        <v>2.0% = Est. S &amp; C</v>
      </c>
      <c r="W34" s="83">
        <f t="shared" si="13"/>
        <v>1.9997804248778613E-2</v>
      </c>
      <c r="X34" s="2">
        <f>ROUND(T34*(1+Y19),0)</f>
        <v>185813</v>
      </c>
      <c r="Y34" s="36" t="str">
        <f>TEXT(Y19,"0.0%")&amp;" = Est. S &amp; C"</f>
        <v>2.0% = Est. S &amp; C</v>
      </c>
      <c r="AA34" s="83">
        <f t="shared" si="14"/>
        <v>1.9998600743758511E-2</v>
      </c>
      <c r="AB34" s="2">
        <f>ROUND(X34*(1+AC19),0)</f>
        <v>189529</v>
      </c>
      <c r="AC34" s="36" t="str">
        <f>TEXT(AC19,"0.0%")&amp;" = Est. S &amp; C"</f>
        <v>2.0% = Est. S &amp; C</v>
      </c>
    </row>
    <row r="35" spans="1:29" x14ac:dyDescent="0.25">
      <c r="A35" s="152"/>
      <c r="B35" s="939">
        <v>2273</v>
      </c>
      <c r="C35" s="857" t="s">
        <v>316</v>
      </c>
      <c r="D35" s="2">
        <v>3483.36</v>
      </c>
      <c r="E35" s="863"/>
      <c r="F35" s="2"/>
      <c r="G35" s="83">
        <f t="shared" si="9"/>
        <v>-0.68421294382435349</v>
      </c>
      <c r="H35" s="2">
        <v>1100</v>
      </c>
      <c r="I35" s="871"/>
      <c r="J35" s="66"/>
      <c r="K35" s="83">
        <f t="shared" si="10"/>
        <v>1.5454545454545455E-2</v>
      </c>
      <c r="L35" s="2">
        <f>ROUND(H35*(1+M19),0)</f>
        <v>1117</v>
      </c>
      <c r="M35" s="871" t="str">
        <f>TEXT(M19,"0.0%")&amp;" = Est. S &amp; C"</f>
        <v>1.5% = Est. S &amp; C</v>
      </c>
      <c r="O35" s="83">
        <f t="shared" si="11"/>
        <v>1.521933751119069E-2</v>
      </c>
      <c r="P35" s="2">
        <f>ROUND(L35*(1+Q19),0)</f>
        <v>1134</v>
      </c>
      <c r="Q35" s="871" t="str">
        <f>TEXT(Q19,"0.0%")&amp;" = Est. S &amp; C"</f>
        <v>1.5% = Est. S &amp; C</v>
      </c>
      <c r="S35" s="83">
        <f t="shared" si="12"/>
        <v>2.0282186948853614E-2</v>
      </c>
      <c r="T35" s="2">
        <f>ROUND(P35*(1+U19),0)</f>
        <v>1157</v>
      </c>
      <c r="U35" s="36" t="str">
        <f>TEXT(U19,"0.0%")&amp;" = Est. S &amp; C"</f>
        <v>2.0% = Est. S &amp; C</v>
      </c>
      <c r="W35" s="83">
        <f t="shared" si="13"/>
        <v>1.9878997407087293E-2</v>
      </c>
      <c r="X35" s="2">
        <f>ROUND(T35*(1+Y19),0)</f>
        <v>1180</v>
      </c>
      <c r="Y35" s="36" t="str">
        <f>TEXT(Y19,"0.0%")&amp;" = Est. S &amp; C"</f>
        <v>2.0% = Est. S &amp; C</v>
      </c>
      <c r="AA35" s="83">
        <f t="shared" si="14"/>
        <v>2.0338983050847456E-2</v>
      </c>
      <c r="AB35" s="2">
        <f>ROUND(X35*(1+AC19),0)</f>
        <v>1204</v>
      </c>
      <c r="AC35" s="36" t="str">
        <f>TEXT(AC19,"0.0%")&amp;" = Est. S &amp; C"</f>
        <v>2.0% = Est. S &amp; C</v>
      </c>
    </row>
    <row r="36" spans="1:29" x14ac:dyDescent="0.25">
      <c r="A36" s="152"/>
      <c r="B36" s="939" t="s">
        <v>318</v>
      </c>
      <c r="C36" s="857" t="s">
        <v>317</v>
      </c>
      <c r="D36" s="2">
        <f>14975.54+84521.54</f>
        <v>99497.079999999987</v>
      </c>
      <c r="E36" s="863"/>
      <c r="F36" s="2"/>
      <c r="G36" s="83">
        <f t="shared" si="9"/>
        <v>1.6431839004722681E-2</v>
      </c>
      <c r="H36" s="2">
        <f>14832+86300</f>
        <v>101132</v>
      </c>
      <c r="I36" s="871"/>
      <c r="J36" s="66"/>
      <c r="K36" s="83">
        <f t="shared" si="10"/>
        <v>1.5000197761341613E-2</v>
      </c>
      <c r="L36" s="2">
        <f>ROUND(H36*(1+M19),0)</f>
        <v>102649</v>
      </c>
      <c r="M36" s="871" t="str">
        <f>TEXT(M19,"0.0%")&amp;" = Est. S &amp; C"</f>
        <v>1.5% = Est. S &amp; C</v>
      </c>
      <c r="O36" s="83">
        <f t="shared" si="11"/>
        <v>1.5002581613069782E-2</v>
      </c>
      <c r="P36" s="2">
        <f>ROUND(L36*(1+Q19),0)</f>
        <v>104189</v>
      </c>
      <c r="Q36" s="871" t="str">
        <f>TEXT(Q19,"0.0%")&amp;" = Est. S &amp; C"</f>
        <v>1.5% = Est. S &amp; C</v>
      </c>
      <c r="S36" s="83">
        <f t="shared" si="12"/>
        <v>2.0002111547284263E-2</v>
      </c>
      <c r="T36" s="2">
        <f>ROUND(P36*(1+U19),0)</f>
        <v>106273</v>
      </c>
      <c r="U36" s="36" t="str">
        <f>TEXT(U19,"0.0%")&amp;" = Est. S &amp; C"</f>
        <v>2.0% = Est. S &amp; C</v>
      </c>
      <c r="W36" s="83">
        <f t="shared" si="13"/>
        <v>1.9995671525222775E-2</v>
      </c>
      <c r="X36" s="2">
        <f>ROUND(T36*(1+Y19),0)</f>
        <v>108398</v>
      </c>
      <c r="Y36" s="36" t="str">
        <f>TEXT(Y19,"0.0%")&amp;" = Est. S &amp; C"</f>
        <v>2.0% = Est. S &amp; C</v>
      </c>
      <c r="AA36" s="83">
        <f t="shared" si="14"/>
        <v>2.0000369010498349E-2</v>
      </c>
      <c r="AB36" s="2">
        <f>ROUND(X36*(1+AC19),0)</f>
        <v>110566</v>
      </c>
      <c r="AC36" s="36" t="str">
        <f>TEXT(AC19,"0.0%")&amp;" = Est. S &amp; C"</f>
        <v>2.0% = Est. S &amp; C</v>
      </c>
    </row>
    <row r="37" spans="1:29" x14ac:dyDescent="0.25">
      <c r="A37" s="152"/>
      <c r="B37" s="939" t="s">
        <v>248</v>
      </c>
      <c r="C37" s="857" t="s">
        <v>249</v>
      </c>
      <c r="D37" s="2">
        <f>43547.28+9205.95</f>
        <v>52753.229999999996</v>
      </c>
      <c r="E37" s="863"/>
      <c r="F37" s="2"/>
      <c r="G37" s="83">
        <f t="shared" si="9"/>
        <v>7.0000832176532218E-2</v>
      </c>
      <c r="H37" s="2">
        <f>49246+7200</f>
        <v>56446</v>
      </c>
      <c r="I37" s="871"/>
      <c r="J37" s="66"/>
      <c r="K37" s="83">
        <f t="shared" si="10"/>
        <v>1.500549197463062E-2</v>
      </c>
      <c r="L37" s="2">
        <f>ROUND(H37*(1+M19),0)</f>
        <v>57293</v>
      </c>
      <c r="M37" s="871" t="str">
        <f>TEXT(M19,"0.0%")&amp;" = Est. S &amp; C"</f>
        <v>1.5% = Est. S &amp; C</v>
      </c>
      <c r="O37" s="83">
        <f t="shared" si="11"/>
        <v>1.4993105614996597E-2</v>
      </c>
      <c r="P37" s="2">
        <f>ROUND(L37*(1+Q19),0)</f>
        <v>58152</v>
      </c>
      <c r="Q37" s="871" t="str">
        <f>TEXT(Q19,"0.0%")&amp;" = Est. S &amp; C"</f>
        <v>1.5% = Est. S &amp; C</v>
      </c>
      <c r="S37" s="83">
        <f t="shared" si="12"/>
        <v>1.9999312147475582E-2</v>
      </c>
      <c r="T37" s="2">
        <f>ROUND(P37*(1+U19),0)</f>
        <v>59315</v>
      </c>
      <c r="U37" s="36" t="str">
        <f>TEXT(U19,"0.0%")&amp;" = Est. S &amp; C"</f>
        <v>2.0% = Est. S &amp; C</v>
      </c>
      <c r="W37" s="83">
        <f t="shared" si="13"/>
        <v>1.9994942257439096E-2</v>
      </c>
      <c r="X37" s="2">
        <f>ROUND(T37*(1+Y19),0)</f>
        <v>60501</v>
      </c>
      <c r="Y37" s="36" t="str">
        <f>TEXT(Y19,"0.0%")&amp;" = Est. S &amp; C"</f>
        <v>2.0% = Est. S &amp; C</v>
      </c>
      <c r="AA37" s="83">
        <f t="shared" si="14"/>
        <v>1.9999669426951621E-2</v>
      </c>
      <c r="AB37" s="2">
        <f>ROUND(X37*(1+AC19),0)</f>
        <v>61711</v>
      </c>
      <c r="AC37" s="36" t="str">
        <f>TEXT(AC19,"0.0%")&amp;" = Est. S &amp; C"</f>
        <v>2.0% = Est. S &amp; C</v>
      </c>
    </row>
    <row r="38" spans="1:29" ht="24" hidden="1" customHeight="1" x14ac:dyDescent="0.25">
      <c r="A38" s="152"/>
      <c r="B38" s="939"/>
      <c r="D38" s="2">
        <v>0</v>
      </c>
      <c r="E38" s="863"/>
      <c r="F38" s="2"/>
      <c r="G38" s="83" t="str">
        <f t="shared" si="9"/>
        <v>0.00%</v>
      </c>
      <c r="H38" s="2">
        <f t="shared" ref="H38:H39" si="15">ROUND(D38*(1+$I$19),0)</f>
        <v>0</v>
      </c>
      <c r="I38" s="871" t="str">
        <f t="shared" ref="I38:I39" si="16">TEXT($I$19,"0.0%")&amp;" = Est. S &amp; C"</f>
        <v>0.0% = Est. S &amp; C</v>
      </c>
      <c r="J38" s="66"/>
      <c r="K38" s="83" t="str">
        <f t="shared" si="10"/>
        <v>0.00%</v>
      </c>
      <c r="L38" s="2">
        <f>ROUND(H38*(1+M19),0)</f>
        <v>0</v>
      </c>
      <c r="M38" s="871" t="str">
        <f>TEXT(M19,"0.0%")&amp;" = Est. S &amp; C"</f>
        <v>1.5% = Est. S &amp; C</v>
      </c>
      <c r="O38" s="83" t="str">
        <f t="shared" si="11"/>
        <v>0.00%</v>
      </c>
      <c r="P38" s="2">
        <f>ROUND(L38*(1+Q19),0)</f>
        <v>0</v>
      </c>
      <c r="Q38" s="871" t="str">
        <f>TEXT(Q19,"0.0%")&amp;" = Est. S &amp; C"</f>
        <v>1.5% = Est. S &amp; C</v>
      </c>
      <c r="S38" s="83" t="str">
        <f t="shared" si="12"/>
        <v>0.00%</v>
      </c>
      <c r="T38" s="2">
        <f>ROUND(P38*(1+U19),0)</f>
        <v>0</v>
      </c>
      <c r="U38" s="36" t="str">
        <f>TEXT(U19,"0.0%")&amp;" = Est. S &amp; C"</f>
        <v>2.0% = Est. S &amp; C</v>
      </c>
      <c r="W38" s="83" t="str">
        <f t="shared" si="13"/>
        <v>0.00%</v>
      </c>
      <c r="X38" s="2">
        <f>ROUND(T38*(1+Y19),0)</f>
        <v>0</v>
      </c>
      <c r="Y38" s="36" t="str">
        <f>TEXT(Y19,"0.0%")&amp;" = Est. S &amp; C"</f>
        <v>2.0% = Est. S &amp; C</v>
      </c>
      <c r="AA38" s="83" t="str">
        <f t="shared" si="14"/>
        <v>0.00%</v>
      </c>
      <c r="AB38" s="2">
        <f>ROUND(X38*(1+AC19),0)</f>
        <v>0</v>
      </c>
      <c r="AC38" s="36" t="str">
        <f>TEXT(AC19,"0.0%")&amp;" = Est. S &amp; C"</f>
        <v>2.0% = Est. S &amp; C</v>
      </c>
    </row>
    <row r="39" spans="1:29" hidden="1" x14ac:dyDescent="0.25">
      <c r="A39" s="152"/>
      <c r="B39" s="939"/>
      <c r="D39" s="2">
        <v>0</v>
      </c>
      <c r="E39" s="863"/>
      <c r="F39" s="2"/>
      <c r="G39" s="83" t="str">
        <f t="shared" si="9"/>
        <v>0.00%</v>
      </c>
      <c r="H39" s="2">
        <f t="shared" si="15"/>
        <v>0</v>
      </c>
      <c r="I39" s="871" t="str">
        <f t="shared" si="16"/>
        <v>0.0% = Est. S &amp; C</v>
      </c>
      <c r="J39" s="66"/>
      <c r="K39" s="83" t="str">
        <f t="shared" si="10"/>
        <v>0.00%</v>
      </c>
      <c r="L39" s="2">
        <f>ROUND(H39*(1+M19),0)</f>
        <v>0</v>
      </c>
      <c r="M39" s="871" t="str">
        <f>TEXT(M19,"0.0%")&amp;" = Est. S &amp; C"</f>
        <v>1.5% = Est. S &amp; C</v>
      </c>
      <c r="O39" s="83" t="str">
        <f t="shared" si="11"/>
        <v>0.00%</v>
      </c>
      <c r="P39" s="2">
        <f>ROUND(L39*(1+Q19),0)</f>
        <v>0</v>
      </c>
      <c r="Q39" s="871" t="str">
        <f>TEXT(Q19,"0.0%")&amp;" = Est. S &amp; C"</f>
        <v>1.5% = Est. S &amp; C</v>
      </c>
      <c r="S39" s="83" t="str">
        <f t="shared" si="12"/>
        <v>0.00%</v>
      </c>
      <c r="T39" s="2">
        <f>ROUND(P39*(1+U19),0)</f>
        <v>0</v>
      </c>
      <c r="U39" s="36" t="str">
        <f>TEXT(U19,"0.0%")&amp;" = Est. S &amp; C"</f>
        <v>2.0% = Est. S &amp; C</v>
      </c>
      <c r="W39" s="83" t="str">
        <f t="shared" si="13"/>
        <v>0.00%</v>
      </c>
      <c r="X39" s="2">
        <f>ROUND(T39*(1+Y19),0)</f>
        <v>0</v>
      </c>
      <c r="Y39" s="36" t="str">
        <f>TEXT(Y19,"0.0%")&amp;" = Est. S &amp; C"</f>
        <v>2.0% = Est. S &amp; C</v>
      </c>
      <c r="AA39" s="83" t="str">
        <f t="shared" si="14"/>
        <v>0.00%</v>
      </c>
      <c r="AB39" s="2">
        <f>ROUND(X39*(1+AC19),0)</f>
        <v>0</v>
      </c>
      <c r="AC39" s="36" t="str">
        <f>TEXT(AC19,"0.0%")&amp;" = Est. S &amp; C"</f>
        <v>2.0% = Est. S &amp; C</v>
      </c>
    </row>
    <row r="40" spans="1:29" ht="6" hidden="1" customHeight="1" x14ac:dyDescent="0.25">
      <c r="A40" s="152"/>
      <c r="B40" s="939"/>
      <c r="E40" s="863"/>
      <c r="F40" s="2"/>
      <c r="H40" s="2"/>
      <c r="I40" s="871"/>
      <c r="J40" s="66"/>
      <c r="L40" s="2"/>
      <c r="M40" s="948"/>
      <c r="Q40" s="948"/>
      <c r="T40" s="2"/>
      <c r="U40" s="73"/>
      <c r="X40" s="2"/>
      <c r="Y40" s="73"/>
      <c r="AB40" s="2"/>
      <c r="AC40" s="73"/>
    </row>
    <row r="41" spans="1:29" x14ac:dyDescent="0.25">
      <c r="A41" s="153"/>
      <c r="B41" s="939"/>
      <c r="D41" s="8">
        <f>SUM(D33:D40)</f>
        <v>620141.24999999988</v>
      </c>
      <c r="E41" s="863"/>
      <c r="F41" s="2"/>
      <c r="G41" s="83">
        <f>IF(D41=0,"0.00%",(H41-D41)/D41)</f>
        <v>3.9917921925045501E-2</v>
      </c>
      <c r="H41" s="8">
        <f>SUM(H33:H40)</f>
        <v>644896</v>
      </c>
      <c r="I41" s="1292">
        <f>+H41-D41</f>
        <v>24754.750000000116</v>
      </c>
      <c r="J41" s="29"/>
      <c r="K41" s="83">
        <f>IF(H41=0,"0.00%",(L41-H41)/H41)</f>
        <v>1.5000868357068426E-2</v>
      </c>
      <c r="L41" s="8">
        <f>SUM(L33:L40)</f>
        <v>654570</v>
      </c>
      <c r="M41" s="1292">
        <f>+L41-H41</f>
        <v>9674</v>
      </c>
      <c r="O41" s="83">
        <f>IF(L41=0,"0.00%",(P41-L41)/L41)</f>
        <v>1.4999159753731457E-2</v>
      </c>
      <c r="P41" s="8">
        <f>SUM(P33:P40)</f>
        <v>664388</v>
      </c>
      <c r="Q41" s="1292">
        <f>+P41-L41</f>
        <v>9818</v>
      </c>
      <c r="S41" s="83">
        <f>IF(P41=0,"0.00%",(T41-P41)/P41)</f>
        <v>2.0000361234700205E-2</v>
      </c>
      <c r="T41" s="8">
        <f>SUM(T33:T40)</f>
        <v>677676</v>
      </c>
      <c r="U41" s="73"/>
      <c r="W41" s="83">
        <f>IF(T41=0,"0.00%",(X41-T41)/T41)</f>
        <v>1.9997757040237516E-2</v>
      </c>
      <c r="X41" s="8">
        <f>SUM(X33:X40)</f>
        <v>691228</v>
      </c>
      <c r="Y41" s="73"/>
      <c r="AA41" s="83">
        <f>IF(X41=0,"0.00%",(AB41-X41)/X41)</f>
        <v>2.0000636548287973E-2</v>
      </c>
      <c r="AB41" s="8">
        <f>SUM(AB33:AB40)</f>
        <v>705053</v>
      </c>
      <c r="AC41" s="73"/>
    </row>
    <row r="42" spans="1:29" x14ac:dyDescent="0.25">
      <c r="A42" s="152"/>
      <c r="B42" s="930" t="s">
        <v>28</v>
      </c>
      <c r="E42" s="863"/>
      <c r="F42" s="2"/>
      <c r="H42" s="2"/>
      <c r="I42" s="871"/>
      <c r="J42" s="66"/>
      <c r="L42" s="2"/>
      <c r="M42" s="948"/>
      <c r="Q42" s="948"/>
      <c r="T42" s="2"/>
      <c r="U42" s="73"/>
      <c r="X42" s="2"/>
      <c r="Y42" s="73"/>
      <c r="AB42" s="2"/>
      <c r="AC42" s="73"/>
    </row>
    <row r="43" spans="1:29" x14ac:dyDescent="0.25">
      <c r="A43" s="154"/>
      <c r="B43" s="936" t="s">
        <v>27</v>
      </c>
      <c r="E43" s="863"/>
      <c r="F43" s="2"/>
      <c r="H43" s="2"/>
      <c r="I43" s="871"/>
      <c r="J43" s="66"/>
      <c r="L43" s="2"/>
      <c r="M43" s="948"/>
      <c r="Q43" s="948"/>
      <c r="T43" s="2"/>
      <c r="U43" s="73"/>
      <c r="X43" s="2"/>
      <c r="Y43" s="73"/>
      <c r="AB43" s="2"/>
      <c r="AC43" s="73"/>
    </row>
    <row r="44" spans="1:29" x14ac:dyDescent="0.25">
      <c r="A44" s="152"/>
      <c r="B44" s="939" t="s">
        <v>83</v>
      </c>
      <c r="C44" s="857" t="s">
        <v>76</v>
      </c>
      <c r="D44" s="2">
        <v>0</v>
      </c>
      <c r="E44" s="854" t="str">
        <f>TEXT('MYP Assumptions'!$D$55,"0.00%")&amp;", STRS rate"</f>
        <v>12.58%, STRS rate</v>
      </c>
      <c r="F44" s="2"/>
      <c r="G44" s="83" t="str">
        <f t="shared" ref="G44:G53" si="17">IF(D44=0,"0.00%",(H44-D44)/D44)</f>
        <v>0.00%</v>
      </c>
      <c r="H44" s="2">
        <f>ROUND(H30*LEFT(I44,6),0)</f>
        <v>0</v>
      </c>
      <c r="I44" s="854" t="str">
        <f>TEXT('MYP Assumptions'!E55,"0.00%")&amp;", projected STRS rate"</f>
        <v>14.43%, projected STRS rate</v>
      </c>
      <c r="J44" s="66"/>
      <c r="K44" s="83" t="str">
        <f t="shared" ref="K44:K53" si="18">IF(H44=0,"0.00%",(L44-H44)/H44)</f>
        <v>0.00%</v>
      </c>
      <c r="L44" s="2">
        <f>ROUND(L30*LEFT(M44,6),0)</f>
        <v>0</v>
      </c>
      <c r="M44" s="854" t="str">
        <f>TEXT('MYP Assumptions'!F55,"0.00%")&amp;", projected STRS rate"</f>
        <v>16.28%, projected STRS rate</v>
      </c>
      <c r="O44" s="83" t="str">
        <f t="shared" ref="O44:O53" si="19">IF(L44=0,"0.00%",(P44-L44)/L44)</f>
        <v>0.00%</v>
      </c>
      <c r="P44" s="2">
        <f>ROUND(P30*LEFT(Q44,6),0)</f>
        <v>0</v>
      </c>
      <c r="Q44" s="854" t="str">
        <f>TEXT('MYP Assumptions'!G55,"0.00%")&amp;", projected STRS rate"</f>
        <v>18.13%, projected STRS rate</v>
      </c>
      <c r="S44" s="83" t="str">
        <f t="shared" ref="S44:S53" si="20">IF(P44=0,"0.00%",(T44-P44)/P44)</f>
        <v>0.00%</v>
      </c>
      <c r="T44" s="2">
        <f>ROUND(T30*LEFT(U44,6),0)</f>
        <v>0</v>
      </c>
      <c r="U44" s="81" t="str">
        <f>TEXT('MYP Assumptions'!H55,"0.00%")&amp;", projected STRS rate"</f>
        <v>19.10%, projected STRS rate</v>
      </c>
      <c r="W44" s="83" t="str">
        <f t="shared" ref="W44:W53" si="21">IF(T44=0,"0.00%",(X44-T44)/T44)</f>
        <v>0.00%</v>
      </c>
      <c r="X44" s="2">
        <f>ROUND(X30*LEFT(Y44,6),0)</f>
        <v>0</v>
      </c>
      <c r="Y44" s="81" t="str">
        <f>TEXT('MYP Assumptions'!I55,"0.00%")&amp;", projected STRS rate"</f>
        <v>19.10%, projected STRS rate</v>
      </c>
      <c r="AA44" s="83" t="str">
        <f t="shared" ref="AA44:AA53" si="22">IF(X44=0,"0.00%",(AB44-X44)/X44)</f>
        <v>0.00%</v>
      </c>
      <c r="AB44" s="2">
        <f>ROUND(AB30*LEFT(AC44,6),0)</f>
        <v>0</v>
      </c>
      <c r="AC44" s="81" t="str">
        <f>TEXT('MYP Assumptions'!J55,"0.00%")&amp;", projected STRS rate"</f>
        <v>19.10%, projected STRS rate</v>
      </c>
    </row>
    <row r="45" spans="1:29" x14ac:dyDescent="0.25">
      <c r="A45" s="152"/>
      <c r="B45" s="939" t="s">
        <v>84</v>
      </c>
      <c r="C45" s="857" t="s">
        <v>77</v>
      </c>
      <c r="D45" s="2">
        <v>83987.73</v>
      </c>
      <c r="E45" s="854" t="str">
        <f>TEXT('MYP Assumptions'!$D$56,"0.00%")&amp;", PERS rate"</f>
        <v>13.89%, PERS rate</v>
      </c>
      <c r="F45" s="2"/>
      <c r="G45" s="83">
        <f t="shared" si="17"/>
        <v>0.16543214109965831</v>
      </c>
      <c r="H45" s="2">
        <v>97882</v>
      </c>
      <c r="I45" s="854" t="str">
        <f>TEXT('MYP Assumptions'!E56,"0.00%")&amp;", projected PERS rate"</f>
        <v>15.53%, projected PERS rate</v>
      </c>
      <c r="J45" s="66"/>
      <c r="K45" s="83">
        <f t="shared" si="18"/>
        <v>0.21040640771541244</v>
      </c>
      <c r="L45" s="2">
        <f>ROUND(L41*LEFT(M45,6),0)</f>
        <v>118477</v>
      </c>
      <c r="M45" s="854" t="str">
        <f>TEXT('MYP Assumptions'!F56,"0.00%")&amp;", projected PERS rate"</f>
        <v>18.10%, projected PERS rate</v>
      </c>
      <c r="O45" s="83">
        <f t="shared" si="19"/>
        <v>0.16641204621994143</v>
      </c>
      <c r="P45" s="2">
        <f>ROUND(P41*LEFT(Q45,6),0)</f>
        <v>138193</v>
      </c>
      <c r="Q45" s="854" t="str">
        <f>TEXT('MYP Assumptions'!G56,"0.00%")&amp;", projected PERS rate"</f>
        <v>20.80%, projected PERS rate</v>
      </c>
      <c r="S45" s="83">
        <f t="shared" si="20"/>
        <v>0.16711410852937558</v>
      </c>
      <c r="T45" s="2">
        <f>ROUND(T41*LEFT(U45,6),0)</f>
        <v>161287</v>
      </c>
      <c r="U45" s="81" t="str">
        <f>TEXT('MYP Assumptions'!H56,"0.00%")&amp;", projected PERS rate"</f>
        <v>23.80%, projected PERS rate</v>
      </c>
      <c r="W45" s="83">
        <f t="shared" si="21"/>
        <v>7.9994047877386273E-2</v>
      </c>
      <c r="X45" s="2">
        <f>ROUND(X41*LEFT(Y45,6),0)</f>
        <v>174189</v>
      </c>
      <c r="Y45" s="81" t="str">
        <f>TEXT('MYP Assumptions'!I56,"0.00%")&amp;", projected PERS rate"</f>
        <v>25.20%, projected PERS rate</v>
      </c>
      <c r="AA45" s="83">
        <f t="shared" si="22"/>
        <v>5.643295500864004E-2</v>
      </c>
      <c r="AB45" s="2">
        <f>ROUND(AB41*LEFT(AC45,6),0)</f>
        <v>184019</v>
      </c>
      <c r="AC45" s="81" t="str">
        <f>TEXT('MYP Assumptions'!J56,"0.00%")&amp;", projected PERS rate"</f>
        <v>26.10%, projected PERS rate</v>
      </c>
    </row>
    <row r="46" spans="1:29" x14ac:dyDescent="0.25">
      <c r="A46" s="152"/>
      <c r="B46" s="939" t="s">
        <v>85</v>
      </c>
      <c r="C46" s="857" t="s">
        <v>78</v>
      </c>
      <c r="D46" s="2">
        <v>35530.86</v>
      </c>
      <c r="E46" s="854" t="str">
        <f>TEXT('MYP Assumptions'!$D$57,"0.00%")&amp;", SS rate"</f>
        <v>6.20%, SS rate</v>
      </c>
      <c r="F46" s="2"/>
      <c r="G46" s="83">
        <f t="shared" si="17"/>
        <v>1.0980314014352578E-2</v>
      </c>
      <c r="H46" s="2">
        <v>35921</v>
      </c>
      <c r="I46" s="854" t="str">
        <f>TEXT('MYP Assumptions'!E57,"0.00%")&amp;", no rate change"</f>
        <v>6.20%, no rate change</v>
      </c>
      <c r="J46" s="66"/>
      <c r="K46" s="83">
        <f t="shared" si="18"/>
        <v>0.12978480554550262</v>
      </c>
      <c r="L46" s="2">
        <f>ROUND(L41*LEFT(M46,5),0)</f>
        <v>40583</v>
      </c>
      <c r="M46" s="854" t="str">
        <f>TEXT('MYP Assumptions'!F57,"0.00%")&amp;", no rate change"</f>
        <v>6.20%, no rate change</v>
      </c>
      <c r="O46" s="83">
        <f t="shared" si="19"/>
        <v>1.5006283419165661E-2</v>
      </c>
      <c r="P46" s="2">
        <f>ROUND(P41*LEFT(Q46,5),0)</f>
        <v>41192</v>
      </c>
      <c r="Q46" s="854" t="str">
        <f>TEXT('MYP Assumptions'!G57,"0.00%")&amp;", no rate change"</f>
        <v>6.20%, no rate change</v>
      </c>
      <c r="S46" s="83">
        <f t="shared" si="20"/>
        <v>2.000388424936881E-2</v>
      </c>
      <c r="T46" s="2">
        <f>ROUND(T41*LEFT(U46,5),0)</f>
        <v>42016</v>
      </c>
      <c r="U46" s="81" t="str">
        <f>TEXT('MYP Assumptions'!H57,"0.00%")&amp;", no rate change"</f>
        <v>6.20%, no rate change</v>
      </c>
      <c r="W46" s="83">
        <f t="shared" si="21"/>
        <v>1.9992383853769991E-2</v>
      </c>
      <c r="X46" s="2">
        <f>ROUND(X41*LEFT(Y46,5),0)</f>
        <v>42856</v>
      </c>
      <c r="Y46" s="81" t="str">
        <f>TEXT('MYP Assumptions'!I57,"0.00%")&amp;", no rate change"</f>
        <v>6.20%, no rate change</v>
      </c>
      <c r="AA46" s="83">
        <f t="shared" si="22"/>
        <v>1.9997199925331343E-2</v>
      </c>
      <c r="AB46" s="2">
        <f>ROUND(AB41*LEFT(AC46,5),0)</f>
        <v>43713</v>
      </c>
      <c r="AC46" s="81" t="str">
        <f>TEXT('MYP Assumptions'!J57,"0.00%")&amp;", no rate change"</f>
        <v>6.20%, no rate change</v>
      </c>
    </row>
    <row r="47" spans="1:29" x14ac:dyDescent="0.25">
      <c r="A47" s="152"/>
      <c r="B47" s="939" t="s">
        <v>86</v>
      </c>
      <c r="C47" s="857" t="s">
        <v>79</v>
      </c>
      <c r="D47" s="2">
        <v>8352.7099999999991</v>
      </c>
      <c r="E47" s="854" t="str">
        <f>TEXT('MYP Assumptions'!$D$58,"0.00%")&amp;", Medicare rate"</f>
        <v>1.45%, Medicare rate</v>
      </c>
      <c r="F47" s="2"/>
      <c r="G47" s="83">
        <f t="shared" si="17"/>
        <v>7.2180166676444986E-3</v>
      </c>
      <c r="H47" s="2">
        <v>8413</v>
      </c>
      <c r="I47" s="854" t="str">
        <f>TEXT('MYP Assumptions'!E58,"0.00%")&amp;", no rate change"</f>
        <v>1.45%, no rate change</v>
      </c>
      <c r="J47" s="66"/>
      <c r="K47" s="83">
        <f t="shared" si="18"/>
        <v>0.12813502912159752</v>
      </c>
      <c r="L47" s="2">
        <f>ROUND((L41+L30)*LEFT(M47,5),0)</f>
        <v>9491</v>
      </c>
      <c r="M47" s="854" t="str">
        <f>TEXT('MYP Assumptions'!F58,"0.00%")&amp;", no rate change"</f>
        <v>1.45%, no rate change</v>
      </c>
      <c r="O47" s="83">
        <f t="shared" si="19"/>
        <v>1.5066905489411021E-2</v>
      </c>
      <c r="P47" s="2">
        <f>ROUND((P41+P30)*LEFT(Q47,5),0)</f>
        <v>9634</v>
      </c>
      <c r="Q47" s="854" t="str">
        <f>TEXT('MYP Assumptions'!G58,"0.00%")&amp;", no rate change"</f>
        <v>1.45%, no rate change</v>
      </c>
      <c r="S47" s="83">
        <f t="shared" si="20"/>
        <v>1.9929416649366826E-2</v>
      </c>
      <c r="T47" s="2">
        <f>ROUND((T41+T30)*LEFT(U47,5),0)</f>
        <v>9826</v>
      </c>
      <c r="U47" s="81" t="str">
        <f>TEXT('MYP Assumptions'!H58,"0.00%")&amp;", no rate change"</f>
        <v>1.45%, no rate change</v>
      </c>
      <c r="W47" s="83">
        <f t="shared" si="21"/>
        <v>2.0048849989822919E-2</v>
      </c>
      <c r="X47" s="2">
        <f>ROUND((X41+X30)*LEFT(Y47,5),0)</f>
        <v>10023</v>
      </c>
      <c r="Y47" s="81" t="str">
        <f>TEXT('MYP Assumptions'!I58,"0.00%")&amp;", no rate change"</f>
        <v>1.45%, no rate change</v>
      </c>
      <c r="AA47" s="83">
        <f t="shared" si="22"/>
        <v>1.9954105557218396E-2</v>
      </c>
      <c r="AB47" s="2">
        <f>ROUND((AB41+AB30)*LEFT(AC47,5),0)</f>
        <v>10223</v>
      </c>
      <c r="AC47" s="81" t="str">
        <f>TEXT('MYP Assumptions'!J58,"0.00%")&amp;", no rate change"</f>
        <v>1.45%, no rate change</v>
      </c>
    </row>
    <row r="48" spans="1:29" x14ac:dyDescent="0.25">
      <c r="A48" s="152"/>
      <c r="B48" s="939" t="s">
        <v>87</v>
      </c>
      <c r="C48" s="857" t="s">
        <v>80</v>
      </c>
      <c r="D48" s="2">
        <v>77353.759999999995</v>
      </c>
      <c r="E48" s="854"/>
      <c r="F48" s="2"/>
      <c r="G48" s="83">
        <f t="shared" si="17"/>
        <v>4.5185133857746612E-2</v>
      </c>
      <c r="H48" s="2">
        <v>80849</v>
      </c>
      <c r="I48" s="854"/>
      <c r="J48" s="66"/>
      <c r="K48" s="83">
        <f t="shared" si="18"/>
        <v>6.9994681443184201E-2</v>
      </c>
      <c r="L48" s="2">
        <f>ROUND((H48)*(LEFT(M48,5)+1),0)</f>
        <v>86508</v>
      </c>
      <c r="M48" s="854" t="str">
        <f>TEXT('MYP Assumptions'!$M$65,"0.00%")&amp;", projected increase"</f>
        <v>7.00%, projected increase</v>
      </c>
      <c r="O48" s="83">
        <f t="shared" si="19"/>
        <v>7.0005086234799091E-2</v>
      </c>
      <c r="P48" s="2">
        <f>ROUND((L48)*(LEFT(Q48,5)+1),0)</f>
        <v>92564</v>
      </c>
      <c r="Q48" s="854" t="str">
        <f>TEXT('MYP Assumptions'!$M$65,"0.00%")&amp;", projected increase"</f>
        <v>7.00%, projected increase</v>
      </c>
      <c r="S48" s="83">
        <f t="shared" si="20"/>
        <v>6.9994814398686309E-2</v>
      </c>
      <c r="T48" s="2">
        <f>ROUND((P48)*(LEFT(U48,5)+1),0)</f>
        <v>99043</v>
      </c>
      <c r="U48" s="81" t="str">
        <f>TEXT('MYP Assumptions'!$M$65,"0.00%")&amp;", projected increase"</f>
        <v>7.00%, projected increase</v>
      </c>
      <c r="W48" s="83">
        <f t="shared" si="21"/>
        <v>6.9999899033753019E-2</v>
      </c>
      <c r="X48" s="2">
        <f>ROUND((T48)*(LEFT(Y48,5)+1),0)</f>
        <v>105976</v>
      </c>
      <c r="Y48" s="81" t="str">
        <f>TEXT('MYP Assumptions'!$M$65,"0.00%")&amp;", projected increase"</f>
        <v>7.00%, projected increase</v>
      </c>
      <c r="AA48" s="83">
        <f t="shared" si="22"/>
        <v>6.9996980448403412E-2</v>
      </c>
      <c r="AB48" s="2">
        <f>ROUND((X48)*(LEFT(AC48,5)+1),0)</f>
        <v>113394</v>
      </c>
      <c r="AC48" s="81" t="str">
        <f>TEXT('MYP Assumptions'!$M$65,"0.00%")&amp;", projected increase"</f>
        <v>7.00%, projected increase</v>
      </c>
    </row>
    <row r="49" spans="1:29" x14ac:dyDescent="0.25">
      <c r="A49" s="152"/>
      <c r="B49" s="939" t="s">
        <v>88</v>
      </c>
      <c r="C49" s="857" t="s">
        <v>81</v>
      </c>
      <c r="D49" s="2">
        <v>288.36</v>
      </c>
      <c r="E49" s="854" t="str">
        <f>TEXT('MYP Assumptions'!$D$59,"0.00%")&amp;", SUI rate"</f>
        <v>0.05%, SUI rate</v>
      </c>
      <c r="F49" s="2"/>
      <c r="G49" s="83">
        <f t="shared" si="17"/>
        <v>0.13053128034401437</v>
      </c>
      <c r="H49" s="2">
        <v>326</v>
      </c>
      <c r="I49" s="854" t="str">
        <f>TEXT('MYP Assumptions'!E59,"0.00%")&amp;", no rate change"</f>
        <v>0.05%, no rate change</v>
      </c>
      <c r="J49" s="66"/>
      <c r="K49" s="83">
        <f t="shared" si="18"/>
        <v>3.0674846625766872E-3</v>
      </c>
      <c r="L49" s="2">
        <f>ROUND((L41+L30)*LEFT(M49,5),0)</f>
        <v>327</v>
      </c>
      <c r="M49" s="854" t="str">
        <f>TEXT('MYP Assumptions'!F59,"0.00%")&amp;", no rate change"</f>
        <v>0.05%, no rate change</v>
      </c>
      <c r="O49" s="83">
        <f t="shared" si="19"/>
        <v>1.5290519877675841E-2</v>
      </c>
      <c r="P49" s="2">
        <f>ROUND((P41+P30)*LEFT(Q49,5),0)</f>
        <v>332</v>
      </c>
      <c r="Q49" s="854" t="str">
        <f>TEXT('MYP Assumptions'!G59,"0.00%")&amp;", no rate change"</f>
        <v>0.05%, no rate change</v>
      </c>
      <c r="S49" s="83">
        <f t="shared" si="20"/>
        <v>2.1084337349397589E-2</v>
      </c>
      <c r="T49" s="2">
        <f>ROUND((T41+T30)*LEFT(U49,5),0)</f>
        <v>339</v>
      </c>
      <c r="U49" s="81" t="str">
        <f>TEXT('MYP Assumptions'!H59,"0.00%")&amp;", no rate change"</f>
        <v>0.05%, no rate change</v>
      </c>
      <c r="W49" s="83">
        <f t="shared" si="21"/>
        <v>2.0648967551622419E-2</v>
      </c>
      <c r="X49" s="2">
        <f>ROUND((X41+X30)*LEFT(Y49,5),0)</f>
        <v>346</v>
      </c>
      <c r="Y49" s="81" t="str">
        <f>TEXT('MYP Assumptions'!I59,"0.00%")&amp;", no rate change"</f>
        <v>0.05%, no rate change</v>
      </c>
      <c r="AA49" s="83">
        <f t="shared" si="22"/>
        <v>2.023121387283237E-2</v>
      </c>
      <c r="AB49" s="2">
        <f>ROUND((AB41+AB30)*LEFT(AC49,5),0)</f>
        <v>353</v>
      </c>
      <c r="AC49" s="81" t="str">
        <f>TEXT('MYP Assumptions'!J59,"0.00%")&amp;", no rate change"</f>
        <v>0.05%, no rate change</v>
      </c>
    </row>
    <row r="50" spans="1:29" x14ac:dyDescent="0.25">
      <c r="A50" s="152"/>
      <c r="B50" s="939" t="s">
        <v>89</v>
      </c>
      <c r="C50" s="857" t="s">
        <v>82</v>
      </c>
      <c r="D50" s="2">
        <v>6339.36</v>
      </c>
      <c r="E50" s="854" t="str">
        <f>TEXT('MYP Assumptions'!$D$60,"0.00%")&amp;", W/C rate"</f>
        <v>1.10%, W/C rate</v>
      </c>
      <c r="F50" s="2"/>
      <c r="G50" s="83">
        <f t="shared" si="17"/>
        <v>8.7333737159587144E-2</v>
      </c>
      <c r="H50" s="2">
        <v>6893</v>
      </c>
      <c r="I50" s="854" t="str">
        <f>TEXT('MYP Assumptions'!E60,"0.00%")&amp;", no rate change"</f>
        <v>0.80%, no rate change</v>
      </c>
      <c r="J50" s="66"/>
      <c r="K50" s="83">
        <f t="shared" si="18"/>
        <v>-0.24024372551864209</v>
      </c>
      <c r="L50" s="2">
        <f>ROUND((L41+L30)*LEFT(M50,5),0)</f>
        <v>5237</v>
      </c>
      <c r="M50" s="854" t="str">
        <f>TEXT('MYP Assumptions'!F60,"0.00%")&amp;", no rate change"</f>
        <v>0.80%, no rate change</v>
      </c>
      <c r="O50" s="83">
        <f t="shared" si="19"/>
        <v>1.4894023295780026E-2</v>
      </c>
      <c r="P50" s="2">
        <f>ROUND((P41+P30)*LEFT(Q50,5),0)</f>
        <v>5315</v>
      </c>
      <c r="Q50" s="854" t="str">
        <f>TEXT('MYP Assumptions'!G60,"0.00%")&amp;", no rate change"</f>
        <v>0.80%, no rate change</v>
      </c>
      <c r="S50" s="83">
        <f t="shared" si="20"/>
        <v>1.9943555973659453E-2</v>
      </c>
      <c r="T50" s="2">
        <f>ROUND((T41+T30)*LEFT(U50,5),0)</f>
        <v>5421</v>
      </c>
      <c r="U50" s="81" t="str">
        <f>TEXT('MYP Assumptions'!H60,"0.00%")&amp;", no rate change"</f>
        <v>0.80%, no rate change</v>
      </c>
      <c r="W50" s="83">
        <f t="shared" si="21"/>
        <v>2.0106991330012914E-2</v>
      </c>
      <c r="X50" s="2">
        <f>ROUND((X41+X30)*LEFT(Y50,5),0)</f>
        <v>5530</v>
      </c>
      <c r="Y50" s="81" t="str">
        <f>TEXT('MYP Assumptions'!I60,"0.00%")&amp;", no rate change"</f>
        <v>0.80%, no rate change</v>
      </c>
      <c r="AA50" s="83">
        <f t="shared" si="22"/>
        <v>1.9891500904159132E-2</v>
      </c>
      <c r="AB50" s="2">
        <f>ROUND((AB41+AB30)*LEFT(AC50,5),0)</f>
        <v>5640</v>
      </c>
      <c r="AC50" s="81" t="str">
        <f>TEXT('MYP Assumptions'!J60,"0.00%")&amp;", no rate change"</f>
        <v>0.80%, no rate change</v>
      </c>
    </row>
    <row r="51" spans="1:29" x14ac:dyDescent="0.25">
      <c r="A51" s="152"/>
      <c r="B51" s="939" t="s">
        <v>91</v>
      </c>
      <c r="C51" s="857" t="s">
        <v>93</v>
      </c>
      <c r="D51" s="2">
        <f>1500+1800</f>
        <v>3300</v>
      </c>
      <c r="E51" s="863"/>
      <c r="F51" s="2"/>
      <c r="G51" s="83">
        <f t="shared" si="17"/>
        <v>0.14545454545454545</v>
      </c>
      <c r="H51" s="2">
        <f>2280+1500</f>
        <v>3780</v>
      </c>
      <c r="I51" s="854" t="s">
        <v>166</v>
      </c>
      <c r="J51" s="66"/>
      <c r="K51" s="83">
        <f t="shared" si="18"/>
        <v>0</v>
      </c>
      <c r="L51" s="2">
        <f>H51</f>
        <v>3780</v>
      </c>
      <c r="M51" s="854" t="s">
        <v>166</v>
      </c>
      <c r="O51" s="83">
        <f t="shared" si="19"/>
        <v>0</v>
      </c>
      <c r="P51" s="2">
        <f>L51</f>
        <v>3780</v>
      </c>
      <c r="Q51" s="854" t="s">
        <v>166</v>
      </c>
      <c r="S51" s="83">
        <f t="shared" si="20"/>
        <v>0</v>
      </c>
      <c r="T51" s="2">
        <f>P51</f>
        <v>3780</v>
      </c>
      <c r="U51" s="81" t="s">
        <v>166</v>
      </c>
      <c r="W51" s="83">
        <f t="shared" si="21"/>
        <v>0</v>
      </c>
      <c r="X51" s="2">
        <f>T51</f>
        <v>3780</v>
      </c>
      <c r="Y51" s="81" t="s">
        <v>166</v>
      </c>
      <c r="AA51" s="83">
        <f t="shared" si="22"/>
        <v>0</v>
      </c>
      <c r="AB51" s="2">
        <f>X51</f>
        <v>3780</v>
      </c>
      <c r="AC51" s="81" t="s">
        <v>166</v>
      </c>
    </row>
    <row r="52" spans="1:29" x14ac:dyDescent="0.25">
      <c r="A52" s="152"/>
      <c r="B52" s="939"/>
      <c r="E52" s="863"/>
      <c r="F52" s="2"/>
      <c r="G52" s="83"/>
      <c r="H52" s="2"/>
      <c r="I52" s="854"/>
      <c r="J52" s="66"/>
      <c r="K52" s="83"/>
      <c r="L52" s="2"/>
      <c r="M52" s="854"/>
      <c r="O52" s="83"/>
      <c r="Q52" s="854"/>
      <c r="S52" s="83"/>
      <c r="T52" s="2"/>
      <c r="U52" s="81"/>
      <c r="W52" s="83"/>
      <c r="X52" s="2"/>
      <c r="Y52" s="81"/>
      <c r="AA52" s="83"/>
      <c r="AB52" s="2"/>
      <c r="AC52" s="81"/>
    </row>
    <row r="53" spans="1:29" x14ac:dyDescent="0.25">
      <c r="A53" s="153"/>
      <c r="B53" s="939"/>
      <c r="D53" s="8">
        <f>SUM(D44:D52)</f>
        <v>215152.77999999997</v>
      </c>
      <c r="E53" s="863"/>
      <c r="F53" s="2"/>
      <c r="G53" s="83">
        <f t="shared" si="17"/>
        <v>8.7896702984734995E-2</v>
      </c>
      <c r="H53" s="8">
        <f>SUM(H44:H52)</f>
        <v>234064</v>
      </c>
      <c r="I53" s="1292">
        <f>+H53-D53</f>
        <v>18911.22000000003</v>
      </c>
      <c r="J53" s="29"/>
      <c r="K53" s="83">
        <f t="shared" si="18"/>
        <v>0.1296183949688974</v>
      </c>
      <c r="L53" s="8">
        <f>SUM(L44:L52)</f>
        <v>264403</v>
      </c>
      <c r="M53" s="1292">
        <f>+L53-H53</f>
        <v>30339</v>
      </c>
      <c r="O53" s="83">
        <f t="shared" si="19"/>
        <v>0.10063047696130528</v>
      </c>
      <c r="P53" s="8">
        <f>SUM(P44:P52)</f>
        <v>291010</v>
      </c>
      <c r="Q53" s="1292">
        <f>+P53-L53</f>
        <v>26607</v>
      </c>
      <c r="S53" s="83">
        <f t="shared" si="20"/>
        <v>0.10550152915707364</v>
      </c>
      <c r="T53" s="8">
        <f>SUM(T44:T52)</f>
        <v>321712</v>
      </c>
      <c r="U53" s="73"/>
      <c r="W53" s="83">
        <f t="shared" si="21"/>
        <v>6.5238474163226742E-2</v>
      </c>
      <c r="X53" s="8">
        <f>SUM(X44:X52)</f>
        <v>342700</v>
      </c>
      <c r="Y53" s="73"/>
      <c r="AA53" s="83">
        <f t="shared" si="22"/>
        <v>5.3755471257659761E-2</v>
      </c>
      <c r="AB53" s="8">
        <f>SUM(AB44:AB52)</f>
        <v>361122</v>
      </c>
      <c r="AC53" s="73"/>
    </row>
    <row r="54" spans="1:29" x14ac:dyDescent="0.25">
      <c r="A54" s="154"/>
      <c r="B54" s="939"/>
      <c r="E54" s="863"/>
      <c r="F54" s="2"/>
      <c r="H54" s="2"/>
      <c r="I54" s="871"/>
      <c r="J54" s="66"/>
      <c r="L54" s="2"/>
      <c r="M54" s="948"/>
      <c r="Q54" s="948"/>
      <c r="T54" s="2"/>
      <c r="U54" s="73"/>
      <c r="X54" s="2"/>
      <c r="Y54" s="73"/>
      <c r="AB54" s="2"/>
      <c r="AC54" s="73"/>
    </row>
    <row r="55" spans="1:29" x14ac:dyDescent="0.25">
      <c r="A55" s="153"/>
      <c r="B55" s="936" t="s">
        <v>26</v>
      </c>
      <c r="D55" s="8">
        <f>SUM(D53,D41,D30)</f>
        <v>835294.0299999998</v>
      </c>
      <c r="E55" s="863"/>
      <c r="F55" s="2"/>
      <c r="G55" s="83">
        <f>IF(D55=0,"0.00%",(H55-D55)/D55)</f>
        <v>5.2276166752921981E-2</v>
      </c>
      <c r="H55" s="8">
        <f>SUM(H53,H41,H30)</f>
        <v>878960</v>
      </c>
      <c r="I55" s="1292">
        <f>+H55-D55</f>
        <v>43665.970000000205</v>
      </c>
      <c r="J55" s="29"/>
      <c r="K55" s="83">
        <f>IF(H55=0,"0.00%",(L55-H55)/H55)</f>
        <v>4.5523118230636206E-2</v>
      </c>
      <c r="L55" s="8">
        <f>SUM(L53,L41,L30)</f>
        <v>918973</v>
      </c>
      <c r="M55" s="1292">
        <f>+L55-H55</f>
        <v>40013</v>
      </c>
      <c r="O55" s="83">
        <f>IF(L55=0,"0.00%",(P55-L55)/L55)</f>
        <v>3.9636637855519151E-2</v>
      </c>
      <c r="P55" s="8">
        <f>SUM(P53,P41,P30)</f>
        <v>955398</v>
      </c>
      <c r="Q55" s="1292">
        <f>+P55-L55</f>
        <v>36425</v>
      </c>
      <c r="S55" s="83">
        <f>IF(P55=0,"0.00%",(T55-P55)/P55)</f>
        <v>4.6043638358045549E-2</v>
      </c>
      <c r="T55" s="8">
        <f>SUM(T53,T41,T30)</f>
        <v>999388</v>
      </c>
      <c r="U55" s="73"/>
      <c r="W55" s="83">
        <f>IF(T55=0,"0.00%",(X55-T55)/T55)</f>
        <v>3.45611514246719E-2</v>
      </c>
      <c r="X55" s="8">
        <f>SUM(X53,X41,X30)</f>
        <v>1033928</v>
      </c>
      <c r="Y55" s="73"/>
      <c r="AA55" s="83">
        <f>IF(X55=0,"0.00%",(AB55-X55)/X55)</f>
        <v>3.1188825527502882E-2</v>
      </c>
      <c r="AB55" s="8">
        <f>SUM(AB53,AB41,AB30)</f>
        <v>1066175</v>
      </c>
      <c r="AC55" s="73"/>
    </row>
    <row r="56" spans="1:29" x14ac:dyDescent="0.25">
      <c r="A56" s="155"/>
      <c r="E56" s="863"/>
      <c r="F56" s="2"/>
      <c r="H56" s="2"/>
      <c r="I56" s="871"/>
      <c r="J56" s="66"/>
      <c r="L56" s="2"/>
      <c r="M56" s="948"/>
      <c r="Q56" s="948"/>
      <c r="T56" s="2"/>
      <c r="U56" s="73"/>
      <c r="X56" s="2"/>
      <c r="Y56" s="73"/>
      <c r="AB56" s="2"/>
      <c r="AC56" s="73"/>
    </row>
    <row r="57" spans="1:29" x14ac:dyDescent="0.25">
      <c r="A57" s="152"/>
      <c r="E57" s="863"/>
      <c r="F57" s="2"/>
      <c r="H57" s="2"/>
      <c r="I57" s="871"/>
      <c r="J57" s="66"/>
      <c r="L57" s="2"/>
      <c r="M57" s="948"/>
      <c r="Q57" s="948"/>
      <c r="T57" s="2"/>
      <c r="U57" s="73"/>
      <c r="X57" s="2"/>
      <c r="Y57" s="73"/>
      <c r="AB57" s="2"/>
      <c r="AC57" s="73"/>
    </row>
    <row r="58" spans="1:29" x14ac:dyDescent="0.25">
      <c r="A58" s="155"/>
      <c r="B58" s="940" t="s">
        <v>25</v>
      </c>
      <c r="C58" s="873"/>
      <c r="E58" s="863"/>
      <c r="F58" s="2"/>
      <c r="H58" s="448"/>
      <c r="I58" s="871"/>
      <c r="J58" s="66"/>
      <c r="L58" s="1048"/>
      <c r="M58" s="948"/>
      <c r="P58" s="1048"/>
      <c r="Q58" s="948"/>
      <c r="T58" s="2"/>
      <c r="U58" s="73"/>
      <c r="X58" s="2"/>
      <c r="Y58" s="73"/>
      <c r="AB58" s="2"/>
      <c r="AC58" s="73"/>
    </row>
    <row r="59" spans="1:29" x14ac:dyDescent="0.25">
      <c r="A59" s="152"/>
      <c r="B59" s="939">
        <v>4300</v>
      </c>
      <c r="C59" s="857" t="s">
        <v>319</v>
      </c>
      <c r="D59" s="2">
        <v>219171.03</v>
      </c>
      <c r="E59" s="863"/>
      <c r="F59" s="2"/>
      <c r="G59" s="83">
        <f t="shared" ref="G59:G69" si="23">IF(D59=0,"0.00%",(H59-D59)/D59)</f>
        <v>0.81402167978131057</v>
      </c>
      <c r="H59" s="2">
        <v>397581</v>
      </c>
      <c r="I59" s="871"/>
      <c r="J59" s="66"/>
      <c r="K59" s="83">
        <f t="shared" ref="K59:K69" si="24">IF(H59=0,"0.00%",(L59-H59)/H59)</f>
        <v>-0.24543677892052185</v>
      </c>
      <c r="L59" s="2">
        <v>300000</v>
      </c>
      <c r="M59" s="854"/>
      <c r="O59" s="83">
        <f t="shared" ref="O59:O69" si="25">IF(L59=0,"0.00%",(P59-L59)/L59)</f>
        <v>0</v>
      </c>
      <c r="P59" s="2">
        <f>ROUND(L59*(1-$P$58),0)</f>
        <v>300000</v>
      </c>
      <c r="Q59" s="854"/>
      <c r="S59" s="83">
        <f t="shared" ref="S59:S69" si="26">IF(P59=0,"0.00%",(T59-P59)/P59)</f>
        <v>2.7300000000000001E-2</v>
      </c>
      <c r="T59" s="2">
        <f>ROUND(P59*(LEFT(U59,5)+1),0)</f>
        <v>308190</v>
      </c>
      <c r="U59" s="81" t="str">
        <f>TEXT('MYP Assumptions'!H75,"0.00%")&amp;", CPI"</f>
        <v>2.73%, CPI</v>
      </c>
      <c r="W59" s="83">
        <f t="shared" ref="W59:W69" si="27">IF(T59=0,"0.00%",(X59-T59)/T59)</f>
        <v>2.7301340082416692E-2</v>
      </c>
      <c r="X59" s="2">
        <f>ROUND(T59*(LEFT(Y59,5)+1),0)</f>
        <v>316604</v>
      </c>
      <c r="Y59" s="81" t="str">
        <f>TEXT('MYP Assumptions'!I75,"0.00%")&amp;", CPI"</f>
        <v>2.73%, CPI</v>
      </c>
      <c r="AA59" s="83">
        <f t="shared" ref="AA59:AA69" si="28">IF(X59=0,"0.00%",(AB59-X59)/X59)</f>
        <v>2.7299086556076359E-2</v>
      </c>
      <c r="AB59" s="2">
        <f>ROUND(X59*(LEFT(AC59,5)+1),0)</f>
        <v>325247</v>
      </c>
      <c r="AC59" s="81" t="str">
        <f>TEXT('MYP Assumptions'!J75,"0.00%")&amp;", CPI"</f>
        <v>2.73%, CPI</v>
      </c>
    </row>
    <row r="60" spans="1:29" x14ac:dyDescent="0.25">
      <c r="A60" s="152"/>
      <c r="B60" s="939">
        <v>4345</v>
      </c>
      <c r="C60" s="857" t="s">
        <v>320</v>
      </c>
      <c r="D60" s="2">
        <v>9861.33</v>
      </c>
      <c r="E60" s="863"/>
      <c r="F60" s="2"/>
      <c r="G60" s="83">
        <f t="shared" si="23"/>
        <v>2.6506231918007002</v>
      </c>
      <c r="H60" s="2">
        <v>36000</v>
      </c>
      <c r="I60" s="871"/>
      <c r="J60" s="66"/>
      <c r="K60" s="83">
        <f t="shared" si="24"/>
        <v>-0.72222222222222221</v>
      </c>
      <c r="L60" s="2">
        <v>10000</v>
      </c>
      <c r="M60" s="854"/>
      <c r="O60" s="83">
        <f t="shared" si="25"/>
        <v>0</v>
      </c>
      <c r="P60" s="2">
        <f t="shared" ref="P60:P67" si="29">ROUND(L60*(1-$P$58),0)</f>
        <v>10000</v>
      </c>
      <c r="Q60" s="854"/>
      <c r="S60" s="83">
        <f t="shared" si="26"/>
        <v>2.7300000000000001E-2</v>
      </c>
      <c r="T60" s="2">
        <f t="shared" ref="T60:T68" si="30">ROUND(P60*(LEFT(U60,5)+1),0)</f>
        <v>10273</v>
      </c>
      <c r="U60" s="81" t="str">
        <f>TEXT('MYP Assumptions'!H75,"0.00%")&amp;", CPI"</f>
        <v>2.73%, CPI</v>
      </c>
      <c r="W60" s="83">
        <f t="shared" si="27"/>
        <v>2.7255913559816995E-2</v>
      </c>
      <c r="X60" s="2">
        <f t="shared" ref="X60:X68" si="31">ROUND(T60*(LEFT(Y60,5)+1),0)</f>
        <v>10553</v>
      </c>
      <c r="Y60" s="81" t="str">
        <f>TEXT('MYP Assumptions'!I75,"0.00%")&amp;", CPI"</f>
        <v>2.73%, CPI</v>
      </c>
      <c r="AA60" s="83">
        <f t="shared" si="28"/>
        <v>2.7290817776935469E-2</v>
      </c>
      <c r="AB60" s="2">
        <f t="shared" ref="AB60:AB68" si="32">ROUND(X60*(LEFT(AC60,5)+1),0)</f>
        <v>10841</v>
      </c>
      <c r="AC60" s="81" t="str">
        <f>TEXT('MYP Assumptions'!J75,"0.00%")&amp;", CPI"</f>
        <v>2.73%, CPI</v>
      </c>
    </row>
    <row r="61" spans="1:29" x14ac:dyDescent="0.25">
      <c r="A61" s="152"/>
      <c r="B61" s="939">
        <v>4347</v>
      </c>
      <c r="C61" s="857" t="s">
        <v>321</v>
      </c>
      <c r="D61" s="2">
        <v>6638.46</v>
      </c>
      <c r="E61" s="863"/>
      <c r="F61" s="2"/>
      <c r="G61" s="83">
        <f t="shared" si="23"/>
        <v>-9.6175920318869138E-2</v>
      </c>
      <c r="H61" s="2">
        <v>6000</v>
      </c>
      <c r="I61" s="871"/>
      <c r="J61" s="66"/>
      <c r="K61" s="83">
        <f t="shared" si="24"/>
        <v>0</v>
      </c>
      <c r="L61" s="2">
        <f t="shared" ref="L61:L67" si="33">ROUND(H61*(1-$L$58),0)</f>
        <v>6000</v>
      </c>
      <c r="M61" s="854"/>
      <c r="O61" s="83">
        <f t="shared" si="25"/>
        <v>0</v>
      </c>
      <c r="P61" s="2">
        <f t="shared" si="29"/>
        <v>6000</v>
      </c>
      <c r="Q61" s="854"/>
      <c r="S61" s="83">
        <f t="shared" si="26"/>
        <v>2.7333333333333334E-2</v>
      </c>
      <c r="T61" s="2">
        <f t="shared" si="30"/>
        <v>6164</v>
      </c>
      <c r="U61" s="81" t="str">
        <f>TEXT('MYP Assumptions'!H75,"0.00%")&amp;", CPI"</f>
        <v>2.73%, CPI</v>
      </c>
      <c r="W61" s="83">
        <f t="shared" si="27"/>
        <v>2.7255029201817001E-2</v>
      </c>
      <c r="X61" s="2">
        <f t="shared" si="31"/>
        <v>6332</v>
      </c>
      <c r="Y61" s="81" t="str">
        <f>TEXT('MYP Assumptions'!I75,"0.00%")&amp;", CPI"</f>
        <v>2.73%, CPI</v>
      </c>
      <c r="AA61" s="83">
        <f t="shared" si="28"/>
        <v>2.7321541377132028E-2</v>
      </c>
      <c r="AB61" s="2">
        <f t="shared" si="32"/>
        <v>6505</v>
      </c>
      <c r="AC61" s="81" t="str">
        <f>TEXT('MYP Assumptions'!J75,"0.00%")&amp;", CPI"</f>
        <v>2.73%, CPI</v>
      </c>
    </row>
    <row r="62" spans="1:29" x14ac:dyDescent="0.25">
      <c r="A62" s="152"/>
      <c r="B62" s="939">
        <v>4348</v>
      </c>
      <c r="C62" s="857" t="s">
        <v>322</v>
      </c>
      <c r="D62" s="2">
        <v>0</v>
      </c>
      <c r="E62" s="863"/>
      <c r="F62" s="2"/>
      <c r="G62" s="83" t="str">
        <f t="shared" si="23"/>
        <v>0.00%</v>
      </c>
      <c r="H62" s="2">
        <v>600</v>
      </c>
      <c r="I62" s="871"/>
      <c r="J62" s="66"/>
      <c r="K62" s="83">
        <f t="shared" si="24"/>
        <v>0</v>
      </c>
      <c r="L62" s="2">
        <f t="shared" si="33"/>
        <v>600</v>
      </c>
      <c r="M62" s="854"/>
      <c r="O62" s="83">
        <f t="shared" si="25"/>
        <v>0</v>
      </c>
      <c r="P62" s="2">
        <f t="shared" si="29"/>
        <v>600</v>
      </c>
      <c r="Q62" s="854"/>
      <c r="S62" s="83">
        <f t="shared" si="26"/>
        <v>2.6666666666666668E-2</v>
      </c>
      <c r="T62" s="2">
        <f t="shared" si="30"/>
        <v>616</v>
      </c>
      <c r="U62" s="81" t="str">
        <f>TEXT('MYP Assumptions'!H75,"0.00%")&amp;", CPI"</f>
        <v>2.73%, CPI</v>
      </c>
      <c r="W62" s="83">
        <f t="shared" si="27"/>
        <v>2.7597402597402596E-2</v>
      </c>
      <c r="X62" s="2">
        <f t="shared" si="31"/>
        <v>633</v>
      </c>
      <c r="Y62" s="81" t="str">
        <f>TEXT('MYP Assumptions'!I75,"0.00%")&amp;", CPI"</f>
        <v>2.73%, CPI</v>
      </c>
      <c r="AA62" s="83">
        <f t="shared" si="28"/>
        <v>2.6856240126382307E-2</v>
      </c>
      <c r="AB62" s="2">
        <f t="shared" si="32"/>
        <v>650</v>
      </c>
      <c r="AC62" s="81" t="str">
        <f>TEXT('MYP Assumptions'!J75,"0.00%")&amp;", CPI"</f>
        <v>2.73%, CPI</v>
      </c>
    </row>
    <row r="63" spans="1:29" x14ac:dyDescent="0.25">
      <c r="A63" s="152"/>
      <c r="B63" s="939">
        <v>4349</v>
      </c>
      <c r="C63" s="857" t="s">
        <v>323</v>
      </c>
      <c r="D63" s="2">
        <v>4166.3100000000004</v>
      </c>
      <c r="E63" s="863"/>
      <c r="F63" s="2"/>
      <c r="G63" s="83">
        <f t="shared" si="23"/>
        <v>1.1601849118284524</v>
      </c>
      <c r="H63" s="2">
        <v>9000</v>
      </c>
      <c r="I63" s="871"/>
      <c r="J63" s="66"/>
      <c r="K63" s="83">
        <f t="shared" si="24"/>
        <v>0</v>
      </c>
      <c r="L63" s="2">
        <f t="shared" si="33"/>
        <v>9000</v>
      </c>
      <c r="M63" s="854"/>
      <c r="O63" s="83">
        <f t="shared" si="25"/>
        <v>0</v>
      </c>
      <c r="P63" s="2">
        <f t="shared" si="29"/>
        <v>9000</v>
      </c>
      <c r="Q63" s="854"/>
      <c r="S63" s="83">
        <f t="shared" si="26"/>
        <v>2.7333333333333334E-2</v>
      </c>
      <c r="T63" s="2">
        <f t="shared" si="30"/>
        <v>9246</v>
      </c>
      <c r="U63" s="81" t="str">
        <f>TEXT('MYP Assumptions'!H75,"0.00%")&amp;", CPI"</f>
        <v>2.73%, CPI</v>
      </c>
      <c r="W63" s="83">
        <f t="shared" si="27"/>
        <v>2.7255029201817001E-2</v>
      </c>
      <c r="X63" s="2">
        <f t="shared" si="31"/>
        <v>9498</v>
      </c>
      <c r="Y63" s="81" t="str">
        <f>TEXT('MYP Assumptions'!I75,"0.00%")&amp;", CPI"</f>
        <v>2.73%, CPI</v>
      </c>
      <c r="AA63" s="83">
        <f t="shared" si="28"/>
        <v>2.7268898715519057E-2</v>
      </c>
      <c r="AB63" s="2">
        <f t="shared" si="32"/>
        <v>9757</v>
      </c>
      <c r="AC63" s="81" t="str">
        <f>TEXT('MYP Assumptions'!J75,"0.00%")&amp;", CPI"</f>
        <v>2.73%, CPI</v>
      </c>
    </row>
    <row r="64" spans="1:29" x14ac:dyDescent="0.25">
      <c r="A64" s="152"/>
      <c r="B64" s="939">
        <v>4352</v>
      </c>
      <c r="C64" s="857" t="s">
        <v>324</v>
      </c>
      <c r="D64" s="2">
        <f>903.11+334.88</f>
        <v>1237.99</v>
      </c>
      <c r="E64" s="863"/>
      <c r="F64" s="2"/>
      <c r="G64" s="83">
        <f t="shared" si="23"/>
        <v>-0.19223903262546549</v>
      </c>
      <c r="H64" s="2">
        <v>1000</v>
      </c>
      <c r="I64" s="871"/>
      <c r="J64" s="66"/>
      <c r="K64" s="83">
        <f t="shared" si="24"/>
        <v>-0.5</v>
      </c>
      <c r="L64" s="2">
        <v>500</v>
      </c>
      <c r="M64" s="854"/>
      <c r="O64" s="83">
        <f t="shared" si="25"/>
        <v>0</v>
      </c>
      <c r="P64" s="2">
        <f t="shared" si="29"/>
        <v>500</v>
      </c>
      <c r="Q64" s="854"/>
      <c r="S64" s="83">
        <f t="shared" si="26"/>
        <v>2.8000000000000001E-2</v>
      </c>
      <c r="T64" s="2">
        <f t="shared" si="30"/>
        <v>514</v>
      </c>
      <c r="U64" s="81" t="str">
        <f>TEXT('MYP Assumptions'!H75,"0.00%")&amp;", CPI"</f>
        <v>2.73%, CPI</v>
      </c>
      <c r="W64" s="83">
        <f t="shared" si="27"/>
        <v>2.7237354085603113E-2</v>
      </c>
      <c r="X64" s="2">
        <f t="shared" si="31"/>
        <v>528</v>
      </c>
      <c r="Y64" s="81" t="str">
        <f>TEXT('MYP Assumptions'!I75,"0.00%")&amp;", CPI"</f>
        <v>2.73%, CPI</v>
      </c>
      <c r="AA64" s="83">
        <f t="shared" si="28"/>
        <v>2.6515151515151516E-2</v>
      </c>
      <c r="AB64" s="2">
        <f t="shared" si="32"/>
        <v>542</v>
      </c>
      <c r="AC64" s="81" t="str">
        <f>TEXT('MYP Assumptions'!J75,"0.00%")&amp;", CPI"</f>
        <v>2.73%, CPI</v>
      </c>
    </row>
    <row r="65" spans="1:29" x14ac:dyDescent="0.25">
      <c r="A65" s="152"/>
      <c r="B65" s="939">
        <v>4354</v>
      </c>
      <c r="C65" s="941" t="s">
        <v>325</v>
      </c>
      <c r="D65" s="2">
        <v>436.87</v>
      </c>
      <c r="E65" s="863"/>
      <c r="F65" s="2"/>
      <c r="G65" s="83">
        <f t="shared" si="23"/>
        <v>3.8069219676333921</v>
      </c>
      <c r="H65" s="2">
        <v>2100</v>
      </c>
      <c r="I65" s="871"/>
      <c r="J65" s="66"/>
      <c r="K65" s="83">
        <f t="shared" ref="K65:K67" si="34">IF(H65=0,"0.00%",(L65-H65)/H65)</f>
        <v>-0.2857142857142857</v>
      </c>
      <c r="L65" s="2">
        <v>1500</v>
      </c>
      <c r="M65" s="854"/>
      <c r="O65" s="83">
        <f t="shared" ref="O65:O67" si="35">IF(L65=0,"0.00%",(P65-L65)/L65)</f>
        <v>0</v>
      </c>
      <c r="P65" s="2">
        <f t="shared" si="29"/>
        <v>1500</v>
      </c>
      <c r="Q65" s="854"/>
      <c r="S65" s="83"/>
      <c r="T65" s="2"/>
      <c r="U65" s="81"/>
      <c r="W65" s="83"/>
      <c r="X65" s="2"/>
      <c r="Y65" s="81"/>
      <c r="AA65" s="83"/>
      <c r="AB65" s="2"/>
      <c r="AC65" s="81"/>
    </row>
    <row r="66" spans="1:29" x14ac:dyDescent="0.25">
      <c r="A66" s="152"/>
      <c r="B66" s="939">
        <v>4400</v>
      </c>
      <c r="C66" s="857" t="s">
        <v>326</v>
      </c>
      <c r="D66" s="2">
        <v>13122.12</v>
      </c>
      <c r="E66" s="863"/>
      <c r="F66" s="2"/>
      <c r="G66" s="83">
        <f t="shared" si="23"/>
        <v>0.67190972190469211</v>
      </c>
      <c r="H66" s="2">
        <v>21939</v>
      </c>
      <c r="I66" s="871"/>
      <c r="J66" s="66"/>
      <c r="K66" s="83">
        <f t="shared" si="34"/>
        <v>-0.31628606591002323</v>
      </c>
      <c r="L66" s="2">
        <v>15000</v>
      </c>
      <c r="M66" s="854"/>
      <c r="O66" s="83">
        <f t="shared" si="35"/>
        <v>0</v>
      </c>
      <c r="P66" s="2">
        <f t="shared" si="29"/>
        <v>15000</v>
      </c>
      <c r="Q66" s="854"/>
      <c r="S66" s="83"/>
      <c r="T66" s="2"/>
      <c r="U66" s="81"/>
      <c r="W66" s="83"/>
      <c r="X66" s="2"/>
      <c r="Y66" s="81"/>
      <c r="AA66" s="83"/>
      <c r="AB66" s="2"/>
      <c r="AC66" s="81"/>
    </row>
    <row r="67" spans="1:29" x14ac:dyDescent="0.25">
      <c r="A67" s="152"/>
      <c r="B67" s="939"/>
      <c r="D67" s="2">
        <v>0</v>
      </c>
      <c r="E67" s="863"/>
      <c r="F67" s="2"/>
      <c r="G67" s="83" t="str">
        <f t="shared" si="23"/>
        <v>0.00%</v>
      </c>
      <c r="H67" s="2">
        <v>0</v>
      </c>
      <c r="I67" s="854"/>
      <c r="J67" s="66"/>
      <c r="K67" s="83" t="str">
        <f t="shared" si="34"/>
        <v>0.00%</v>
      </c>
      <c r="L67" s="2">
        <f t="shared" si="33"/>
        <v>0</v>
      </c>
      <c r="M67" s="854"/>
      <c r="O67" s="83" t="str">
        <f t="shared" si="35"/>
        <v>0.00%</v>
      </c>
      <c r="P67" s="2">
        <f t="shared" si="29"/>
        <v>0</v>
      </c>
      <c r="Q67" s="854"/>
      <c r="S67" s="83"/>
      <c r="T67" s="2"/>
      <c r="U67" s="81"/>
      <c r="W67" s="83"/>
      <c r="X67" s="2"/>
      <c r="Y67" s="81"/>
      <c r="AA67" s="83"/>
      <c r="AB67" s="2"/>
      <c r="AC67" s="81"/>
    </row>
    <row r="68" spans="1:29" hidden="1" x14ac:dyDescent="0.25">
      <c r="A68" s="152"/>
      <c r="B68" s="939"/>
      <c r="C68" s="941"/>
      <c r="D68" s="2">
        <v>0</v>
      </c>
      <c r="E68" s="863"/>
      <c r="F68" s="2"/>
      <c r="G68" s="83" t="str">
        <f t="shared" si="23"/>
        <v>0.00%</v>
      </c>
      <c r="H68" s="2">
        <f t="shared" ref="H68" si="36">ROUND(D68*(LEFT(I68,5)+1),0)</f>
        <v>0</v>
      </c>
      <c r="I68" s="854" t="str">
        <f>TEXT('MYP Assumptions'!$E$75,"0.00%")&amp;", CPI"</f>
        <v>3.42%, CPI</v>
      </c>
      <c r="J68" s="66"/>
      <c r="K68" s="83" t="str">
        <f t="shared" si="24"/>
        <v>0.00%</v>
      </c>
      <c r="L68" s="2">
        <f t="shared" ref="L68" si="37">ROUND(H68*(LEFT(M68,5)+1),0)</f>
        <v>0</v>
      </c>
      <c r="M68" s="854" t="str">
        <f>TEXT('MYP Assumptions'!F75,"0.00%")&amp;", CPI"</f>
        <v>3.35%, CPI</v>
      </c>
      <c r="O68" s="83" t="str">
        <f t="shared" si="25"/>
        <v>0.00%</v>
      </c>
      <c r="P68" s="2">
        <f t="shared" ref="P68" si="38">ROUND(L68*(LEFT(Q68,5)+1),0)</f>
        <v>0</v>
      </c>
      <c r="Q68" s="854" t="str">
        <f>TEXT('MYP Assumptions'!G75,"0.00%")&amp;", CPI"</f>
        <v>3.02%, CPI</v>
      </c>
      <c r="S68" s="83" t="str">
        <f t="shared" si="26"/>
        <v>0.00%</v>
      </c>
      <c r="T68" s="2">
        <f t="shared" si="30"/>
        <v>0</v>
      </c>
      <c r="U68" s="81" t="str">
        <f>TEXT('MYP Assumptions'!H75,"0.00%")&amp;", CPI"</f>
        <v>2.73%, CPI</v>
      </c>
      <c r="W68" s="83" t="str">
        <f t="shared" si="27"/>
        <v>0.00%</v>
      </c>
      <c r="X68" s="2">
        <f t="shared" si="31"/>
        <v>0</v>
      </c>
      <c r="Y68" s="81" t="str">
        <f>TEXT('MYP Assumptions'!I75,"0.00%")&amp;", CPI"</f>
        <v>2.73%, CPI</v>
      </c>
      <c r="AA68" s="83" t="str">
        <f t="shared" si="28"/>
        <v>0.00%</v>
      </c>
      <c r="AB68" s="2">
        <f t="shared" si="32"/>
        <v>0</v>
      </c>
      <c r="AC68" s="81" t="str">
        <f>TEXT('MYP Assumptions'!J75,"0.00%")&amp;", CPI"</f>
        <v>2.73%, CPI</v>
      </c>
    </row>
    <row r="69" spans="1:29" x14ac:dyDescent="0.25">
      <c r="A69" s="153"/>
      <c r="B69" s="939"/>
      <c r="D69" s="8">
        <f>SUM(D59:D68)</f>
        <v>254634.10999999996</v>
      </c>
      <c r="E69" s="863"/>
      <c r="F69" s="2"/>
      <c r="G69" s="83">
        <f t="shared" si="23"/>
        <v>0.86235850334426944</v>
      </c>
      <c r="H69" s="8">
        <f>SUM(H59:H68)</f>
        <v>474220</v>
      </c>
      <c r="I69" s="1292">
        <f>+H69-D69</f>
        <v>219585.89000000004</v>
      </c>
      <c r="J69" s="29"/>
      <c r="K69" s="83">
        <f t="shared" si="24"/>
        <v>-0.27755050398549197</v>
      </c>
      <c r="L69" s="8">
        <f>SUM(L59:L68)</f>
        <v>342600</v>
      </c>
      <c r="M69" s="1292">
        <f>+L69-H69</f>
        <v>-131620</v>
      </c>
      <c r="O69" s="83">
        <f t="shared" si="25"/>
        <v>0</v>
      </c>
      <c r="P69" s="8">
        <f>SUM(P59:P68)</f>
        <v>342600</v>
      </c>
      <c r="Q69" s="1292">
        <f>+P69-L69</f>
        <v>0</v>
      </c>
      <c r="S69" s="83">
        <f t="shared" si="26"/>
        <v>-2.2174547577349678E-2</v>
      </c>
      <c r="T69" s="8">
        <f>SUM(T59:T68)</f>
        <v>335003</v>
      </c>
      <c r="U69" s="73"/>
      <c r="W69" s="83">
        <f t="shared" si="27"/>
        <v>2.7298263000629847E-2</v>
      </c>
      <c r="X69" s="8">
        <f>SUM(X59:X68)</f>
        <v>344148</v>
      </c>
      <c r="Y69" s="73"/>
      <c r="AA69" s="83">
        <f t="shared" si="28"/>
        <v>2.7296395736717924E-2</v>
      </c>
      <c r="AB69" s="8">
        <f>SUM(AB59:AB68)</f>
        <v>353542</v>
      </c>
      <c r="AC69" s="73"/>
    </row>
    <row r="70" spans="1:29" x14ac:dyDescent="0.25">
      <c r="A70" s="152"/>
      <c r="E70" s="863"/>
      <c r="F70" s="2"/>
      <c r="H70" s="2"/>
      <c r="I70" s="871"/>
      <c r="J70" s="66"/>
      <c r="L70" s="2"/>
      <c r="M70" s="948"/>
      <c r="Q70" s="948"/>
      <c r="T70" s="2"/>
      <c r="U70" s="73"/>
      <c r="X70" s="2"/>
      <c r="Y70" s="73"/>
      <c r="AB70" s="2"/>
      <c r="AC70" s="73"/>
    </row>
    <row r="71" spans="1:29" s="4" customFormat="1" x14ac:dyDescent="0.25">
      <c r="A71" s="150"/>
      <c r="B71" s="936" t="s">
        <v>16</v>
      </c>
      <c r="C71" s="873"/>
      <c r="D71" s="6"/>
      <c r="E71" s="864"/>
      <c r="F71" s="6"/>
      <c r="G71" s="373"/>
      <c r="H71" s="448"/>
      <c r="I71" s="871"/>
      <c r="J71" s="58"/>
      <c r="K71" s="380"/>
      <c r="L71" s="6"/>
      <c r="M71" s="950"/>
      <c r="O71" s="380"/>
      <c r="P71" s="6"/>
      <c r="Q71" s="950"/>
      <c r="R71" s="111"/>
      <c r="U71" s="71"/>
      <c r="Y71" s="71"/>
      <c r="AC71" s="71"/>
    </row>
    <row r="72" spans="1:29" x14ac:dyDescent="0.25">
      <c r="A72" s="152"/>
      <c r="B72" s="939">
        <v>5213</v>
      </c>
      <c r="C72" s="857" t="s">
        <v>258</v>
      </c>
      <c r="D72" s="2">
        <v>12279.69</v>
      </c>
      <c r="E72" s="863"/>
      <c r="F72" s="2"/>
      <c r="G72" s="83">
        <f t="shared" ref="G72:G77" si="39">IF(D72=0,"0.00%",(H72-D72)/D72)</f>
        <v>-2.2776633612086337E-2</v>
      </c>
      <c r="H72" s="2">
        <v>12000</v>
      </c>
      <c r="I72" s="871"/>
      <c r="J72" s="66"/>
      <c r="K72" s="83">
        <f t="shared" ref="K72:K83" si="40">IF(H72=0,"0.00%",(L72-H72)/H72)</f>
        <v>-0.58333333333333337</v>
      </c>
      <c r="L72" s="2">
        <v>5000</v>
      </c>
      <c r="M72" s="854"/>
      <c r="O72" s="83">
        <f t="shared" ref="O72:O89" si="41">IF(L72=0,"0.00%",(P72-L72)/L72)</f>
        <v>0</v>
      </c>
      <c r="P72" s="2">
        <f t="shared" ref="P72:P88" si="42">ROUND(L72*(1-$P$58),0)</f>
        <v>5000</v>
      </c>
      <c r="Q72" s="854"/>
      <c r="S72" s="83">
        <f t="shared" ref="S72:S89" si="43">IF(P72=0,"0.00%",(T72-P72)/P72)</f>
        <v>2.7400000000000001E-2</v>
      </c>
      <c r="T72" s="2">
        <f>ROUND(P72*(LEFT(U72,5)+1),0)</f>
        <v>5137</v>
      </c>
      <c r="U72" s="81" t="str">
        <f>TEXT('MYP Assumptions'!H75,"0.00%")&amp;", CPI"</f>
        <v>2.73%, CPI</v>
      </c>
      <c r="W72" s="83">
        <f t="shared" ref="W72:W89" si="44">IF(T72=0,"0.00%",(X72-T72)/T72)</f>
        <v>2.7253260657971578E-2</v>
      </c>
      <c r="X72" s="2">
        <f>ROUND(T72*(LEFT(Y72,5)+1),0)</f>
        <v>5277</v>
      </c>
      <c r="Y72" s="81" t="str">
        <f>TEXT('MYP Assumptions'!I75,"0.00%")&amp;", CPI"</f>
        <v>2.73%, CPI</v>
      </c>
      <c r="AA72" s="83">
        <f t="shared" ref="AA72:AA89" si="45">IF(X72=0,"0.00%",(AB72-X72)/X72)</f>
        <v>2.7288231949971573E-2</v>
      </c>
      <c r="AB72" s="2">
        <f>ROUND(X72*(LEFT(AC72,5)+1),0)</f>
        <v>5421</v>
      </c>
      <c r="AC72" s="81" t="str">
        <f>TEXT('MYP Assumptions'!J75,"0.00%")&amp;", CPI"</f>
        <v>2.73%, CPI</v>
      </c>
    </row>
    <row r="73" spans="1:29" x14ac:dyDescent="0.25">
      <c r="A73" s="152"/>
      <c r="B73" s="939">
        <v>5310</v>
      </c>
      <c r="C73" s="857" t="s">
        <v>12</v>
      </c>
      <c r="D73" s="2">
        <v>691.33</v>
      </c>
      <c r="E73" s="863"/>
      <c r="F73" s="2"/>
      <c r="G73" s="83">
        <f t="shared" si="39"/>
        <v>0.44648720582066442</v>
      </c>
      <c r="H73" s="2">
        <v>1000</v>
      </c>
      <c r="I73" s="871"/>
      <c r="J73" s="66"/>
      <c r="K73" s="83">
        <f t="shared" si="40"/>
        <v>0</v>
      </c>
      <c r="L73" s="2">
        <f>+H73</f>
        <v>1000</v>
      </c>
      <c r="M73" s="854"/>
      <c r="O73" s="83">
        <f t="shared" si="41"/>
        <v>0</v>
      </c>
      <c r="P73" s="2">
        <f t="shared" si="42"/>
        <v>1000</v>
      </c>
      <c r="Q73" s="854"/>
      <c r="S73" s="83">
        <f t="shared" si="43"/>
        <v>2.7E-2</v>
      </c>
      <c r="T73" s="2">
        <f t="shared" ref="T73:T88" si="46">ROUND(P73*(LEFT(U73,5)+1),0)</f>
        <v>1027</v>
      </c>
      <c r="U73" s="81" t="str">
        <f>TEXT('MYP Assumptions'!H75,"0.00%")&amp;", CPI"</f>
        <v>2.73%, CPI</v>
      </c>
      <c r="W73" s="83">
        <f t="shared" si="44"/>
        <v>2.7263875365141188E-2</v>
      </c>
      <c r="X73" s="2">
        <f t="shared" ref="X73:X88" si="47">ROUND(T73*(LEFT(Y73,5)+1),0)</f>
        <v>1055</v>
      </c>
      <c r="Y73" s="81" t="str">
        <f>TEXT('MYP Assumptions'!I75,"0.00%")&amp;", CPI"</f>
        <v>2.73%, CPI</v>
      </c>
      <c r="AA73" s="83">
        <f t="shared" si="45"/>
        <v>2.7488151658767772E-2</v>
      </c>
      <c r="AB73" s="2">
        <f t="shared" ref="AB73:AB88" si="48">ROUND(X73*(LEFT(AC73,5)+1),0)</f>
        <v>1084</v>
      </c>
      <c r="AC73" s="81" t="str">
        <f>TEXT('MYP Assumptions'!J75,"0.00%")&amp;", CPI"</f>
        <v>2.73%, CPI</v>
      </c>
    </row>
    <row r="74" spans="1:29" x14ac:dyDescent="0.25">
      <c r="A74" s="152"/>
      <c r="B74" s="939">
        <v>5504</v>
      </c>
      <c r="C74" s="857" t="s">
        <v>327</v>
      </c>
      <c r="D74" s="2">
        <v>6362.59</v>
      </c>
      <c r="E74" s="863"/>
      <c r="F74" s="2"/>
      <c r="G74" s="83">
        <f t="shared" si="39"/>
        <v>0.49310265159314048</v>
      </c>
      <c r="H74" s="2">
        <v>9500</v>
      </c>
      <c r="I74" s="871"/>
      <c r="J74" s="66"/>
      <c r="K74" s="83">
        <f t="shared" si="40"/>
        <v>0</v>
      </c>
      <c r="L74" s="2">
        <f t="shared" ref="L74:L88" si="49">+H74</f>
        <v>9500</v>
      </c>
      <c r="M74" s="854"/>
      <c r="O74" s="83">
        <f t="shared" si="41"/>
        <v>0</v>
      </c>
      <c r="P74" s="2">
        <f t="shared" si="42"/>
        <v>9500</v>
      </c>
      <c r="Q74" s="854"/>
      <c r="S74" s="83">
        <f t="shared" si="43"/>
        <v>2.7263157894736843E-2</v>
      </c>
      <c r="T74" s="2">
        <f t="shared" si="46"/>
        <v>9759</v>
      </c>
      <c r="U74" s="81" t="str">
        <f>TEXT('MYP Assumptions'!H75,"0.00%")&amp;", CPI"</f>
        <v>2.73%, CPI</v>
      </c>
      <c r="W74" s="83">
        <f t="shared" si="44"/>
        <v>2.7256891074905216E-2</v>
      </c>
      <c r="X74" s="2">
        <f t="shared" si="47"/>
        <v>10025</v>
      </c>
      <c r="Y74" s="81" t="str">
        <f>TEXT('MYP Assumptions'!I75,"0.00%")&amp;", CPI"</f>
        <v>2.73%, CPI</v>
      </c>
      <c r="AA74" s="83">
        <f t="shared" si="45"/>
        <v>2.7331670822942643E-2</v>
      </c>
      <c r="AB74" s="2">
        <f t="shared" si="48"/>
        <v>10299</v>
      </c>
      <c r="AC74" s="81" t="str">
        <f>TEXT('MYP Assumptions'!J75,"0.00%")&amp;", CPI"</f>
        <v>2.73%, CPI</v>
      </c>
    </row>
    <row r="75" spans="1:29" x14ac:dyDescent="0.25">
      <c r="A75" s="152"/>
      <c r="B75" s="939">
        <v>5508</v>
      </c>
      <c r="C75" s="857" t="s">
        <v>328</v>
      </c>
      <c r="D75" s="2">
        <v>9374.39</v>
      </c>
      <c r="E75" s="863"/>
      <c r="F75" s="2"/>
      <c r="G75" s="83">
        <f t="shared" si="39"/>
        <v>-0.12527641798559688</v>
      </c>
      <c r="H75" s="2">
        <v>8200</v>
      </c>
      <c r="I75" s="871"/>
      <c r="J75" s="66"/>
      <c r="K75" s="83">
        <f t="shared" si="40"/>
        <v>0</v>
      </c>
      <c r="L75" s="2">
        <f t="shared" si="49"/>
        <v>8200</v>
      </c>
      <c r="M75" s="854"/>
      <c r="O75" s="83">
        <f t="shared" si="41"/>
        <v>0</v>
      </c>
      <c r="P75" s="2">
        <f t="shared" si="42"/>
        <v>8200</v>
      </c>
      <c r="Q75" s="854"/>
      <c r="S75" s="83">
        <f t="shared" si="43"/>
        <v>2.7317073170731707E-2</v>
      </c>
      <c r="T75" s="2">
        <f t="shared" si="46"/>
        <v>8424</v>
      </c>
      <c r="U75" s="81" t="str">
        <f>TEXT('MYP Assumptions'!H75,"0.00%")&amp;", CPI"</f>
        <v>2.73%, CPI</v>
      </c>
      <c r="W75" s="83">
        <f t="shared" si="44"/>
        <v>2.7302943969610638E-2</v>
      </c>
      <c r="X75" s="2">
        <f t="shared" si="47"/>
        <v>8654</v>
      </c>
      <c r="Y75" s="81" t="str">
        <f>TEXT('MYP Assumptions'!I75,"0.00%")&amp;", CPI"</f>
        <v>2.73%, CPI</v>
      </c>
      <c r="AA75" s="83">
        <f t="shared" si="45"/>
        <v>2.727062629997689E-2</v>
      </c>
      <c r="AB75" s="2">
        <f t="shared" si="48"/>
        <v>8890</v>
      </c>
      <c r="AC75" s="81" t="str">
        <f>TEXT('MYP Assumptions'!J75,"0.00%")&amp;", CPI"</f>
        <v>2.73%, CPI</v>
      </c>
    </row>
    <row r="76" spans="1:29" x14ac:dyDescent="0.25">
      <c r="A76" s="152"/>
      <c r="B76" s="939">
        <v>5600</v>
      </c>
      <c r="C76" s="857" t="s">
        <v>329</v>
      </c>
      <c r="D76" s="2">
        <v>947127.64</v>
      </c>
      <c r="E76" s="863"/>
      <c r="F76" s="2"/>
      <c r="G76" s="83">
        <f t="shared" si="39"/>
        <v>0.67876950566029304</v>
      </c>
      <c r="H76" s="2">
        <v>1590009</v>
      </c>
      <c r="I76" s="871"/>
      <c r="J76" s="66"/>
      <c r="K76" s="83">
        <f t="shared" si="40"/>
        <v>-0.37107274235554644</v>
      </c>
      <c r="L76" s="2">
        <v>1000000</v>
      </c>
      <c r="M76" s="854"/>
      <c r="O76" s="83">
        <f t="shared" si="41"/>
        <v>0</v>
      </c>
      <c r="P76" s="2">
        <f t="shared" si="42"/>
        <v>1000000</v>
      </c>
      <c r="Q76" s="854"/>
      <c r="S76" s="83">
        <f t="shared" si="43"/>
        <v>2.7300000000000001E-2</v>
      </c>
      <c r="T76" s="2">
        <f t="shared" si="46"/>
        <v>1027300</v>
      </c>
      <c r="U76" s="81" t="str">
        <f>TEXT('MYP Assumptions'!H75,"0.00%")&amp;", CPI"</f>
        <v>2.73%, CPI</v>
      </c>
      <c r="W76" s="83">
        <f t="shared" si="44"/>
        <v>2.729971770660956E-2</v>
      </c>
      <c r="X76" s="2">
        <f t="shared" si="47"/>
        <v>1055345</v>
      </c>
      <c r="Y76" s="81" t="str">
        <f>TEXT('MYP Assumptions'!I75,"0.00%")&amp;", CPI"</f>
        <v>2.73%, CPI</v>
      </c>
      <c r="AA76" s="83">
        <f t="shared" si="45"/>
        <v>2.7300077225930856E-2</v>
      </c>
      <c r="AB76" s="2">
        <f t="shared" si="48"/>
        <v>1084156</v>
      </c>
      <c r="AC76" s="81" t="str">
        <f>TEXT('MYP Assumptions'!J75,"0.00%")&amp;", CPI"</f>
        <v>2.73%, CPI</v>
      </c>
    </row>
    <row r="77" spans="1:29" x14ac:dyDescent="0.25">
      <c r="A77" s="152"/>
      <c r="B77" s="939">
        <v>5601</v>
      </c>
      <c r="C77" s="857" t="s">
        <v>331</v>
      </c>
      <c r="D77" s="2">
        <v>2583.6799999999998</v>
      </c>
      <c r="E77" s="863"/>
      <c r="F77" s="2"/>
      <c r="G77" s="83">
        <f t="shared" si="39"/>
        <v>2.0963586821897451</v>
      </c>
      <c r="H77" s="2">
        <v>8000</v>
      </c>
      <c r="I77" s="871"/>
      <c r="J77" s="66"/>
      <c r="K77" s="83">
        <f t="shared" si="40"/>
        <v>-0.25</v>
      </c>
      <c r="L77" s="2">
        <v>6000</v>
      </c>
      <c r="M77" s="854"/>
      <c r="O77" s="83">
        <f t="shared" si="41"/>
        <v>0</v>
      </c>
      <c r="P77" s="2">
        <f t="shared" si="42"/>
        <v>6000</v>
      </c>
      <c r="Q77" s="854"/>
      <c r="S77" s="83">
        <f t="shared" si="43"/>
        <v>2.7333333333333334E-2</v>
      </c>
      <c r="T77" s="2">
        <f t="shared" si="46"/>
        <v>6164</v>
      </c>
      <c r="U77" s="81" t="str">
        <f>TEXT('MYP Assumptions'!H75,"0.00%")&amp;", CPI"</f>
        <v>2.73%, CPI</v>
      </c>
      <c r="W77" s="83">
        <f t="shared" si="44"/>
        <v>2.7255029201817001E-2</v>
      </c>
      <c r="X77" s="2">
        <f t="shared" si="47"/>
        <v>6332</v>
      </c>
      <c r="Y77" s="81" t="str">
        <f>TEXT('MYP Assumptions'!I75,"0.00%")&amp;", CPI"</f>
        <v>2.73%, CPI</v>
      </c>
      <c r="AA77" s="83">
        <f t="shared" si="45"/>
        <v>2.7321541377132028E-2</v>
      </c>
      <c r="AB77" s="2">
        <f t="shared" si="48"/>
        <v>6505</v>
      </c>
      <c r="AC77" s="81" t="str">
        <f>TEXT('MYP Assumptions'!J75,"0.00%")&amp;", CPI"</f>
        <v>2.73%, CPI</v>
      </c>
    </row>
    <row r="78" spans="1:29" x14ac:dyDescent="0.25">
      <c r="A78" s="152"/>
      <c r="B78" s="939">
        <v>5604</v>
      </c>
      <c r="C78" s="857" t="s">
        <v>330</v>
      </c>
      <c r="D78" s="2">
        <v>152</v>
      </c>
      <c r="E78" s="863"/>
      <c r="F78" s="2"/>
      <c r="G78" s="83">
        <f>IF(D78=0,"0.00%",(H78-D78)/D78)</f>
        <v>61.5</v>
      </c>
      <c r="H78" s="2">
        <v>9500</v>
      </c>
      <c r="I78" s="871"/>
      <c r="J78" s="66"/>
      <c r="K78" s="83">
        <f t="shared" si="40"/>
        <v>-0.63157894736842102</v>
      </c>
      <c r="L78" s="2">
        <v>3500</v>
      </c>
      <c r="M78" s="854"/>
      <c r="O78" s="83">
        <f t="shared" si="41"/>
        <v>0</v>
      </c>
      <c r="P78" s="2">
        <f t="shared" si="42"/>
        <v>3500</v>
      </c>
      <c r="Q78" s="854"/>
      <c r="S78" s="83">
        <f t="shared" si="43"/>
        <v>2.7428571428571427E-2</v>
      </c>
      <c r="T78" s="2">
        <f t="shared" si="46"/>
        <v>3596</v>
      </c>
      <c r="U78" s="81" t="str">
        <f>TEXT('MYP Assumptions'!H75,"0.00%")&amp;", CPI"</f>
        <v>2.73%, CPI</v>
      </c>
      <c r="W78" s="83">
        <f t="shared" si="44"/>
        <v>2.7252502780867632E-2</v>
      </c>
      <c r="X78" s="2">
        <f t="shared" si="47"/>
        <v>3694</v>
      </c>
      <c r="Y78" s="81" t="str">
        <f>TEXT('MYP Assumptions'!I75,"0.00%")&amp;", CPI"</f>
        <v>2.73%, CPI</v>
      </c>
      <c r="AA78" s="83">
        <f t="shared" si="45"/>
        <v>2.7341635083919871E-2</v>
      </c>
      <c r="AB78" s="2">
        <f t="shared" si="48"/>
        <v>3795</v>
      </c>
      <c r="AC78" s="81" t="str">
        <f>TEXT('MYP Assumptions'!J75,"0.00%")&amp;", CPI"</f>
        <v>2.73%, CPI</v>
      </c>
    </row>
    <row r="79" spans="1:29" x14ac:dyDescent="0.25">
      <c r="A79" s="152"/>
      <c r="B79" s="939">
        <v>5606</v>
      </c>
      <c r="C79" s="857" t="s">
        <v>332</v>
      </c>
      <c r="D79" s="2">
        <v>2060.63</v>
      </c>
      <c r="E79" s="863"/>
      <c r="F79" s="2"/>
      <c r="G79" s="83">
        <f t="shared" ref="G79:G89" si="50">IF(D79=0,"0.00%",(H79-D79)/D79)</f>
        <v>5.5513944764465233</v>
      </c>
      <c r="H79" s="2">
        <v>13500</v>
      </c>
      <c r="I79" s="871"/>
      <c r="J79" s="66"/>
      <c r="K79" s="83">
        <f t="shared" si="40"/>
        <v>-0.51851851851851849</v>
      </c>
      <c r="L79" s="2">
        <v>6500</v>
      </c>
      <c r="M79" s="854"/>
      <c r="O79" s="83">
        <f t="shared" si="41"/>
        <v>0</v>
      </c>
      <c r="P79" s="2">
        <f t="shared" si="42"/>
        <v>6500</v>
      </c>
      <c r="Q79" s="854"/>
      <c r="S79" s="83">
        <f t="shared" si="43"/>
        <v>2.7230769230769232E-2</v>
      </c>
      <c r="T79" s="2">
        <f t="shared" si="46"/>
        <v>6677</v>
      </c>
      <c r="U79" s="81" t="str">
        <f>TEXT('MYP Assumptions'!H75,"0.00%")&amp;", CPI"</f>
        <v>2.73%, CPI</v>
      </c>
      <c r="W79" s="83">
        <f t="shared" si="44"/>
        <v>2.7257750486745544E-2</v>
      </c>
      <c r="X79" s="2">
        <f t="shared" si="47"/>
        <v>6859</v>
      </c>
      <c r="Y79" s="81" t="str">
        <f>TEXT('MYP Assumptions'!I75,"0.00%")&amp;", CPI"</f>
        <v>2.73%, CPI</v>
      </c>
      <c r="AA79" s="83">
        <f t="shared" si="45"/>
        <v>2.7263449482431843E-2</v>
      </c>
      <c r="AB79" s="2">
        <f t="shared" si="48"/>
        <v>7046</v>
      </c>
      <c r="AC79" s="81" t="str">
        <f>TEXT('MYP Assumptions'!J75,"0.00%")&amp;", CPI"</f>
        <v>2.73%, CPI</v>
      </c>
    </row>
    <row r="80" spans="1:29" x14ac:dyDescent="0.25">
      <c r="A80" s="152"/>
      <c r="B80" s="939">
        <v>5608</v>
      </c>
      <c r="C80" s="857" t="s">
        <v>333</v>
      </c>
      <c r="D80" s="2">
        <v>1894.63</v>
      </c>
      <c r="E80" s="863"/>
      <c r="F80" s="2"/>
      <c r="G80" s="83">
        <f t="shared" si="50"/>
        <v>5.5020610884447088</v>
      </c>
      <c r="H80" s="2">
        <v>12319</v>
      </c>
      <c r="I80" s="871"/>
      <c r="J80" s="66"/>
      <c r="K80" s="83">
        <f t="shared" si="40"/>
        <v>-0.75647373975160326</v>
      </c>
      <c r="L80" s="2">
        <v>3000</v>
      </c>
      <c r="M80" s="854"/>
      <c r="O80" s="83">
        <f t="shared" si="41"/>
        <v>0</v>
      </c>
      <c r="P80" s="2">
        <f t="shared" si="42"/>
        <v>3000</v>
      </c>
      <c r="Q80" s="854"/>
      <c r="S80" s="83">
        <f t="shared" si="43"/>
        <v>2.7333333333333334E-2</v>
      </c>
      <c r="T80" s="2">
        <f t="shared" si="46"/>
        <v>3082</v>
      </c>
      <c r="U80" s="81" t="str">
        <f>TEXT('MYP Assumptions'!H75,"0.00%")&amp;", CPI"</f>
        <v>2.73%, CPI</v>
      </c>
      <c r="W80" s="83">
        <f t="shared" si="44"/>
        <v>2.7255029201817001E-2</v>
      </c>
      <c r="X80" s="2">
        <f t="shared" si="47"/>
        <v>3166</v>
      </c>
      <c r="Y80" s="81" t="str">
        <f>TEXT('MYP Assumptions'!I75,"0.00%")&amp;", CPI"</f>
        <v>2.73%, CPI</v>
      </c>
      <c r="AA80" s="83">
        <f t="shared" si="45"/>
        <v>2.7163613392293114E-2</v>
      </c>
      <c r="AB80" s="2">
        <f t="shared" si="48"/>
        <v>3252</v>
      </c>
      <c r="AC80" s="81" t="str">
        <f>TEXT('MYP Assumptions'!J75,"0.00%")&amp;", CPI"</f>
        <v>2.73%, CPI</v>
      </c>
    </row>
    <row r="81" spans="1:29" x14ac:dyDescent="0.25">
      <c r="A81" s="152"/>
      <c r="B81" s="939">
        <v>5800</v>
      </c>
      <c r="C81" s="857" t="s">
        <v>334</v>
      </c>
      <c r="D81" s="2">
        <v>22726.14</v>
      </c>
      <c r="E81" s="863"/>
      <c r="F81" s="2"/>
      <c r="G81" s="83">
        <f t="shared" si="50"/>
        <v>0.35086732722758907</v>
      </c>
      <c r="H81" s="2">
        <v>30700</v>
      </c>
      <c r="I81" s="871"/>
      <c r="J81" s="66"/>
      <c r="K81" s="83">
        <f t="shared" si="40"/>
        <v>-2.2801302931596091E-2</v>
      </c>
      <c r="L81" s="2">
        <v>30000</v>
      </c>
      <c r="M81" s="854"/>
      <c r="O81" s="83">
        <f t="shared" si="41"/>
        <v>0</v>
      </c>
      <c r="P81" s="2">
        <f t="shared" si="42"/>
        <v>30000</v>
      </c>
      <c r="Q81" s="854"/>
      <c r="S81" s="83">
        <f t="shared" si="43"/>
        <v>2.7300000000000001E-2</v>
      </c>
      <c r="T81" s="2">
        <f t="shared" si="46"/>
        <v>30819</v>
      </c>
      <c r="U81" s="81" t="str">
        <f>TEXT('MYP Assumptions'!H75,"0.00%")&amp;", CPI"</f>
        <v>2.73%, CPI</v>
      </c>
      <c r="W81" s="83">
        <f t="shared" si="44"/>
        <v>2.7288361075959635E-2</v>
      </c>
      <c r="X81" s="2">
        <f t="shared" si="47"/>
        <v>31660</v>
      </c>
      <c r="Y81" s="81" t="str">
        <f>TEXT('MYP Assumptions'!I75,"0.00%")&amp;", CPI"</f>
        <v>2.73%, CPI</v>
      </c>
      <c r="AA81" s="83">
        <f t="shared" si="45"/>
        <v>2.7289955780164243E-2</v>
      </c>
      <c r="AB81" s="2">
        <f t="shared" si="48"/>
        <v>32524</v>
      </c>
      <c r="AC81" s="81" t="str">
        <f>TEXT('MYP Assumptions'!J75,"0.00%")&amp;", CPI"</f>
        <v>2.73%, CPI</v>
      </c>
    </row>
    <row r="82" spans="1:29" x14ac:dyDescent="0.25">
      <c r="A82" s="152"/>
      <c r="B82" s="939">
        <v>5803</v>
      </c>
      <c r="C82" s="857" t="s">
        <v>335</v>
      </c>
      <c r="D82" s="2">
        <v>0</v>
      </c>
      <c r="E82" s="863"/>
      <c r="F82" s="2"/>
      <c r="G82" s="83" t="str">
        <f t="shared" si="50"/>
        <v>0.00%</v>
      </c>
      <c r="H82" s="2">
        <v>13000</v>
      </c>
      <c r="I82" s="871"/>
      <c r="J82" s="66"/>
      <c r="K82" s="83">
        <f t="shared" si="40"/>
        <v>0</v>
      </c>
      <c r="L82" s="2">
        <f t="shared" si="49"/>
        <v>13000</v>
      </c>
      <c r="M82" s="854"/>
      <c r="O82" s="83">
        <f t="shared" si="41"/>
        <v>0</v>
      </c>
      <c r="P82" s="2">
        <f t="shared" si="42"/>
        <v>13000</v>
      </c>
      <c r="Q82" s="854"/>
      <c r="S82" s="83">
        <f t="shared" si="43"/>
        <v>2.7307692307692307E-2</v>
      </c>
      <c r="T82" s="2">
        <f t="shared" si="46"/>
        <v>13355</v>
      </c>
      <c r="U82" s="81" t="str">
        <f>TEXT('MYP Assumptions'!H75,"0.00%")&amp;", CPI"</f>
        <v>2.73%, CPI</v>
      </c>
      <c r="W82" s="83">
        <f t="shared" si="44"/>
        <v>2.7330587794833397E-2</v>
      </c>
      <c r="X82" s="2">
        <f t="shared" si="47"/>
        <v>13720</v>
      </c>
      <c r="Y82" s="81" t="str">
        <f>TEXT('MYP Assumptions'!I75,"0.00%")&amp;", CPI"</f>
        <v>2.73%, CPI</v>
      </c>
      <c r="AA82" s="83">
        <f t="shared" si="45"/>
        <v>2.7332361516034985E-2</v>
      </c>
      <c r="AB82" s="2">
        <f t="shared" si="48"/>
        <v>14095</v>
      </c>
      <c r="AC82" s="81" t="str">
        <f>TEXT('MYP Assumptions'!J75,"0.00%")&amp;", CPI"</f>
        <v>2.73%, CPI</v>
      </c>
    </row>
    <row r="83" spans="1:29" x14ac:dyDescent="0.25">
      <c r="A83" s="152"/>
      <c r="B83" s="939">
        <v>5809</v>
      </c>
      <c r="C83" s="857" t="s">
        <v>123</v>
      </c>
      <c r="D83" s="2">
        <v>595</v>
      </c>
      <c r="E83" s="863"/>
      <c r="F83" s="2"/>
      <c r="G83" s="83">
        <f t="shared" si="50"/>
        <v>2.6168067226890757</v>
      </c>
      <c r="H83" s="2">
        <v>2152</v>
      </c>
      <c r="I83" s="871"/>
      <c r="J83" s="66"/>
      <c r="K83" s="83">
        <f t="shared" si="40"/>
        <v>0</v>
      </c>
      <c r="L83" s="2">
        <f t="shared" si="49"/>
        <v>2152</v>
      </c>
      <c r="M83" s="854"/>
      <c r="O83" s="83">
        <f t="shared" si="41"/>
        <v>0</v>
      </c>
      <c r="P83" s="2">
        <f t="shared" si="42"/>
        <v>2152</v>
      </c>
      <c r="Q83" s="854"/>
      <c r="S83" s="83">
        <f t="shared" si="43"/>
        <v>2.7416356877323422E-2</v>
      </c>
      <c r="T83" s="2">
        <f t="shared" si="46"/>
        <v>2211</v>
      </c>
      <c r="U83" s="81" t="str">
        <f>TEXT('MYP Assumptions'!H75,"0.00%")&amp;", CPI"</f>
        <v>2.73%, CPI</v>
      </c>
      <c r="W83" s="83">
        <f t="shared" si="44"/>
        <v>2.7137042062415198E-2</v>
      </c>
      <c r="X83" s="2">
        <f t="shared" si="47"/>
        <v>2271</v>
      </c>
      <c r="Y83" s="81" t="str">
        <f>TEXT('MYP Assumptions'!I75,"0.00%")&amp;", CPI"</f>
        <v>2.73%, CPI</v>
      </c>
      <c r="AA83" s="83">
        <f t="shared" si="45"/>
        <v>2.7300748568912372E-2</v>
      </c>
      <c r="AB83" s="2">
        <f t="shared" si="48"/>
        <v>2333</v>
      </c>
      <c r="AC83" s="81" t="str">
        <f>TEXT('MYP Assumptions'!J75,"0.00%")&amp;", CPI"</f>
        <v>2.73%, CPI</v>
      </c>
    </row>
    <row r="84" spans="1:29" x14ac:dyDescent="0.25">
      <c r="A84" s="152"/>
      <c r="B84" s="939">
        <v>5813</v>
      </c>
      <c r="C84" s="857" t="s">
        <v>6</v>
      </c>
      <c r="D84" s="2">
        <v>20315.990000000002</v>
      </c>
      <c r="E84" s="863"/>
      <c r="F84" s="2"/>
      <c r="G84" s="83">
        <f t="shared" ref="G84:G88" si="51">IF(D84=0,"0.00%",(H84-D84)/D84)</f>
        <v>1.8240317109823343</v>
      </c>
      <c r="H84" s="2">
        <v>57373</v>
      </c>
      <c r="I84" s="871"/>
      <c r="J84" s="66"/>
      <c r="K84" s="83">
        <f t="shared" ref="K84:K88" si="52">IF(H84=0,"0.00%",(L84-H84)/H84)</f>
        <v>4.5788088473672287E-2</v>
      </c>
      <c r="L84" s="2">
        <v>60000</v>
      </c>
      <c r="M84" s="854"/>
      <c r="O84" s="83">
        <f t="shared" ref="O84:O88" si="53">IF(L84=0,"0.00%",(P84-L84)/L84)</f>
        <v>0</v>
      </c>
      <c r="P84" s="2">
        <f t="shared" si="42"/>
        <v>60000</v>
      </c>
      <c r="Q84" s="854"/>
      <c r="S84" s="83"/>
      <c r="T84" s="2"/>
      <c r="U84" s="81"/>
      <c r="W84" s="83"/>
      <c r="X84" s="2"/>
      <c r="Y84" s="81"/>
      <c r="AA84" s="83"/>
      <c r="AB84" s="2"/>
      <c r="AC84" s="81"/>
    </row>
    <row r="85" spans="1:29" x14ac:dyDescent="0.25">
      <c r="A85" s="152"/>
      <c r="B85" s="939">
        <v>5814</v>
      </c>
      <c r="C85" s="857" t="s">
        <v>4</v>
      </c>
      <c r="D85" s="2">
        <v>48443.73</v>
      </c>
      <c r="E85" s="863"/>
      <c r="F85" s="2"/>
      <c r="G85" s="83">
        <f t="shared" si="51"/>
        <v>0.22919932053126371</v>
      </c>
      <c r="H85" s="2">
        <v>59547</v>
      </c>
      <c r="I85" s="871"/>
      <c r="J85" s="66"/>
      <c r="K85" s="83">
        <f t="shared" si="52"/>
        <v>0</v>
      </c>
      <c r="L85" s="2">
        <f t="shared" si="49"/>
        <v>59547</v>
      </c>
      <c r="M85" s="854"/>
      <c r="O85" s="83">
        <f t="shared" si="53"/>
        <v>0</v>
      </c>
      <c r="P85" s="2">
        <f t="shared" si="42"/>
        <v>59547</v>
      </c>
      <c r="Q85" s="854"/>
      <c r="S85" s="83"/>
      <c r="T85" s="2"/>
      <c r="U85" s="81"/>
      <c r="W85" s="83"/>
      <c r="X85" s="2"/>
      <c r="Y85" s="81"/>
      <c r="AA85" s="83"/>
      <c r="AB85" s="2"/>
      <c r="AC85" s="81"/>
    </row>
    <row r="86" spans="1:29" x14ac:dyDescent="0.25">
      <c r="A86" s="152"/>
      <c r="B86" s="939">
        <v>5902</v>
      </c>
      <c r="C86" s="857" t="s">
        <v>336</v>
      </c>
      <c r="D86" s="2">
        <v>3303.26</v>
      </c>
      <c r="E86" s="863"/>
      <c r="F86" s="2"/>
      <c r="G86" s="83">
        <f t="shared" si="51"/>
        <v>-0.1523525244758209</v>
      </c>
      <c r="H86" s="2">
        <v>2800</v>
      </c>
      <c r="I86" s="871"/>
      <c r="J86" s="66"/>
      <c r="K86" s="83">
        <f t="shared" si="52"/>
        <v>0</v>
      </c>
      <c r="L86" s="2">
        <f t="shared" si="49"/>
        <v>2800</v>
      </c>
      <c r="M86" s="854"/>
      <c r="O86" s="83">
        <f t="shared" si="53"/>
        <v>0</v>
      </c>
      <c r="P86" s="2">
        <f t="shared" si="42"/>
        <v>2800</v>
      </c>
      <c r="Q86" s="854"/>
      <c r="S86" s="83"/>
      <c r="T86" s="2"/>
      <c r="U86" s="81"/>
      <c r="W86" s="83"/>
      <c r="X86" s="2"/>
      <c r="Y86" s="81"/>
      <c r="AA86" s="83"/>
      <c r="AB86" s="2"/>
      <c r="AC86" s="81"/>
    </row>
    <row r="87" spans="1:29" x14ac:dyDescent="0.25">
      <c r="A87" s="152"/>
      <c r="B87" s="939">
        <v>5908</v>
      </c>
      <c r="C87" s="857" t="s">
        <v>337</v>
      </c>
      <c r="D87" s="2">
        <v>20.89</v>
      </c>
      <c r="E87" s="863"/>
      <c r="F87" s="2"/>
      <c r="G87" s="83">
        <f t="shared" si="51"/>
        <v>1.3934897079942556</v>
      </c>
      <c r="H87" s="2">
        <v>50</v>
      </c>
      <c r="I87" s="871"/>
      <c r="J87" s="66"/>
      <c r="K87" s="83">
        <f t="shared" si="52"/>
        <v>0</v>
      </c>
      <c r="L87" s="2">
        <f t="shared" si="49"/>
        <v>50</v>
      </c>
      <c r="M87" s="854"/>
      <c r="O87" s="83">
        <f t="shared" si="53"/>
        <v>0</v>
      </c>
      <c r="P87" s="2">
        <f>ROUND(L87*(1-$P$58),0)</f>
        <v>50</v>
      </c>
      <c r="Q87" s="854"/>
      <c r="S87" s="83"/>
      <c r="T87" s="2"/>
      <c r="U87" s="81"/>
      <c r="W87" s="83"/>
      <c r="X87" s="2"/>
      <c r="Y87" s="81"/>
      <c r="AA87" s="83"/>
      <c r="AB87" s="2"/>
      <c r="AC87" s="81"/>
    </row>
    <row r="88" spans="1:29" x14ac:dyDescent="0.25">
      <c r="A88" s="152"/>
      <c r="B88" s="939"/>
      <c r="D88" s="2">
        <f>'RS 3010-ALL'!AF80</f>
        <v>0</v>
      </c>
      <c r="E88" s="863"/>
      <c r="F88" s="2"/>
      <c r="G88" s="83" t="str">
        <f t="shared" si="51"/>
        <v>0.00%</v>
      </c>
      <c r="H88" s="2">
        <v>0</v>
      </c>
      <c r="I88" s="854"/>
      <c r="J88" s="66"/>
      <c r="K88" s="83" t="str">
        <f t="shared" si="52"/>
        <v>0.00%</v>
      </c>
      <c r="L88" s="2">
        <f t="shared" si="49"/>
        <v>0</v>
      </c>
      <c r="M88" s="854"/>
      <c r="O88" s="83" t="str">
        <f t="shared" si="53"/>
        <v>0.00%</v>
      </c>
      <c r="P88" s="2">
        <f t="shared" si="42"/>
        <v>0</v>
      </c>
      <c r="Q88" s="854"/>
      <c r="S88" s="83" t="str">
        <f t="shared" si="43"/>
        <v>0.00%</v>
      </c>
      <c r="T88" s="2">
        <f t="shared" si="46"/>
        <v>0</v>
      </c>
      <c r="U88" s="81" t="str">
        <f>TEXT('MYP Assumptions'!H75,"0.00%")&amp;", CPI"</f>
        <v>2.73%, CPI</v>
      </c>
      <c r="W88" s="83" t="str">
        <f t="shared" si="44"/>
        <v>0.00%</v>
      </c>
      <c r="X88" s="2">
        <f t="shared" si="47"/>
        <v>0</v>
      </c>
      <c r="Y88" s="81" t="str">
        <f>TEXT('MYP Assumptions'!I75,"0.00%")&amp;", CPI"</f>
        <v>2.73%, CPI</v>
      </c>
      <c r="AA88" s="83" t="str">
        <f t="shared" si="45"/>
        <v>0.00%</v>
      </c>
      <c r="AB88" s="2">
        <f t="shared" si="48"/>
        <v>0</v>
      </c>
      <c r="AC88" s="81" t="str">
        <f>TEXT('MYP Assumptions'!J75,"0.00%")&amp;", CPI"</f>
        <v>2.73%, CPI</v>
      </c>
    </row>
    <row r="89" spans="1:29" x14ac:dyDescent="0.25">
      <c r="A89" s="153"/>
      <c r="D89" s="8">
        <f>SUM(D72:D88)</f>
        <v>1077931.5900000001</v>
      </c>
      <c r="E89" s="863"/>
      <c r="F89" s="2"/>
      <c r="G89" s="83">
        <f t="shared" si="50"/>
        <v>0.69737116619803285</v>
      </c>
      <c r="H89" s="8">
        <f>SUM(H72:H88)</f>
        <v>1829650</v>
      </c>
      <c r="I89" s="1292">
        <f>+H89-D89</f>
        <v>751718.40999999992</v>
      </c>
      <c r="J89" s="29"/>
      <c r="K89" s="83">
        <f>IF(H89=0,"0.00%",(L89-H89)/H89)</f>
        <v>-0.33853523898013282</v>
      </c>
      <c r="L89" s="8">
        <f>SUM(L72:L88)</f>
        <v>1210249</v>
      </c>
      <c r="M89" s="1292">
        <f>+L89-H89</f>
        <v>-619401</v>
      </c>
      <c r="O89" s="83">
        <f t="shared" si="41"/>
        <v>0</v>
      </c>
      <c r="P89" s="8">
        <f>SUM(P72:P88)</f>
        <v>1210249</v>
      </c>
      <c r="Q89" s="1292">
        <f>+P89-L89</f>
        <v>0</v>
      </c>
      <c r="S89" s="83">
        <f t="shared" si="43"/>
        <v>-7.6594155417604143E-2</v>
      </c>
      <c r="T89" s="8">
        <f>SUM(T72:T88)</f>
        <v>1117551</v>
      </c>
      <c r="U89" s="73"/>
      <c r="W89" s="83">
        <f t="shared" si="44"/>
        <v>2.7298083040505534E-2</v>
      </c>
      <c r="X89" s="8">
        <f>SUM(X72:X88)</f>
        <v>1148058</v>
      </c>
      <c r="Y89" s="73"/>
      <c r="AA89" s="83">
        <f t="shared" si="45"/>
        <v>2.7300014459199797E-2</v>
      </c>
      <c r="AB89" s="8">
        <f>SUM(AB72:AB88)</f>
        <v>1179400</v>
      </c>
      <c r="AC89" s="73"/>
    </row>
    <row r="90" spans="1:29" x14ac:dyDescent="0.25">
      <c r="A90" s="152"/>
      <c r="B90" s="936"/>
      <c r="E90" s="863"/>
      <c r="F90" s="2"/>
      <c r="G90" s="83"/>
      <c r="H90" s="2"/>
      <c r="I90" s="871"/>
      <c r="J90" s="66"/>
      <c r="L90" s="2"/>
      <c r="M90" s="1049"/>
      <c r="Q90" s="948"/>
      <c r="T90" s="2"/>
      <c r="U90" s="73"/>
      <c r="X90" s="2"/>
      <c r="Y90" s="73"/>
      <c r="AB90" s="2"/>
      <c r="AC90" s="73"/>
    </row>
    <row r="91" spans="1:29" x14ac:dyDescent="0.25">
      <c r="A91" s="152"/>
      <c r="B91" s="936" t="s">
        <v>338</v>
      </c>
      <c r="E91" s="863"/>
      <c r="F91" s="2"/>
      <c r="G91" s="83"/>
      <c r="H91" s="2"/>
      <c r="I91" s="871"/>
      <c r="J91" s="66"/>
      <c r="L91" s="2"/>
      <c r="M91" s="948"/>
      <c r="Q91" s="948"/>
      <c r="T91" s="2"/>
      <c r="U91" s="73"/>
      <c r="X91" s="2"/>
      <c r="Y91" s="73"/>
      <c r="AB91" s="2"/>
      <c r="AC91" s="73"/>
    </row>
    <row r="92" spans="1:29" x14ac:dyDescent="0.25">
      <c r="A92" s="152"/>
      <c r="B92" s="939">
        <v>6400</v>
      </c>
      <c r="C92" s="857" t="s">
        <v>339</v>
      </c>
      <c r="D92" s="2">
        <v>128790.95</v>
      </c>
      <c r="E92" s="863"/>
      <c r="F92" s="2"/>
      <c r="G92" s="83"/>
      <c r="H92" s="2">
        <v>70000</v>
      </c>
      <c r="I92" s="871"/>
      <c r="J92" s="66"/>
      <c r="K92" s="83"/>
      <c r="L92" s="2">
        <v>0</v>
      </c>
      <c r="M92" s="948"/>
      <c r="O92" s="83"/>
      <c r="P92" s="2">
        <v>0</v>
      </c>
      <c r="Q92" s="948"/>
      <c r="S92" s="83"/>
      <c r="T92" s="2">
        <v>0</v>
      </c>
      <c r="U92" s="73"/>
      <c r="W92" s="83"/>
      <c r="X92" s="2">
        <v>0</v>
      </c>
      <c r="Y92" s="73"/>
      <c r="AA92" s="83"/>
      <c r="AB92" s="2">
        <v>0</v>
      </c>
      <c r="AC92" s="73"/>
    </row>
    <row r="93" spans="1:29" x14ac:dyDescent="0.25">
      <c r="A93" s="152"/>
      <c r="B93" s="939">
        <v>6500</v>
      </c>
      <c r="C93" s="857" t="s">
        <v>340</v>
      </c>
      <c r="D93" s="2">
        <v>14023.9</v>
      </c>
      <c r="E93" s="863"/>
      <c r="F93" s="2"/>
      <c r="G93" s="83"/>
      <c r="H93" s="2">
        <v>0</v>
      </c>
      <c r="I93" s="871"/>
      <c r="J93" s="66"/>
      <c r="K93" s="83"/>
      <c r="L93" s="2">
        <v>0</v>
      </c>
      <c r="M93" s="948"/>
      <c r="O93" s="83"/>
      <c r="P93" s="2">
        <v>0</v>
      </c>
      <c r="Q93" s="948"/>
      <c r="S93" s="83"/>
      <c r="T93" s="2">
        <v>0</v>
      </c>
      <c r="U93" s="73"/>
      <c r="W93" s="83"/>
      <c r="X93" s="2">
        <v>0</v>
      </c>
      <c r="Y93" s="73"/>
      <c r="AA93" s="83"/>
      <c r="AB93" s="2">
        <v>0</v>
      </c>
      <c r="AC93" s="73"/>
    </row>
    <row r="94" spans="1:29" x14ac:dyDescent="0.25">
      <c r="A94" s="152"/>
      <c r="B94" s="936"/>
      <c r="D94" s="2">
        <v>0</v>
      </c>
      <c r="E94" s="863"/>
      <c r="F94" s="2"/>
      <c r="G94" s="83"/>
      <c r="H94" s="2">
        <v>0</v>
      </c>
      <c r="I94" s="871"/>
      <c r="J94" s="66"/>
      <c r="K94" s="83"/>
      <c r="L94" s="2">
        <v>0</v>
      </c>
      <c r="M94" s="948"/>
      <c r="O94" s="83"/>
      <c r="P94" s="2">
        <v>0</v>
      </c>
      <c r="Q94" s="948"/>
      <c r="S94" s="83"/>
      <c r="T94" s="2">
        <v>0</v>
      </c>
      <c r="U94" s="73"/>
      <c r="W94" s="83"/>
      <c r="X94" s="2">
        <v>0</v>
      </c>
      <c r="Y94" s="73"/>
      <c r="AA94" s="83"/>
      <c r="AB94" s="2">
        <v>0</v>
      </c>
      <c r="AC94" s="73"/>
    </row>
    <row r="95" spans="1:29" x14ac:dyDescent="0.25">
      <c r="A95" s="152"/>
      <c r="B95" s="936"/>
      <c r="D95" s="160">
        <f>SUM(D92:D94)</f>
        <v>142814.85</v>
      </c>
      <c r="E95" s="863"/>
      <c r="F95" s="2"/>
      <c r="G95" s="83"/>
      <c r="H95" s="160">
        <f>SUM(H92:H94)</f>
        <v>70000</v>
      </c>
      <c r="I95" s="1292">
        <f>+H95-D95</f>
        <v>-72814.850000000006</v>
      </c>
      <c r="J95" s="66"/>
      <c r="K95" s="83"/>
      <c r="L95" s="160">
        <f>SUM(L92:L94)</f>
        <v>0</v>
      </c>
      <c r="M95" s="1292">
        <f>+L95-H95</f>
        <v>-70000</v>
      </c>
      <c r="O95" s="83"/>
      <c r="P95" s="160">
        <f>SUM(P92:P94)</f>
        <v>0</v>
      </c>
      <c r="Q95" s="1292">
        <f>+P95-L95</f>
        <v>0</v>
      </c>
      <c r="S95" s="83"/>
      <c r="T95" s="112">
        <f>SUM(T92:T94)</f>
        <v>0</v>
      </c>
      <c r="U95" s="73"/>
      <c r="W95" s="83"/>
      <c r="X95" s="112">
        <f>SUM(X92:X94)</f>
        <v>0</v>
      </c>
      <c r="Y95" s="73"/>
      <c r="AA95" s="83"/>
      <c r="AB95" s="112">
        <f>SUM(AB92:AB94)</f>
        <v>0</v>
      </c>
      <c r="AC95" s="73"/>
    </row>
    <row r="96" spans="1:29" x14ac:dyDescent="0.25">
      <c r="A96" s="152"/>
      <c r="E96" s="863"/>
      <c r="F96" s="2"/>
      <c r="H96" s="2"/>
      <c r="I96" s="871"/>
      <c r="J96" s="66"/>
      <c r="K96" s="52"/>
      <c r="L96" s="2"/>
      <c r="M96" s="948"/>
      <c r="O96" s="52"/>
      <c r="Q96" s="948"/>
      <c r="S96" s="46"/>
      <c r="T96" s="2"/>
      <c r="U96" s="73"/>
      <c r="W96" s="46"/>
      <c r="X96" s="2"/>
      <c r="Y96" s="73"/>
      <c r="AA96" s="46"/>
      <c r="AB96" s="2"/>
      <c r="AC96" s="73"/>
    </row>
    <row r="97" spans="1:29" x14ac:dyDescent="0.25">
      <c r="A97" s="152"/>
      <c r="E97" s="863"/>
      <c r="F97" s="2"/>
      <c r="H97" s="2"/>
      <c r="I97" s="871"/>
      <c r="J97" s="66"/>
      <c r="K97" s="52"/>
      <c r="L97" s="2"/>
      <c r="M97" s="948"/>
      <c r="O97" s="52"/>
      <c r="Q97" s="948"/>
      <c r="S97" s="46"/>
      <c r="T97" s="2"/>
      <c r="U97" s="73"/>
      <c r="W97" s="46"/>
      <c r="X97" s="2"/>
      <c r="Y97" s="73"/>
      <c r="AA97" s="46"/>
      <c r="AB97" s="2"/>
      <c r="AC97" s="73"/>
    </row>
    <row r="98" spans="1:29" x14ac:dyDescent="0.25">
      <c r="A98" s="153"/>
      <c r="B98" s="936" t="s">
        <v>0</v>
      </c>
      <c r="D98" s="8">
        <f>SUM(D89,D69,D55,D13+D95)</f>
        <v>2310674.5799999996</v>
      </c>
      <c r="E98" s="863"/>
      <c r="F98" s="2"/>
      <c r="G98" s="83">
        <f>IF(D98=0,"0.00%",(H98-D98)/D98)</f>
        <v>0.40774041838466085</v>
      </c>
      <c r="H98" s="8">
        <f>SUM(H89,H69,H55,H13+H95)</f>
        <v>3252830</v>
      </c>
      <c r="I98" s="1292">
        <f>+H98-D98</f>
        <v>942155.42000000039</v>
      </c>
      <c r="J98" s="29"/>
      <c r="K98" s="83">
        <f>IF(H98=0,"0.00%",(L98-H98)/H98)</f>
        <v>-0.24010108121235971</v>
      </c>
      <c r="L98" s="8">
        <f>SUM(L89,L69,L55,L13+L95)</f>
        <v>2471822</v>
      </c>
      <c r="M98" s="1292">
        <f>+L98-H98</f>
        <v>-781008</v>
      </c>
      <c r="O98" s="83">
        <f>IF(L98=0,"0.00%",(P98-L98)/L98)</f>
        <v>1.4736093456567666E-2</v>
      </c>
      <c r="P98" s="8">
        <f>SUM(P89,P69,P55,P13+P95)</f>
        <v>2508247</v>
      </c>
      <c r="Q98" s="1292">
        <f>+P98-L98</f>
        <v>36425</v>
      </c>
      <c r="S98" s="83">
        <f>IF(P98=0,"0.00%",(T98-P98)/P98)</f>
        <v>-2.2447948706805988E-2</v>
      </c>
      <c r="T98" s="8">
        <f>SUM(T89,T69,T55,T13+T95)</f>
        <v>2451942</v>
      </c>
      <c r="U98" s="73"/>
      <c r="W98" s="83">
        <f>IF(T98=0,"0.00%",(X98-T98)/T98)</f>
        <v>3.0258464515066016E-2</v>
      </c>
      <c r="X98" s="8">
        <f>SUM(X89,X69,X55,X13+X95)</f>
        <v>2526134</v>
      </c>
      <c r="Y98" s="73"/>
      <c r="AA98" s="83">
        <f>IF(X98=0,"0.00%",(AB98-X98)/X98)</f>
        <v>2.889118312805259E-2</v>
      </c>
      <c r="AB98" s="8">
        <f>SUM(AB89,AB69,AB55,AB13+AB95)</f>
        <v>2599117</v>
      </c>
      <c r="AC98" s="73"/>
    </row>
    <row r="99" spans="1:29" x14ac:dyDescent="0.25">
      <c r="A99" s="153"/>
      <c r="B99" s="936"/>
      <c r="D99" s="5"/>
      <c r="E99" s="863"/>
      <c r="F99" s="2"/>
      <c r="G99" s="83"/>
      <c r="H99" s="5"/>
      <c r="I99" s="872"/>
      <c r="J99" s="29"/>
      <c r="K99" s="83"/>
      <c r="L99" s="5"/>
      <c r="M99" s="1050"/>
      <c r="O99" s="83"/>
      <c r="P99" s="5"/>
      <c r="Q99" s="948"/>
      <c r="S99" s="83"/>
      <c r="T99" s="5"/>
      <c r="U99" s="73"/>
      <c r="W99" s="83"/>
      <c r="X99" s="5"/>
      <c r="Y99" s="73"/>
      <c r="AA99" s="83"/>
      <c r="AB99" s="5"/>
      <c r="AC99" s="73"/>
    </row>
    <row r="100" spans="1:29" x14ac:dyDescent="0.25">
      <c r="A100" s="152"/>
      <c r="B100" s="936" t="s">
        <v>138</v>
      </c>
      <c r="D100" s="3">
        <f>D11-D98</f>
        <v>90186.420000000391</v>
      </c>
      <c r="G100" s="83">
        <f>IF(D100=0,"0.00%",(H100-D100)/D100)</f>
        <v>-8.1411194723107663</v>
      </c>
      <c r="H100" s="3">
        <f>H11-H98</f>
        <v>-644032</v>
      </c>
      <c r="I100" s="871"/>
      <c r="J100" s="66"/>
      <c r="K100" s="83">
        <f>IF(H100=0,"0.00%",(L100-H100)/H100)</f>
        <v>-0.99472852280632018</v>
      </c>
      <c r="L100" s="3">
        <f>L11-L98</f>
        <v>-3395</v>
      </c>
      <c r="M100" s="948"/>
      <c r="O100" s="83">
        <f>IF(L100=0,"0.00%",(P100-L100)/L100)</f>
        <v>10.656259204712812</v>
      </c>
      <c r="P100" s="3">
        <f>P11-P98</f>
        <v>-39573</v>
      </c>
      <c r="Q100" s="948"/>
      <c r="S100" s="83">
        <f>IF(P100=0,"0.00%",(T100-P100)/P100)</f>
        <v>-1</v>
      </c>
      <c r="T100" s="3">
        <f>T11-T98</f>
        <v>0</v>
      </c>
      <c r="U100" s="73"/>
      <c r="W100" s="83" t="str">
        <f>IF(T100=0,"0.00%",(X100-T100)/T100)</f>
        <v>0.00%</v>
      </c>
      <c r="X100" s="3">
        <f>X11-X98</f>
        <v>0</v>
      </c>
      <c r="Y100" s="73"/>
      <c r="AA100" s="83" t="str">
        <f>IF(X100=0,"0.00%",(AB100-X100)/X100)</f>
        <v>0.00%</v>
      </c>
      <c r="AB100" s="3">
        <f>AB11-AB98</f>
        <v>0</v>
      </c>
      <c r="AC100" s="73"/>
    </row>
    <row r="101" spans="1:29" x14ac:dyDescent="0.25">
      <c r="B101" s="936"/>
      <c r="C101" s="930"/>
      <c r="D101" s="3"/>
      <c r="H101" s="3"/>
      <c r="I101" s="871"/>
      <c r="J101" s="66"/>
      <c r="K101" s="52"/>
      <c r="L101" s="3"/>
      <c r="M101" s="948"/>
      <c r="O101" s="52"/>
      <c r="P101" s="3"/>
      <c r="Q101" s="948"/>
      <c r="S101" s="46"/>
      <c r="T101" s="44"/>
      <c r="U101" s="73"/>
      <c r="W101" s="46"/>
      <c r="X101" s="44"/>
      <c r="Y101" s="73"/>
      <c r="AA101" s="46"/>
      <c r="AB101" s="44"/>
      <c r="AC101" s="73"/>
    </row>
    <row r="102" spans="1:29" x14ac:dyDescent="0.25">
      <c r="B102" s="936" t="s">
        <v>136</v>
      </c>
      <c r="C102" s="932"/>
      <c r="D102" s="3">
        <f>D7+D100</f>
        <v>887128.48000000045</v>
      </c>
      <c r="G102" s="83">
        <f>IF(D102=0,"0.00%",(H102-D102)/D102)</f>
        <v>-0.72597376199668362</v>
      </c>
      <c r="H102" s="3">
        <f>H7+H100</f>
        <v>243096.48000000045</v>
      </c>
      <c r="I102" s="1292">
        <f>+H102-D102</f>
        <v>-644032</v>
      </c>
      <c r="J102" s="66"/>
      <c r="K102" s="83">
        <f>IF(H102=0,"0.00%",(L102-H102)/H102)</f>
        <v>-1.3965648535922831E-2</v>
      </c>
      <c r="L102" s="3">
        <f>L7+L100</f>
        <v>239701.48000000045</v>
      </c>
      <c r="M102" s="1292">
        <f>+L102-H102</f>
        <v>-3395</v>
      </c>
      <c r="O102" s="83">
        <f>IF(L102=0,"0.00%",(P102-L102)/L102)</f>
        <v>-0.16509284798742138</v>
      </c>
      <c r="P102" s="3">
        <f>P7+P100</f>
        <v>200128.48000000045</v>
      </c>
      <c r="Q102" s="1292">
        <f>+P102-L102</f>
        <v>-39573</v>
      </c>
      <c r="S102" s="83">
        <f>IF(P102=0,"0.00%",(T102-P102)/P102)</f>
        <v>0</v>
      </c>
      <c r="T102" s="49">
        <f>T7+T100</f>
        <v>200128.48000000045</v>
      </c>
      <c r="U102" s="73"/>
      <c r="W102" s="83">
        <f>IF(T102=0,"0.00%",(X102-T102)/T102)</f>
        <v>0</v>
      </c>
      <c r="X102" s="49">
        <f>X7+X100</f>
        <v>200128.48000000045</v>
      </c>
      <c r="Y102" s="73"/>
      <c r="AA102" s="83">
        <f>IF(X102=0,"0.00%",(AB102-X102)/X102)</f>
        <v>0</v>
      </c>
      <c r="AB102" s="49">
        <f>AB7+AB100</f>
        <v>200128.48000000045</v>
      </c>
      <c r="AC102" s="73"/>
    </row>
    <row r="103" spans="1:29" x14ac:dyDescent="0.25">
      <c r="C103" s="873"/>
      <c r="G103" s="374"/>
      <c r="H103" s="2"/>
      <c r="I103" s="1292"/>
      <c r="J103" s="29"/>
      <c r="K103" s="374"/>
      <c r="L103" s="2"/>
      <c r="M103" s="948"/>
      <c r="O103" s="374"/>
      <c r="Q103" s="948"/>
      <c r="S103" s="85"/>
      <c r="U103" s="73"/>
      <c r="W103" s="85"/>
      <c r="Y103" s="73"/>
      <c r="AA103" s="85"/>
      <c r="AC103" s="73"/>
    </row>
    <row r="104" spans="1:29" x14ac:dyDescent="0.25">
      <c r="C104" s="868"/>
      <c r="G104" s="374"/>
      <c r="H104" s="2"/>
      <c r="I104" s="871"/>
      <c r="J104" s="66"/>
      <c r="K104" s="374"/>
      <c r="L104" s="2"/>
      <c r="M104" s="948"/>
      <c r="O104" s="374"/>
      <c r="Q104" s="948"/>
      <c r="S104" s="85"/>
      <c r="U104" s="73"/>
      <c r="W104" s="85"/>
      <c r="Y104" s="73"/>
      <c r="AA104" s="85"/>
      <c r="AC104" s="73"/>
    </row>
    <row r="105" spans="1:29" x14ac:dyDescent="0.25">
      <c r="C105" s="868"/>
      <c r="G105" s="374"/>
      <c r="H105" s="2"/>
      <c r="I105" s="871"/>
      <c r="J105" s="66"/>
      <c r="K105" s="374"/>
      <c r="L105" s="2"/>
      <c r="M105" s="948"/>
      <c r="O105" s="374"/>
      <c r="Q105" s="948"/>
      <c r="S105" s="85"/>
      <c r="U105" s="73"/>
      <c r="W105" s="85"/>
      <c r="Y105" s="73"/>
      <c r="AA105" s="85"/>
      <c r="AC105" s="73"/>
    </row>
    <row r="106" spans="1:29" x14ac:dyDescent="0.25">
      <c r="C106" s="868"/>
      <c r="G106" s="374"/>
      <c r="H106" s="2"/>
      <c r="I106" s="871"/>
      <c r="J106" s="66"/>
      <c r="K106" s="374"/>
      <c r="L106" s="2"/>
      <c r="M106" s="948"/>
      <c r="O106" s="374"/>
      <c r="Q106" s="948"/>
      <c r="S106" s="85"/>
      <c r="U106" s="73"/>
      <c r="W106" s="85"/>
      <c r="Y106" s="73"/>
      <c r="AA106" s="85"/>
      <c r="AC106" s="73"/>
    </row>
    <row r="107" spans="1:29" x14ac:dyDescent="0.25">
      <c r="C107" s="868"/>
      <c r="G107" s="374"/>
      <c r="H107" s="2"/>
      <c r="I107" s="871"/>
      <c r="J107" s="66"/>
      <c r="K107" s="374"/>
      <c r="L107" s="2"/>
      <c r="M107" s="948"/>
      <c r="O107" s="374"/>
      <c r="Q107" s="948"/>
      <c r="S107" s="85"/>
      <c r="U107" s="73"/>
      <c r="W107" s="85"/>
      <c r="Y107" s="73"/>
      <c r="AA107" s="85"/>
      <c r="AC107" s="73"/>
    </row>
    <row r="108" spans="1:29" s="137" customFormat="1" ht="11.25" x14ac:dyDescent="0.2">
      <c r="A108" s="156"/>
      <c r="B108" s="942"/>
      <c r="C108" s="943" t="s">
        <v>269</v>
      </c>
      <c r="D108" s="134">
        <f>+D89+D69+D53+D41+D30+D95</f>
        <v>2310674.58</v>
      </c>
      <c r="E108" s="865"/>
      <c r="G108" s="133" t="s">
        <v>269</v>
      </c>
      <c r="H108" s="134">
        <f>+H89+H69+H53+H41+H30+H95</f>
        <v>3252830</v>
      </c>
      <c r="I108" s="874"/>
      <c r="J108" s="135"/>
      <c r="K108" s="133" t="s">
        <v>269</v>
      </c>
      <c r="L108" s="134">
        <f>+L89+L69+L53+L41+L30+L95</f>
        <v>2471822</v>
      </c>
      <c r="M108" s="951"/>
      <c r="O108" s="133" t="s">
        <v>269</v>
      </c>
      <c r="P108" s="134">
        <f>+P89+P69+P53+P41+P30+P95</f>
        <v>2508247</v>
      </c>
      <c r="Q108" s="951"/>
      <c r="R108" s="139"/>
      <c r="S108" s="157" t="s">
        <v>269</v>
      </c>
      <c r="T108" s="134">
        <f>+T89+T69+T53+T41+T30+T95</f>
        <v>2451942</v>
      </c>
      <c r="U108" s="138"/>
      <c r="W108" s="157" t="s">
        <v>269</v>
      </c>
      <c r="X108" s="134">
        <f>+X89+X69+X53+X41+X30+X95</f>
        <v>2526134</v>
      </c>
      <c r="Y108" s="138"/>
      <c r="AA108" s="157" t="s">
        <v>269</v>
      </c>
      <c r="AB108" s="134">
        <f>+AB89+AB69+AB53+AB41+AB30+AB95</f>
        <v>2599117</v>
      </c>
      <c r="AC108" s="138"/>
    </row>
    <row r="109" spans="1:29" s="137" customFormat="1" ht="11.25" x14ac:dyDescent="0.2">
      <c r="A109" s="158"/>
      <c r="B109" s="942"/>
      <c r="C109" s="944" t="s">
        <v>224</v>
      </c>
      <c r="D109" s="142">
        <f>+D13</f>
        <v>0</v>
      </c>
      <c r="E109" s="866"/>
      <c r="F109" s="144"/>
      <c r="G109" s="375" t="s">
        <v>224</v>
      </c>
      <c r="H109" s="142">
        <f>+H13</f>
        <v>0</v>
      </c>
      <c r="I109" s="875"/>
      <c r="J109" s="143"/>
      <c r="K109" s="375" t="s">
        <v>224</v>
      </c>
      <c r="L109" s="142">
        <f>+L13</f>
        <v>0</v>
      </c>
      <c r="M109" s="951"/>
      <c r="O109" s="375" t="s">
        <v>224</v>
      </c>
      <c r="P109" s="142">
        <f>+P13</f>
        <v>0</v>
      </c>
      <c r="Q109" s="865"/>
      <c r="R109" s="139"/>
      <c r="S109" s="141" t="s">
        <v>224</v>
      </c>
      <c r="T109" s="142">
        <f>+T13</f>
        <v>0</v>
      </c>
      <c r="W109" s="141" t="s">
        <v>224</v>
      </c>
      <c r="X109" s="142">
        <f>+X13</f>
        <v>0</v>
      </c>
      <c r="AA109" s="141" t="s">
        <v>224</v>
      </c>
      <c r="AB109" s="142">
        <f>+AB13</f>
        <v>0</v>
      </c>
    </row>
    <row r="110" spans="1:29" s="137" customFormat="1" ht="11.25" x14ac:dyDescent="0.2">
      <c r="A110" s="158"/>
      <c r="B110" s="942"/>
      <c r="C110" s="944"/>
      <c r="D110" s="145">
        <f>+D108+D109</f>
        <v>2310674.58</v>
      </c>
      <c r="E110" s="866"/>
      <c r="F110" s="144"/>
      <c r="G110" s="375"/>
      <c r="H110" s="145">
        <f>+H108+H109</f>
        <v>3252830</v>
      </c>
      <c r="I110" s="875"/>
      <c r="J110" s="143"/>
      <c r="K110" s="375"/>
      <c r="L110" s="145">
        <f>+L108+L109</f>
        <v>2471822</v>
      </c>
      <c r="M110" s="865"/>
      <c r="O110" s="375"/>
      <c r="P110" s="145">
        <f>+P108+P109</f>
        <v>2508247</v>
      </c>
      <c r="Q110" s="865"/>
      <c r="R110" s="139"/>
      <c r="S110" s="141"/>
      <c r="T110" s="145">
        <f>+T108+T109</f>
        <v>2451942</v>
      </c>
      <c r="W110" s="141"/>
      <c r="X110" s="145">
        <f>+X108+X109</f>
        <v>2526134</v>
      </c>
      <c r="AA110" s="141"/>
      <c r="AB110" s="145">
        <f>+AB108+AB109</f>
        <v>2599117</v>
      </c>
    </row>
    <row r="111" spans="1:29" ht="15" customHeight="1" x14ac:dyDescent="0.25">
      <c r="A111" s="152"/>
      <c r="B111" s="945"/>
      <c r="C111" s="945"/>
      <c r="D111" s="5">
        <f>+D98-D110</f>
        <v>0</v>
      </c>
      <c r="E111" s="863"/>
      <c r="F111" s="2"/>
      <c r="G111" s="376"/>
      <c r="H111" s="5">
        <f>+H98-H110</f>
        <v>0</v>
      </c>
      <c r="K111" s="376"/>
      <c r="L111" s="5">
        <f>+L98-L110</f>
        <v>0</v>
      </c>
      <c r="O111" s="376"/>
      <c r="P111" s="5">
        <f>+P98-P110</f>
        <v>0</v>
      </c>
      <c r="S111" s="103"/>
      <c r="T111" s="5">
        <f>+T98-T110</f>
        <v>0</v>
      </c>
      <c r="W111" s="103"/>
      <c r="X111" s="5">
        <f>+X98-X110</f>
        <v>0</v>
      </c>
      <c r="AA111" s="103"/>
      <c r="AB111" s="5">
        <f>+AB98-AB110</f>
        <v>0</v>
      </c>
    </row>
    <row r="112" spans="1:29" x14ac:dyDescent="0.25">
      <c r="A112" s="152"/>
      <c r="B112" s="945"/>
      <c r="C112" s="945"/>
      <c r="D112" s="36"/>
      <c r="E112" s="863"/>
      <c r="F112" s="2"/>
    </row>
    <row r="113" spans="1:6" x14ac:dyDescent="0.25">
      <c r="A113" s="152"/>
      <c r="B113" s="932"/>
      <c r="C113" s="868"/>
      <c r="D113" s="25"/>
      <c r="E113" s="863"/>
      <c r="F113" s="2"/>
    </row>
    <row r="114" spans="1:6" x14ac:dyDescent="0.25">
      <c r="B114" s="932"/>
      <c r="C114" s="868"/>
      <c r="D114" s="36"/>
    </row>
    <row r="115" spans="1:6" x14ac:dyDescent="0.25">
      <c r="B115" s="932"/>
      <c r="C115" s="868"/>
      <c r="D115" s="36"/>
    </row>
    <row r="116" spans="1:6" ht="15" customHeight="1" x14ac:dyDescent="0.25">
      <c r="B116" s="932"/>
      <c r="C116" s="868"/>
      <c r="D116" s="36"/>
    </row>
    <row r="117" spans="1:6" x14ac:dyDescent="0.25">
      <c r="B117" s="932"/>
      <c r="C117" s="868"/>
      <c r="D117" s="36"/>
    </row>
    <row r="118" spans="1:6" x14ac:dyDescent="0.25">
      <c r="B118" s="932"/>
      <c r="C118" s="868"/>
      <c r="D118" s="36"/>
    </row>
    <row r="119" spans="1:6" ht="15" customHeight="1" x14ac:dyDescent="0.25">
      <c r="B119" s="2209"/>
      <c r="C119" s="2209"/>
      <c r="D119" s="36"/>
    </row>
    <row r="120" spans="1:6" x14ac:dyDescent="0.25">
      <c r="B120" s="2209"/>
      <c r="C120" s="2209"/>
      <c r="D120" s="36"/>
    </row>
    <row r="121" spans="1:6" x14ac:dyDescent="0.25">
      <c r="B121" s="932"/>
      <c r="C121" s="868"/>
      <c r="D121" s="6"/>
    </row>
    <row r="122" spans="1:6" x14ac:dyDescent="0.25">
      <c r="B122" s="932"/>
      <c r="C122" s="868"/>
      <c r="D122" s="36"/>
    </row>
    <row r="123" spans="1:6" x14ac:dyDescent="0.25">
      <c r="B123" s="932"/>
      <c r="C123" s="868"/>
      <c r="D123" s="36"/>
    </row>
    <row r="124" spans="1:6" ht="28.5" customHeight="1" x14ac:dyDescent="0.25">
      <c r="B124" s="932"/>
      <c r="C124" s="868"/>
      <c r="D124" s="25"/>
    </row>
    <row r="125" spans="1:6" x14ac:dyDescent="0.25">
      <c r="B125" s="932"/>
      <c r="C125" s="868"/>
      <c r="D125" s="36"/>
    </row>
    <row r="126" spans="1:6" x14ac:dyDescent="0.25">
      <c r="B126" s="932"/>
      <c r="C126" s="868"/>
      <c r="D126" s="36"/>
    </row>
    <row r="127" spans="1:6" x14ac:dyDescent="0.25">
      <c r="B127" s="932"/>
      <c r="C127" s="868"/>
      <c r="D127" s="36"/>
    </row>
    <row r="128" spans="1:6" x14ac:dyDescent="0.25">
      <c r="B128" s="932"/>
      <c r="C128" s="868"/>
      <c r="D128" s="36"/>
    </row>
    <row r="129" spans="2:4" x14ac:dyDescent="0.25">
      <c r="B129" s="932"/>
      <c r="C129" s="868"/>
      <c r="D129" s="36"/>
    </row>
    <row r="130" spans="2:4" x14ac:dyDescent="0.25">
      <c r="B130" s="932"/>
      <c r="C130" s="868"/>
      <c r="D130" s="36"/>
    </row>
    <row r="131" spans="2:4" x14ac:dyDescent="0.25">
      <c r="B131" s="932"/>
      <c r="C131" s="868"/>
      <c r="D131" s="36"/>
    </row>
    <row r="132" spans="2:4" x14ac:dyDescent="0.25">
      <c r="B132" s="932"/>
      <c r="C132" s="868"/>
      <c r="D132" s="36"/>
    </row>
    <row r="133" spans="2:4" x14ac:dyDescent="0.25">
      <c r="B133" s="932"/>
      <c r="C133" s="868"/>
      <c r="D133" s="36"/>
    </row>
    <row r="134" spans="2:4" x14ac:dyDescent="0.25">
      <c r="B134" s="932"/>
      <c r="C134" s="868"/>
      <c r="D134" s="36"/>
    </row>
    <row r="135" spans="2:4" x14ac:dyDescent="0.25">
      <c r="B135" s="932"/>
      <c r="C135" s="868"/>
      <c r="D135" s="36"/>
    </row>
    <row r="136" spans="2:4" x14ac:dyDescent="0.25">
      <c r="B136" s="932"/>
      <c r="C136" s="868"/>
      <c r="D136" s="36"/>
    </row>
    <row r="137" spans="2:4" x14ac:dyDescent="0.25">
      <c r="B137" s="932"/>
      <c r="C137" s="868"/>
      <c r="D137" s="36"/>
    </row>
    <row r="138" spans="2:4" x14ac:dyDescent="0.25">
      <c r="B138" s="932"/>
      <c r="C138" s="868"/>
      <c r="D138" s="36"/>
    </row>
    <row r="139" spans="2:4" x14ac:dyDescent="0.25">
      <c r="B139" s="932"/>
      <c r="C139" s="868"/>
      <c r="D139" s="36"/>
    </row>
  </sheetData>
  <sheetProtection password="B79F" sheet="1" objects="1" scenarios="1"/>
  <mergeCells count="1">
    <mergeCell ref="B119:C120"/>
  </mergeCells>
  <pageMargins left="0.25" right="0.25" top="0.5" bottom="0.5" header="0.25" footer="0.25"/>
  <pageSetup paperSize="5" scale="62" orientation="portrait" r:id="rId1"/>
  <headerFooter>
    <oddHeader>&amp;L&amp;F</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AC126"/>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1.7109375" style="146" customWidth="1"/>
    <col min="2" max="2" width="8.5703125" style="930" customWidth="1"/>
    <col min="3" max="3" width="18.28515625" style="857" customWidth="1"/>
    <col min="4" max="4" width="16" style="2" customWidth="1"/>
    <col min="5" max="5" width="17.7109375" style="857" hidden="1" customWidth="1"/>
    <col min="6" max="6" width="6" style="39" customWidth="1"/>
    <col min="7" max="7" width="9.42578125" style="52" bestFit="1" customWidth="1"/>
    <col min="8" max="8" width="13.85546875" style="122" bestFit="1" customWidth="1"/>
    <col min="9" max="9" width="26" style="868" hidden="1" customWidth="1"/>
    <col min="10" max="10" width="5.7109375" style="59" customWidth="1"/>
    <col min="11" max="11" width="8.7109375" style="377" bestFit="1" customWidth="1"/>
    <col min="12" max="12" width="14" style="123" bestFit="1" customWidth="1"/>
    <col min="13" max="13" width="26" style="857" hidden="1" customWidth="1"/>
    <col min="14" max="14" width="5.7109375" style="39" customWidth="1"/>
    <col min="15" max="15" width="9.42578125" style="377" bestFit="1" customWidth="1"/>
    <col min="16" max="16" width="14" style="2" bestFit="1" customWidth="1"/>
    <col min="17" max="17" width="24.85546875" style="857"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930" t="s">
        <v>61</v>
      </c>
      <c r="C1" s="931" t="s">
        <v>342</v>
      </c>
      <c r="D1" s="1044"/>
      <c r="E1" s="855"/>
      <c r="F1" s="98"/>
      <c r="G1" s="369"/>
      <c r="H1" s="1045"/>
      <c r="I1" s="855"/>
      <c r="K1" s="382"/>
      <c r="L1" s="122"/>
      <c r="M1" s="855"/>
      <c r="N1" s="51"/>
      <c r="O1" s="382"/>
      <c r="P1" s="122"/>
      <c r="Q1" s="855"/>
      <c r="T1" s="86">
        <v>0</v>
      </c>
      <c r="U1" s="98"/>
      <c r="X1" s="86">
        <v>0</v>
      </c>
      <c r="Y1" s="98"/>
      <c r="AB1" s="86">
        <v>0</v>
      </c>
      <c r="AC1" s="98"/>
    </row>
    <row r="2" spans="1:29" ht="17.25" x14ac:dyDescent="0.4">
      <c r="B2" s="932" t="s">
        <v>59</v>
      </c>
      <c r="C2" s="933">
        <v>9076</v>
      </c>
      <c r="D2" s="1045"/>
      <c r="E2" s="855"/>
      <c r="F2" s="98"/>
      <c r="G2" s="1863"/>
      <c r="H2" s="1045"/>
      <c r="I2" s="855"/>
      <c r="K2" s="382"/>
      <c r="L2" s="87"/>
      <c r="M2" s="855"/>
      <c r="N2" s="51"/>
      <c r="O2" s="382"/>
      <c r="P2" s="87"/>
      <c r="Q2" s="855"/>
      <c r="T2" s="87">
        <v>0</v>
      </c>
      <c r="U2" s="98"/>
      <c r="X2" s="87">
        <v>0</v>
      </c>
      <c r="Y2" s="98"/>
      <c r="AB2" s="87">
        <v>0</v>
      </c>
      <c r="AC2" s="98"/>
    </row>
    <row r="3" spans="1:29" x14ac:dyDescent="0.25">
      <c r="D3" s="1046"/>
      <c r="E3" s="867"/>
      <c r="F3" s="1047"/>
      <c r="G3" s="1864"/>
      <c r="H3" s="1046"/>
      <c r="I3" s="867"/>
      <c r="K3" s="382"/>
      <c r="L3" s="122"/>
      <c r="M3" s="868"/>
      <c r="N3" s="51"/>
      <c r="O3" s="382"/>
      <c r="P3" s="122"/>
      <c r="Q3" s="868"/>
      <c r="T3" s="86">
        <f>SUM(T1:T2)</f>
        <v>0</v>
      </c>
      <c r="U3" s="51"/>
      <c r="X3" s="86">
        <f>SUM(X1:X2)</f>
        <v>0</v>
      </c>
      <c r="Y3" s="51"/>
      <c r="AB3" s="86">
        <f>SUM(AB1:AB2)</f>
        <v>0</v>
      </c>
      <c r="AC3" s="51"/>
    </row>
    <row r="4" spans="1:29" x14ac:dyDescent="0.25">
      <c r="L4" s="122"/>
      <c r="M4" s="868"/>
      <c r="P4" s="122"/>
      <c r="Q4" s="868"/>
      <c r="T4" s="86"/>
      <c r="U4" s="51"/>
      <c r="X4" s="86"/>
      <c r="Y4" s="51"/>
      <c r="AB4" s="86"/>
      <c r="AC4" s="51"/>
    </row>
    <row r="5" spans="1:29" ht="15.75" x14ac:dyDescent="0.25">
      <c r="B5" s="934" t="s">
        <v>56</v>
      </c>
      <c r="P5" s="123"/>
      <c r="T5" s="73"/>
      <c r="X5" s="73"/>
      <c r="AB5" s="73"/>
    </row>
    <row r="6" spans="1:29" s="89" customFormat="1" ht="15.75" x14ac:dyDescent="0.25">
      <c r="A6" s="147"/>
      <c r="B6" s="935"/>
      <c r="C6" s="935"/>
      <c r="D6" s="284" t="s">
        <v>55</v>
      </c>
      <c r="E6" s="858"/>
      <c r="G6" s="371"/>
      <c r="H6" s="324" t="str">
        <f>LEFT(D6,4)+1&amp;"-"&amp;RIGHT(D6,4)+1</f>
        <v>2017-2018</v>
      </c>
      <c r="I6" s="869"/>
      <c r="J6" s="93"/>
      <c r="K6" s="378"/>
      <c r="L6" s="124" t="str">
        <f>LEFT(H6,4)+1&amp;"-"&amp;RIGHT(H6,4)+1</f>
        <v>2018-2019</v>
      </c>
      <c r="M6" s="946"/>
      <c r="N6" s="96"/>
      <c r="O6" s="381"/>
      <c r="P6" s="124" t="str">
        <f>LEFT(L6,4)+1&amp;"-"&amp;RIGHT(L6,4)+1</f>
        <v>2019-2020</v>
      </c>
      <c r="Q6" s="94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936" t="s">
        <v>54</v>
      </c>
      <c r="D7" s="2">
        <v>0</v>
      </c>
      <c r="E7" s="928"/>
      <c r="H7" s="2">
        <f>D89</f>
        <v>0</v>
      </c>
      <c r="I7" s="928"/>
      <c r="J7" s="60"/>
      <c r="L7" s="2">
        <f>H89</f>
        <v>0</v>
      </c>
      <c r="M7" s="928"/>
      <c r="P7" s="2">
        <f>L89</f>
        <v>0</v>
      </c>
      <c r="Q7" s="928"/>
      <c r="T7" s="2">
        <f>P89</f>
        <v>0</v>
      </c>
      <c r="U7" s="105"/>
      <c r="X7" s="2">
        <f>T89</f>
        <v>0</v>
      </c>
      <c r="Y7" s="105"/>
      <c r="AB7" s="2">
        <f>X89</f>
        <v>-8321</v>
      </c>
      <c r="AC7" s="105"/>
    </row>
    <row r="8" spans="1:29" x14ac:dyDescent="0.25">
      <c r="E8" s="928"/>
      <c r="H8" s="2"/>
      <c r="I8" s="928"/>
      <c r="L8" s="2"/>
      <c r="M8" s="928"/>
      <c r="Q8" s="928"/>
      <c r="U8" s="105"/>
      <c r="Y8" s="105"/>
      <c r="AC8" s="105"/>
    </row>
    <row r="9" spans="1:29" x14ac:dyDescent="0.25">
      <c r="B9" s="930" t="s">
        <v>52</v>
      </c>
      <c r="C9" s="857" t="s">
        <v>343</v>
      </c>
      <c r="D9" s="2">
        <v>4485.3999999999996</v>
      </c>
      <c r="E9" s="928"/>
      <c r="G9" s="83">
        <f>IF(D9=0,"0.00%",(H9-D9)/D9)</f>
        <v>0.80585900922994624</v>
      </c>
      <c r="H9" s="3">
        <v>8100</v>
      </c>
      <c r="I9" s="928" t="s">
        <v>174</v>
      </c>
      <c r="J9" s="61"/>
      <c r="K9" s="83">
        <f>IF(H9=0,"0.00%",(L9-H9)/H9)</f>
        <v>0</v>
      </c>
      <c r="L9" s="3">
        <f>+H9</f>
        <v>8100</v>
      </c>
      <c r="M9" s="928" t="s">
        <v>174</v>
      </c>
      <c r="O9" s="83">
        <f>IF(L9=0,"0.00%",(P9-L9)/L9)</f>
        <v>0</v>
      </c>
      <c r="P9" s="3">
        <f>+L9</f>
        <v>8100</v>
      </c>
      <c r="Q9" s="928" t="s">
        <v>174</v>
      </c>
      <c r="S9" s="83">
        <f>IF(P9=0,"0.00%",(T9-P9)/P9)</f>
        <v>0</v>
      </c>
      <c r="T9" s="3">
        <f>+P9</f>
        <v>8100</v>
      </c>
      <c r="U9" s="105" t="s">
        <v>174</v>
      </c>
      <c r="W9" s="83">
        <f>IF(T9=0,"0.00%",(X9-T9)/T9)</f>
        <v>-1</v>
      </c>
      <c r="X9" s="3">
        <f>X3</f>
        <v>0</v>
      </c>
      <c r="Y9" s="105"/>
      <c r="AA9" s="83" t="str">
        <f>IF(X9=0,"0.00%",(AB9-X9)/X9)</f>
        <v>0.00%</v>
      </c>
      <c r="AB9" s="3">
        <f>AB3</f>
        <v>0</v>
      </c>
      <c r="AC9" s="105"/>
    </row>
    <row r="10" spans="1:29" x14ac:dyDescent="0.25">
      <c r="C10" s="857" t="s">
        <v>51</v>
      </c>
      <c r="D10" s="2">
        <v>0</v>
      </c>
      <c r="E10" s="928"/>
      <c r="G10" s="83" t="str">
        <f t="shared" ref="G10:G15" si="0">IF(D10=0,"0.00%",(H10-D10)/D10)</f>
        <v>0.00%</v>
      </c>
      <c r="H10" s="3">
        <v>0</v>
      </c>
      <c r="I10" s="928"/>
      <c r="J10" s="61"/>
      <c r="K10" s="83" t="str">
        <f>IF(H10=0,"0.00%",(L10-H10)/H10)</f>
        <v>0.00%</v>
      </c>
      <c r="L10" s="3">
        <f>-H2</f>
        <v>0</v>
      </c>
      <c r="M10" s="928"/>
      <c r="O10" s="83" t="str">
        <f>IF(L10=0,"0.00%",(P10-L10)/L10)</f>
        <v>0.00%</v>
      </c>
      <c r="P10" s="3">
        <f>-L2</f>
        <v>0</v>
      </c>
      <c r="Q10" s="928"/>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936" t="s">
        <v>137</v>
      </c>
      <c r="D11" s="8">
        <f>SUM(D9:D10)</f>
        <v>4485.3999999999996</v>
      </c>
      <c r="E11" s="928"/>
      <c r="G11" s="83">
        <f t="shared" si="0"/>
        <v>0.80585900922994624</v>
      </c>
      <c r="H11" s="8">
        <f>SUM(H9:H10)</f>
        <v>8100</v>
      </c>
      <c r="I11" s="928"/>
      <c r="J11" s="62"/>
      <c r="K11" s="83">
        <f>IF(H11=0,"0.00%",(L11-H11)/H11)</f>
        <v>0</v>
      </c>
      <c r="L11" s="8">
        <f>SUM(L9:L10)</f>
        <v>8100</v>
      </c>
      <c r="M11" s="928"/>
      <c r="O11" s="83">
        <f>IF(L11=0,"0.00%",(P11-L11)/L11)</f>
        <v>0</v>
      </c>
      <c r="P11" s="8">
        <f>SUM(P9:P10)</f>
        <v>8100</v>
      </c>
      <c r="Q11" s="928"/>
      <c r="S11" s="83">
        <f>IF(P11=0,"0.00%",(T11-P11)/P11)</f>
        <v>0</v>
      </c>
      <c r="T11" s="78">
        <f>SUM(T9:T10)</f>
        <v>8100</v>
      </c>
      <c r="U11" s="105"/>
      <c r="W11" s="83">
        <f>IF(T11=0,"0.00%",(X11-T11)/T11)</f>
        <v>-1</v>
      </c>
      <c r="X11" s="78">
        <f>SUM(X9:X10)</f>
        <v>0</v>
      </c>
      <c r="Y11" s="105"/>
      <c r="AA11" s="83" t="str">
        <f>IF(X11=0,"0.00%",(AB11-X11)/X11)</f>
        <v>0.00%</v>
      </c>
      <c r="AB11" s="78">
        <f>SUM(AB9:AB10)</f>
        <v>0</v>
      </c>
      <c r="AC11" s="105"/>
    </row>
    <row r="12" spans="1:29" x14ac:dyDescent="0.25">
      <c r="E12" s="928"/>
      <c r="H12" s="3"/>
      <c r="I12" s="928"/>
      <c r="J12" s="63"/>
      <c r="K12" s="52"/>
      <c r="L12" s="3"/>
      <c r="M12" s="928"/>
      <c r="O12" s="52"/>
      <c r="P12" s="3"/>
      <c r="Q12" s="928"/>
      <c r="S12" s="46"/>
      <c r="T12" s="44"/>
      <c r="U12" s="105"/>
      <c r="W12" s="46"/>
      <c r="X12" s="44"/>
      <c r="Y12" s="105"/>
      <c r="AA12" s="46"/>
      <c r="AB12" s="44"/>
      <c r="AC12" s="105"/>
    </row>
    <row r="13" spans="1:29" x14ac:dyDescent="0.25">
      <c r="B13" s="937"/>
      <c r="C13" s="938" t="s">
        <v>64</v>
      </c>
      <c r="D13" s="9">
        <f>ROUND(D11-(D11/(1+B13)),0)</f>
        <v>0</v>
      </c>
      <c r="E13" s="928"/>
      <c r="G13" s="83" t="str">
        <f t="shared" si="0"/>
        <v>0.00%</v>
      </c>
      <c r="H13" s="9">
        <f>ROUND(H11-(H11/(1+B13)),0)</f>
        <v>0</v>
      </c>
      <c r="I13" s="928"/>
      <c r="J13" s="64"/>
      <c r="K13" s="83" t="str">
        <f>IF(H13=0,"0.00%",(L13-H13)/H13)</f>
        <v>0.00%</v>
      </c>
      <c r="L13" s="9">
        <f>ROUND(L11-(L11/(1+B13)),0)</f>
        <v>0</v>
      </c>
      <c r="M13" s="928"/>
      <c r="O13" s="83" t="str">
        <f>IF(L13=0,"0.00%",(P13-L13)/L13)</f>
        <v>0.00%</v>
      </c>
      <c r="P13" s="9">
        <f>ROUND(P11-(P11/(1+B13)),0)</f>
        <v>0</v>
      </c>
      <c r="Q13" s="928"/>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928"/>
      <c r="H14" s="3"/>
      <c r="I14" s="928"/>
      <c r="J14" s="63"/>
      <c r="K14" s="52"/>
      <c r="L14" s="3"/>
      <c r="M14" s="928"/>
      <c r="O14" s="52"/>
      <c r="P14" s="3"/>
      <c r="Q14" s="928"/>
      <c r="S14" s="46"/>
      <c r="T14" s="44"/>
      <c r="U14" s="105"/>
      <c r="W14" s="46"/>
      <c r="X14" s="44"/>
      <c r="Y14" s="105"/>
      <c r="AA14" s="46"/>
      <c r="AB14" s="44"/>
      <c r="AC14" s="105"/>
    </row>
    <row r="15" spans="1:29" x14ac:dyDescent="0.25">
      <c r="B15" s="936" t="s">
        <v>50</v>
      </c>
      <c r="D15" s="10">
        <f>D11-D13</f>
        <v>4485.3999999999996</v>
      </c>
      <c r="E15" s="928"/>
      <c r="G15" s="83">
        <f t="shared" si="0"/>
        <v>0.80585900922994624</v>
      </c>
      <c r="H15" s="9">
        <f>H11-H13</f>
        <v>8100</v>
      </c>
      <c r="I15" s="928"/>
      <c r="J15" s="62"/>
      <c r="K15" s="83">
        <f>IF(H15=0,"0.00%",(L15-H15)/H15)</f>
        <v>0</v>
      </c>
      <c r="L15" s="9">
        <f>L11-L13</f>
        <v>8100</v>
      </c>
      <c r="M15" s="928"/>
      <c r="O15" s="83">
        <f>IF(L15=0,"0.00%",(P15-L15)/L15)</f>
        <v>0</v>
      </c>
      <c r="P15" s="9">
        <f>P11-P13</f>
        <v>8100</v>
      </c>
      <c r="Q15" s="928"/>
      <c r="S15" s="83">
        <f>IF(P15=0,"0.00%",(T15-P15)/P15)</f>
        <v>0</v>
      </c>
      <c r="T15" s="19">
        <f>T11-T13</f>
        <v>8100</v>
      </c>
      <c r="U15" s="105"/>
      <c r="W15" s="83">
        <f>IF(T15=0,"0.00%",(X15-T15)/T15)</f>
        <v>-1</v>
      </c>
      <c r="X15" s="19">
        <f>X11-X13</f>
        <v>0</v>
      </c>
      <c r="Y15" s="105"/>
      <c r="AA15" s="83" t="str">
        <f>IF(X15=0,"0.00%",(AB15-X15)/X15)</f>
        <v>0.00%</v>
      </c>
      <c r="AB15" s="19">
        <f>AB11-AB13</f>
        <v>0</v>
      </c>
      <c r="AC15" s="105"/>
    </row>
    <row r="16" spans="1:29" x14ac:dyDescent="0.25">
      <c r="E16" s="928"/>
      <c r="H16" s="3"/>
      <c r="I16" s="928"/>
      <c r="J16" s="62"/>
      <c r="L16" s="3"/>
      <c r="M16" s="928"/>
      <c r="P16" s="3"/>
      <c r="Q16" s="928"/>
      <c r="T16" s="49"/>
      <c r="U16" s="105"/>
      <c r="X16" s="49"/>
      <c r="Y16" s="105"/>
      <c r="AB16" s="49"/>
      <c r="AC16" s="105"/>
    </row>
    <row r="17" spans="1:29" x14ac:dyDescent="0.25">
      <c r="C17" s="930"/>
      <c r="E17" s="928"/>
      <c r="H17" s="3"/>
      <c r="I17" s="928"/>
      <c r="J17" s="63"/>
      <c r="L17" s="3"/>
      <c r="M17" s="928"/>
      <c r="P17" s="3"/>
      <c r="Q17" s="928"/>
      <c r="T17" s="44"/>
      <c r="U17" s="105"/>
      <c r="X17" s="44"/>
      <c r="Y17" s="105"/>
      <c r="AB17" s="44"/>
      <c r="AC17" s="105"/>
    </row>
    <row r="18" spans="1:29" x14ac:dyDescent="0.25">
      <c r="A18" s="148"/>
      <c r="D18" s="29" t="s">
        <v>826</v>
      </c>
      <c r="E18" s="929"/>
      <c r="F18" s="32"/>
      <c r="H18" s="29" t="s">
        <v>177</v>
      </c>
      <c r="I18" s="929"/>
      <c r="J18" s="65"/>
      <c r="M18" s="929"/>
      <c r="Q18" s="929"/>
      <c r="U18" s="106"/>
      <c r="Y18" s="106"/>
      <c r="AC18" s="106"/>
    </row>
    <row r="19" spans="1:29" ht="17.25" x14ac:dyDescent="0.4">
      <c r="A19" s="149"/>
      <c r="D19" s="35" t="s">
        <v>827</v>
      </c>
      <c r="E19" s="860"/>
      <c r="F19" s="34"/>
      <c r="H19" s="35" t="s">
        <v>48</v>
      </c>
      <c r="I19" s="870">
        <v>0.02</v>
      </c>
      <c r="J19" s="29"/>
      <c r="L19" s="14" t="s">
        <v>48</v>
      </c>
      <c r="M19" s="870">
        <v>0.02</v>
      </c>
      <c r="P19" s="14" t="s">
        <v>48</v>
      </c>
      <c r="Q19" s="870">
        <v>0.02</v>
      </c>
      <c r="T19" s="14" t="s">
        <v>48</v>
      </c>
      <c r="U19" s="104">
        <v>0.02</v>
      </c>
      <c r="X19" s="14" t="s">
        <v>48</v>
      </c>
      <c r="Y19" s="104">
        <v>0.02</v>
      </c>
      <c r="AB19" s="14" t="s">
        <v>48</v>
      </c>
      <c r="AC19" s="104">
        <v>0.02</v>
      </c>
    </row>
    <row r="20" spans="1:29" s="13" customFormat="1" hidden="1" x14ac:dyDescent="0.25">
      <c r="A20" s="150"/>
      <c r="B20" s="936" t="s">
        <v>46</v>
      </c>
      <c r="C20" s="938"/>
      <c r="D20" s="10"/>
      <c r="E20" s="861"/>
      <c r="F20" s="10"/>
      <c r="G20" s="372"/>
      <c r="H20" s="10"/>
      <c r="I20" s="864"/>
      <c r="J20" s="57"/>
      <c r="K20" s="379"/>
      <c r="L20" s="10"/>
      <c r="M20" s="947"/>
      <c r="O20" s="379"/>
      <c r="P20" s="10"/>
      <c r="Q20" s="947"/>
      <c r="R20" s="111"/>
      <c r="T20" s="10"/>
      <c r="U20" s="74"/>
      <c r="X20" s="10"/>
      <c r="Y20" s="74"/>
      <c r="AB20" s="10"/>
      <c r="AC20" s="74"/>
    </row>
    <row r="21" spans="1:29" hidden="1" x14ac:dyDescent="0.25">
      <c r="A21" s="151"/>
      <c r="B21" s="939"/>
      <c r="D21" s="2">
        <v>0</v>
      </c>
      <c r="E21" s="863"/>
      <c r="F21" s="2"/>
      <c r="G21" s="83" t="str">
        <f t="shared" ref="G21:G30" si="1">IF(D21=0,"0.00%",(H21-D21)/D21)</f>
        <v>0.00%</v>
      </c>
      <c r="H21" s="2">
        <f t="shared" ref="H21:H27" si="2">ROUND(D21*(1+$I$19),0)</f>
        <v>0</v>
      </c>
      <c r="I21" s="854" t="str">
        <f t="shared" ref="I21:I28" si="3">TEXT($I$19,"0.0%")&amp;" = Est. S &amp; C"</f>
        <v>2.0% = Est. S &amp; C</v>
      </c>
      <c r="J21" s="66"/>
      <c r="K21" s="83" t="str">
        <f t="shared" ref="K21:K27" si="4">IF(H21=0,"0.00%",(L21-H21)/H21)</f>
        <v>0.00%</v>
      </c>
      <c r="L21" s="2">
        <f>ROUND(H21*(1+M19),0)</f>
        <v>0</v>
      </c>
      <c r="M21" s="871" t="str">
        <f>TEXT(M19,"0.0%")&amp;" = Est. S &amp; C"</f>
        <v>2.0% = Est. S &amp; C</v>
      </c>
      <c r="O21" s="83" t="str">
        <f t="shared" ref="O21:O27" si="5">IF(L21=0,"0.00%",(P21-L21)/L21)</f>
        <v>0.00%</v>
      </c>
      <c r="P21" s="2">
        <f>ROUND(L21*(1+Q19),0)</f>
        <v>0</v>
      </c>
      <c r="Q21" s="871"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2"/>
      <c r="B22" s="939"/>
      <c r="D22" s="2">
        <v>0</v>
      </c>
      <c r="E22" s="863"/>
      <c r="F22" s="2"/>
      <c r="G22" s="83" t="str">
        <f t="shared" si="1"/>
        <v>0.00%</v>
      </c>
      <c r="H22" s="2">
        <f t="shared" si="2"/>
        <v>0</v>
      </c>
      <c r="I22" s="871" t="str">
        <f t="shared" si="3"/>
        <v>2.0% = Est. S &amp; C</v>
      </c>
      <c r="J22" s="66"/>
      <c r="K22" s="83" t="str">
        <f t="shared" si="4"/>
        <v>0.00%</v>
      </c>
      <c r="L22" s="2">
        <f>ROUND(H22*(1+M19),0)</f>
        <v>0</v>
      </c>
      <c r="M22" s="871" t="str">
        <f>TEXT(M19,"0.0%")&amp;" = Est. S &amp; C"</f>
        <v>2.0% = Est. S &amp; C</v>
      </c>
      <c r="O22" s="83" t="str">
        <f t="shared" si="5"/>
        <v>0.00%</v>
      </c>
      <c r="P22" s="2">
        <f>ROUND(L22*(1+Q19),0)</f>
        <v>0</v>
      </c>
      <c r="Q22" s="871"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2"/>
      <c r="B23" s="939"/>
      <c r="D23" s="2">
        <v>0</v>
      </c>
      <c r="E23" s="863"/>
      <c r="F23" s="2"/>
      <c r="G23" s="83" t="str">
        <f t="shared" si="1"/>
        <v>0.00%</v>
      </c>
      <c r="H23" s="2">
        <f t="shared" si="2"/>
        <v>0</v>
      </c>
      <c r="I23" s="871" t="str">
        <f t="shared" si="3"/>
        <v>2.0% = Est. S &amp; C</v>
      </c>
      <c r="J23" s="66"/>
      <c r="K23" s="83" t="str">
        <f t="shared" si="4"/>
        <v>0.00%</v>
      </c>
      <c r="L23" s="2">
        <f>ROUND(H23*(1+M19),0)</f>
        <v>0</v>
      </c>
      <c r="M23" s="871" t="str">
        <f>TEXT(M19,"0.0%")&amp;" = Est. S &amp; C"</f>
        <v>2.0% = Est. S &amp; C</v>
      </c>
      <c r="O23" s="83" t="str">
        <f t="shared" si="5"/>
        <v>0.00%</v>
      </c>
      <c r="P23" s="2">
        <f>ROUND(L23*(1+Q19),0)</f>
        <v>0</v>
      </c>
      <c r="Q23" s="871"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2"/>
      <c r="B24" s="939"/>
      <c r="D24" s="2">
        <v>0</v>
      </c>
      <c r="E24" s="863"/>
      <c r="F24" s="2"/>
      <c r="G24" s="83" t="str">
        <f t="shared" si="1"/>
        <v>0.00%</v>
      </c>
      <c r="H24" s="2">
        <f t="shared" si="2"/>
        <v>0</v>
      </c>
      <c r="I24" s="871" t="str">
        <f t="shared" si="3"/>
        <v>2.0% = Est. S &amp; C</v>
      </c>
      <c r="J24" s="66"/>
      <c r="K24" s="83" t="str">
        <f t="shared" si="4"/>
        <v>0.00%</v>
      </c>
      <c r="L24" s="2">
        <f>ROUND(H24*(1+M19),0)</f>
        <v>0</v>
      </c>
      <c r="M24" s="871" t="str">
        <f>TEXT(M19,"0.0%")&amp;" = Est. S &amp; C"</f>
        <v>2.0% = Est. S &amp; C</v>
      </c>
      <c r="O24" s="83" t="str">
        <f t="shared" si="5"/>
        <v>0.00%</v>
      </c>
      <c r="P24" s="2">
        <f>ROUND(L24*(1+Q19),0)</f>
        <v>0</v>
      </c>
      <c r="Q24" s="871"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2"/>
      <c r="B25" s="939"/>
      <c r="D25" s="2">
        <v>0</v>
      </c>
      <c r="E25" s="863"/>
      <c r="F25" s="2"/>
      <c r="G25" s="83" t="str">
        <f t="shared" si="1"/>
        <v>0.00%</v>
      </c>
      <c r="H25" s="2">
        <f t="shared" si="2"/>
        <v>0</v>
      </c>
      <c r="I25" s="871" t="str">
        <f t="shared" si="3"/>
        <v>2.0% = Est. S &amp; C</v>
      </c>
      <c r="J25" s="66"/>
      <c r="K25" s="83" t="str">
        <f t="shared" si="4"/>
        <v>0.00%</v>
      </c>
      <c r="L25" s="2">
        <f>ROUND(H25*(1+M19),0)</f>
        <v>0</v>
      </c>
      <c r="M25" s="871" t="str">
        <f>TEXT(M19,"0.0%")&amp;" = Est. S &amp; C"</f>
        <v>2.0% = Est. S &amp; C</v>
      </c>
      <c r="O25" s="83" t="str">
        <f t="shared" si="5"/>
        <v>0.00%</v>
      </c>
      <c r="P25" s="2">
        <f>ROUND(L25*(1+Q19),0)</f>
        <v>0</v>
      </c>
      <c r="Q25" s="871"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2"/>
      <c r="B26" s="939"/>
      <c r="D26" s="2">
        <v>0</v>
      </c>
      <c r="E26" s="863"/>
      <c r="F26" s="2"/>
      <c r="G26" s="83" t="str">
        <f t="shared" si="1"/>
        <v>0.00%</v>
      </c>
      <c r="H26" s="2">
        <f t="shared" si="2"/>
        <v>0</v>
      </c>
      <c r="I26" s="871" t="str">
        <f t="shared" si="3"/>
        <v>2.0% = Est. S &amp; C</v>
      </c>
      <c r="J26" s="66"/>
      <c r="K26" s="83" t="str">
        <f t="shared" si="4"/>
        <v>0.00%</v>
      </c>
      <c r="L26" s="2">
        <f>ROUND(H26*(1+M19),0)</f>
        <v>0</v>
      </c>
      <c r="M26" s="382" t="str">
        <f>TEXT(M19,"0.0%")&amp;" = Est. S &amp; C"</f>
        <v>2.0% = Est. S &amp; C</v>
      </c>
      <c r="O26" s="83" t="str">
        <f t="shared" si="5"/>
        <v>0.00%</v>
      </c>
      <c r="P26" s="2">
        <f>ROUND(L26*(1+Q19),0)</f>
        <v>0</v>
      </c>
      <c r="Q26" s="871"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2"/>
      <c r="B27" s="939"/>
      <c r="D27" s="2">
        <v>0</v>
      </c>
      <c r="E27" s="863"/>
      <c r="F27" s="2"/>
      <c r="G27" s="83" t="str">
        <f t="shared" si="1"/>
        <v>0.00%</v>
      </c>
      <c r="H27" s="2">
        <f t="shared" si="2"/>
        <v>0</v>
      </c>
      <c r="I27" s="871" t="str">
        <f t="shared" si="3"/>
        <v>2.0% = Est. S &amp; C</v>
      </c>
      <c r="J27" s="66"/>
      <c r="K27" s="83" t="str">
        <f t="shared" si="4"/>
        <v>0.00%</v>
      </c>
      <c r="L27" s="2">
        <f>ROUND(H27*(1+M19),0)</f>
        <v>0</v>
      </c>
      <c r="M27" s="871" t="str">
        <f>TEXT(M19,"0.0%")&amp;" = Est. S &amp; C"</f>
        <v>2.0% = Est. S &amp; C</v>
      </c>
      <c r="O27" s="83" t="str">
        <f t="shared" si="5"/>
        <v>0.00%</v>
      </c>
      <c r="P27" s="2">
        <f>ROUND(L27*(1+Q19),0)</f>
        <v>0</v>
      </c>
      <c r="Q27" s="871"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2"/>
      <c r="B28" s="939"/>
      <c r="D28" s="2">
        <v>0</v>
      </c>
      <c r="E28" s="863"/>
      <c r="F28" s="2"/>
      <c r="G28" s="83" t="str">
        <f>IF(D28=0,"0.00%",(H28-D28)/D28)</f>
        <v>0.00%</v>
      </c>
      <c r="H28" s="2">
        <f>ROUND(D28*(1+$I$19),0)</f>
        <v>0</v>
      </c>
      <c r="I28" s="871" t="str">
        <f t="shared" si="3"/>
        <v>2.0% = Est. S &amp; C</v>
      </c>
      <c r="J28" s="66"/>
      <c r="K28" s="83" t="str">
        <f>IF(H28=0,"0.00%",(L28-H28)/H28)</f>
        <v>0.00%</v>
      </c>
      <c r="L28" s="2">
        <f>ROUND(H28*(1+M20),0)</f>
        <v>0</v>
      </c>
      <c r="M28" s="871" t="str">
        <f>TEXT(M20,"0.0%")&amp;" = Est. S &amp; C"</f>
        <v>0.0% = Est. S &amp; C</v>
      </c>
      <c r="O28" s="83" t="str">
        <f>IF(L28=0,"0.00%",(P28-L28)/L28)</f>
        <v>0.00%</v>
      </c>
      <c r="P28" s="2">
        <f>ROUND(L28*(1+Q20),0)</f>
        <v>0</v>
      </c>
      <c r="Q28" s="871"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939"/>
      <c r="E29" s="863"/>
      <c r="F29" s="2"/>
      <c r="G29" s="83"/>
      <c r="H29" s="2"/>
      <c r="I29" s="871"/>
      <c r="J29" s="66"/>
      <c r="L29" s="2"/>
      <c r="M29" s="948"/>
      <c r="Q29" s="948"/>
      <c r="T29" s="2"/>
      <c r="U29" s="73"/>
      <c r="X29" s="2"/>
      <c r="Y29" s="73"/>
      <c r="AB29" s="2"/>
      <c r="AC29" s="73"/>
    </row>
    <row r="30" spans="1:29" hidden="1" x14ac:dyDescent="0.25">
      <c r="A30" s="153"/>
      <c r="B30" s="939"/>
      <c r="D30" s="8">
        <f>SUM(D21:D29)</f>
        <v>0</v>
      </c>
      <c r="E30" s="863"/>
      <c r="F30" s="2"/>
      <c r="G30" s="83" t="str">
        <f t="shared" si="1"/>
        <v>0.00%</v>
      </c>
      <c r="H30" s="8">
        <f>SUM(H21:H29)</f>
        <v>0</v>
      </c>
      <c r="I30" s="872"/>
      <c r="J30" s="29"/>
      <c r="K30" s="83" t="str">
        <f>IF(H30=0,"0.00%",(L30-H30)/H30)</f>
        <v>0.00%</v>
      </c>
      <c r="L30" s="8">
        <f>SUM(L21:L29)</f>
        <v>0</v>
      </c>
      <c r="M30" s="948"/>
      <c r="O30" s="83" t="str">
        <f>IF(L30=0,"0.00%",(P30-L30)/L30)</f>
        <v>0.00%</v>
      </c>
      <c r="P30" s="8">
        <f>SUM(P21:P29)</f>
        <v>0</v>
      </c>
      <c r="Q30" s="948"/>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2"/>
      <c r="E31" s="863"/>
      <c r="F31" s="2"/>
      <c r="H31" s="2"/>
      <c r="I31" s="854"/>
      <c r="J31" s="66"/>
      <c r="L31" s="2"/>
      <c r="M31" s="949"/>
      <c r="Q31" s="949"/>
      <c r="T31" s="2"/>
      <c r="U31" s="73"/>
      <c r="X31" s="2"/>
      <c r="Y31" s="73"/>
      <c r="AB31" s="2"/>
      <c r="AC31" s="73"/>
    </row>
    <row r="32" spans="1:29" s="4" customFormat="1" hidden="1" x14ac:dyDescent="0.25">
      <c r="A32" s="150"/>
      <c r="B32" s="940" t="s">
        <v>35</v>
      </c>
      <c r="C32" s="873"/>
      <c r="D32" s="6"/>
      <c r="E32" s="864"/>
      <c r="F32" s="6"/>
      <c r="G32" s="373"/>
      <c r="H32" s="6"/>
      <c r="I32" s="864"/>
      <c r="J32" s="57"/>
      <c r="K32" s="380"/>
      <c r="L32" s="6"/>
      <c r="M32" s="950"/>
      <c r="O32" s="380"/>
      <c r="P32" s="6"/>
      <c r="Q32" s="950"/>
      <c r="R32" s="111"/>
      <c r="T32" s="6"/>
      <c r="U32" s="71"/>
      <c r="X32" s="6"/>
      <c r="Y32" s="71"/>
      <c r="AB32" s="6"/>
      <c r="AC32" s="71"/>
    </row>
    <row r="33" spans="1:29" hidden="1" x14ac:dyDescent="0.25">
      <c r="A33" s="152"/>
      <c r="B33" s="939"/>
      <c r="D33" s="2">
        <v>0</v>
      </c>
      <c r="E33" s="863"/>
      <c r="F33" s="2"/>
      <c r="G33" s="83" t="str">
        <f t="shared" ref="G33:G39" si="9">IF(D33=0,"0.00%",(H33-D33)/D33)</f>
        <v>0.00%</v>
      </c>
      <c r="H33" s="2">
        <f t="shared" ref="H33:H39" si="10">ROUND(D33*(1+$I$19),0)</f>
        <v>0</v>
      </c>
      <c r="I33" s="871" t="str">
        <f t="shared" ref="I33:I39" si="11">TEXT($I$19,"0.0%")&amp;" = Est. S &amp; C"</f>
        <v>2.0% = Est. S &amp; C</v>
      </c>
      <c r="J33" s="66"/>
      <c r="K33" s="83" t="str">
        <f t="shared" ref="K33:K39" si="12">IF(H33=0,"0.00%",(L33-H33)/H33)</f>
        <v>0.00%</v>
      </c>
      <c r="L33" s="2">
        <f>ROUND(H33*(1+M19),0)</f>
        <v>0</v>
      </c>
      <c r="M33" s="871" t="str">
        <f>TEXT(M19,"0.0%")&amp;" = Est. S &amp; C"</f>
        <v>2.0% = Est. S &amp; C</v>
      </c>
      <c r="O33" s="83" t="str">
        <f t="shared" ref="O33:O39" si="13">IF(L33=0,"0.00%",(P33-L33)/L33)</f>
        <v>0.00%</v>
      </c>
      <c r="P33" s="2">
        <f>ROUND(L33*(1+Q19),0)</f>
        <v>0</v>
      </c>
      <c r="Q33" s="871"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2"/>
      <c r="B34" s="939"/>
      <c r="D34" s="2">
        <v>0</v>
      </c>
      <c r="E34" s="863"/>
      <c r="F34" s="2"/>
      <c r="G34" s="83" t="str">
        <f t="shared" si="9"/>
        <v>0.00%</v>
      </c>
      <c r="H34" s="2">
        <f t="shared" si="10"/>
        <v>0</v>
      </c>
      <c r="I34" s="871" t="str">
        <f t="shared" si="11"/>
        <v>2.0% = Est. S &amp; C</v>
      </c>
      <c r="J34" s="66"/>
      <c r="K34" s="83" t="str">
        <f t="shared" si="12"/>
        <v>0.00%</v>
      </c>
      <c r="L34" s="2">
        <f>ROUND(H34*(1+M19),0)</f>
        <v>0</v>
      </c>
      <c r="M34" s="871" t="str">
        <f>TEXT(M19,"0.0%")&amp;" = Est. S &amp; C"</f>
        <v>2.0% = Est. S &amp; C</v>
      </c>
      <c r="O34" s="83" t="str">
        <f t="shared" si="13"/>
        <v>0.00%</v>
      </c>
      <c r="P34" s="2">
        <f>ROUND(L34*(1+Q19),0)</f>
        <v>0</v>
      </c>
      <c r="Q34" s="871"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2"/>
      <c r="B35" s="939"/>
      <c r="D35" s="2">
        <v>0</v>
      </c>
      <c r="E35" s="863"/>
      <c r="F35" s="2"/>
      <c r="G35" s="83" t="str">
        <f t="shared" si="9"/>
        <v>0.00%</v>
      </c>
      <c r="H35" s="2">
        <f t="shared" si="10"/>
        <v>0</v>
      </c>
      <c r="I35" s="871" t="str">
        <f t="shared" si="11"/>
        <v>2.0% = Est. S &amp; C</v>
      </c>
      <c r="J35" s="66"/>
      <c r="K35" s="83" t="str">
        <f t="shared" si="12"/>
        <v>0.00%</v>
      </c>
      <c r="L35" s="2">
        <f>ROUND(H35*(1+M19),0)</f>
        <v>0</v>
      </c>
      <c r="M35" s="871" t="str">
        <f>TEXT(M19,"0.0%")&amp;" = Est. S &amp; C"</f>
        <v>2.0% = Est. S &amp; C</v>
      </c>
      <c r="O35" s="83" t="str">
        <f t="shared" si="13"/>
        <v>0.00%</v>
      </c>
      <c r="P35" s="2">
        <f>ROUND(L35*(1+Q19),0)</f>
        <v>0</v>
      </c>
      <c r="Q35" s="871"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2"/>
      <c r="B36" s="939"/>
      <c r="D36" s="2">
        <v>0</v>
      </c>
      <c r="E36" s="863"/>
      <c r="F36" s="2"/>
      <c r="G36" s="83" t="str">
        <f t="shared" si="9"/>
        <v>0.00%</v>
      </c>
      <c r="H36" s="2">
        <f t="shared" si="10"/>
        <v>0</v>
      </c>
      <c r="I36" s="871" t="str">
        <f t="shared" si="11"/>
        <v>2.0% = Est. S &amp; C</v>
      </c>
      <c r="J36" s="66"/>
      <c r="K36" s="83" t="str">
        <f t="shared" si="12"/>
        <v>0.00%</v>
      </c>
      <c r="L36" s="2">
        <f>ROUND(H36*(1+M19),0)</f>
        <v>0</v>
      </c>
      <c r="M36" s="871" t="str">
        <f>TEXT(M19,"0.0%")&amp;" = Est. S &amp; C"</f>
        <v>2.0% = Est. S &amp; C</v>
      </c>
      <c r="O36" s="83" t="str">
        <f t="shared" si="13"/>
        <v>0.00%</v>
      </c>
      <c r="P36" s="2">
        <f>ROUND(L36*(1+Q19),0)</f>
        <v>0</v>
      </c>
      <c r="Q36" s="871"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2"/>
      <c r="B37" s="939"/>
      <c r="D37" s="2">
        <v>0</v>
      </c>
      <c r="E37" s="863"/>
      <c r="F37" s="2"/>
      <c r="G37" s="83" t="str">
        <f t="shared" si="9"/>
        <v>0.00%</v>
      </c>
      <c r="H37" s="2">
        <f t="shared" si="10"/>
        <v>0</v>
      </c>
      <c r="I37" s="871" t="str">
        <f t="shared" si="11"/>
        <v>2.0% = Est. S &amp; C</v>
      </c>
      <c r="J37" s="66"/>
      <c r="K37" s="83" t="str">
        <f t="shared" si="12"/>
        <v>0.00%</v>
      </c>
      <c r="L37" s="2">
        <f>ROUND(H37*(1+M19),0)</f>
        <v>0</v>
      </c>
      <c r="M37" s="871" t="str">
        <f>TEXT(M19,"0.0%")&amp;" = Est. S &amp; C"</f>
        <v>2.0% = Est. S &amp; C</v>
      </c>
      <c r="O37" s="83" t="str">
        <f t="shared" si="13"/>
        <v>0.00%</v>
      </c>
      <c r="P37" s="2">
        <f>ROUND(L37*(1+Q19),0)</f>
        <v>0</v>
      </c>
      <c r="Q37" s="871"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2"/>
      <c r="B38" s="939"/>
      <c r="D38" s="2">
        <v>0</v>
      </c>
      <c r="E38" s="863"/>
      <c r="F38" s="2"/>
      <c r="G38" s="83" t="str">
        <f t="shared" si="9"/>
        <v>0.00%</v>
      </c>
      <c r="H38" s="2">
        <f t="shared" si="10"/>
        <v>0</v>
      </c>
      <c r="I38" s="871" t="str">
        <f t="shared" si="11"/>
        <v>2.0% = Est. S &amp; C</v>
      </c>
      <c r="J38" s="66"/>
      <c r="K38" s="83" t="str">
        <f t="shared" si="12"/>
        <v>0.00%</v>
      </c>
      <c r="L38" s="2">
        <f>ROUND(H38*(1+M19),0)</f>
        <v>0</v>
      </c>
      <c r="M38" s="871" t="str">
        <f>TEXT(M19,"0.0%")&amp;" = Est. S &amp; C"</f>
        <v>2.0% = Est. S &amp; C</v>
      </c>
      <c r="O38" s="83" t="str">
        <f t="shared" si="13"/>
        <v>0.00%</v>
      </c>
      <c r="P38" s="2">
        <f>ROUND(L38*(1+Q19),0)</f>
        <v>0</v>
      </c>
      <c r="Q38" s="871"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2"/>
      <c r="B39" s="939"/>
      <c r="D39" s="2">
        <v>0</v>
      </c>
      <c r="E39" s="863"/>
      <c r="F39" s="2"/>
      <c r="G39" s="83" t="str">
        <f t="shared" si="9"/>
        <v>0.00%</v>
      </c>
      <c r="H39" s="2">
        <f t="shared" si="10"/>
        <v>0</v>
      </c>
      <c r="I39" s="871" t="str">
        <f t="shared" si="11"/>
        <v>2.0% = Est. S &amp; C</v>
      </c>
      <c r="J39" s="66"/>
      <c r="K39" s="83" t="str">
        <f t="shared" si="12"/>
        <v>0.00%</v>
      </c>
      <c r="L39" s="2">
        <f>ROUND(H39*(1+M19),0)</f>
        <v>0</v>
      </c>
      <c r="M39" s="871" t="str">
        <f>TEXT(M19,"0.0%")&amp;" = Est. S &amp; C"</f>
        <v>2.0% = Est. S &amp; C</v>
      </c>
      <c r="O39" s="83" t="str">
        <f t="shared" si="13"/>
        <v>0.00%</v>
      </c>
      <c r="P39" s="2">
        <f>ROUND(L39*(1+Q19),0)</f>
        <v>0</v>
      </c>
      <c r="Q39" s="871"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2"/>
      <c r="B40" s="939"/>
      <c r="E40" s="863"/>
      <c r="F40" s="2"/>
      <c r="H40" s="2"/>
      <c r="I40" s="871"/>
      <c r="J40" s="66"/>
      <c r="L40" s="2"/>
      <c r="M40" s="948"/>
      <c r="Q40" s="948"/>
      <c r="T40" s="2"/>
      <c r="U40" s="73"/>
      <c r="X40" s="2"/>
      <c r="Y40" s="73"/>
      <c r="AB40" s="2"/>
      <c r="AC40" s="73"/>
    </row>
    <row r="41" spans="1:29" hidden="1" x14ac:dyDescent="0.25">
      <c r="A41" s="153"/>
      <c r="B41" s="939"/>
      <c r="D41" s="8">
        <f>SUM(D33:D40)</f>
        <v>0</v>
      </c>
      <c r="E41" s="863"/>
      <c r="F41" s="2"/>
      <c r="G41" s="83" t="str">
        <f>IF(D41=0,"0.00%",(H41-D41)/D41)</f>
        <v>0.00%</v>
      </c>
      <c r="H41" s="8">
        <f>SUM(H33:H40)</f>
        <v>0</v>
      </c>
      <c r="I41" s="872"/>
      <c r="J41" s="29"/>
      <c r="K41" s="83" t="str">
        <f>IF(H41=0,"0.00%",(L41-H41)/H41)</f>
        <v>0.00%</v>
      </c>
      <c r="L41" s="8">
        <f>SUM(L33:L40)</f>
        <v>0</v>
      </c>
      <c r="M41" s="948"/>
      <c r="O41" s="83" t="str">
        <f>IF(L41=0,"0.00%",(P41-L41)/L41)</f>
        <v>0.00%</v>
      </c>
      <c r="P41" s="8">
        <f>SUM(P33:P40)</f>
        <v>0</v>
      </c>
      <c r="Q41" s="948"/>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52"/>
      <c r="B42" s="930" t="s">
        <v>28</v>
      </c>
      <c r="E42" s="863"/>
      <c r="F42" s="2"/>
      <c r="H42" s="2"/>
      <c r="I42" s="871"/>
      <c r="J42" s="66"/>
      <c r="L42" s="2"/>
      <c r="M42" s="948"/>
      <c r="Q42" s="948"/>
      <c r="T42" s="2"/>
      <c r="U42" s="73"/>
      <c r="X42" s="2"/>
      <c r="Y42" s="73"/>
      <c r="AB42" s="2"/>
      <c r="AC42" s="73"/>
    </row>
    <row r="43" spans="1:29" hidden="1" x14ac:dyDescent="0.25">
      <c r="A43" s="154"/>
      <c r="B43" s="936" t="s">
        <v>27</v>
      </c>
      <c r="E43" s="863"/>
      <c r="F43" s="2"/>
      <c r="H43" s="2"/>
      <c r="I43" s="871"/>
      <c r="J43" s="66"/>
      <c r="L43" s="2"/>
      <c r="M43" s="948"/>
      <c r="Q43" s="948"/>
      <c r="T43" s="2"/>
      <c r="U43" s="73"/>
      <c r="X43" s="2"/>
      <c r="Y43" s="73"/>
      <c r="AB43" s="2"/>
      <c r="AC43" s="73"/>
    </row>
    <row r="44" spans="1:29" hidden="1" x14ac:dyDescent="0.25">
      <c r="A44" s="152"/>
      <c r="B44" s="939" t="s">
        <v>83</v>
      </c>
      <c r="C44" s="857" t="s">
        <v>76</v>
      </c>
      <c r="D44" s="2">
        <v>0</v>
      </c>
      <c r="E44" s="854" t="str">
        <f>TEXT('MYP Assumptions'!$D$55,"0.00%")&amp;", STRS rate"</f>
        <v>12.58%, STRS rate</v>
      </c>
      <c r="F44" s="2"/>
      <c r="G44" s="83" t="str">
        <f t="shared" ref="G44:G53" si="17">IF(D44=0,"0.00%",(H44-D44)/D44)</f>
        <v>0.00%</v>
      </c>
      <c r="H44" s="2">
        <f>ROUND(H30*LEFT(I44,6),0)</f>
        <v>0</v>
      </c>
      <c r="I44" s="854" t="str">
        <f>TEXT('MYP Assumptions'!E55,"0.00%")&amp;", projected STRS rate"</f>
        <v>14.43%, projected STRS rate</v>
      </c>
      <c r="J44" s="66"/>
      <c r="K44" s="83" t="str">
        <f t="shared" ref="K44:K53" si="18">IF(H44=0,"0.00%",(L44-H44)/H44)</f>
        <v>0.00%</v>
      </c>
      <c r="L44" s="2">
        <f>ROUND(L30*LEFT(M44,6),0)</f>
        <v>0</v>
      </c>
      <c r="M44" s="854" t="str">
        <f>TEXT('MYP Assumptions'!F55,"0.00%")&amp;", projected STRS rate"</f>
        <v>16.28%, projected STRS rate</v>
      </c>
      <c r="O44" s="83" t="str">
        <f t="shared" ref="O44:O53" si="19">IF(L44=0,"0.00%",(P44-L44)/L44)</f>
        <v>0.00%</v>
      </c>
      <c r="P44" s="2">
        <f>ROUND(P30*LEFT(Q44,6),0)</f>
        <v>0</v>
      </c>
      <c r="Q44" s="854" t="str">
        <f>TEXT('MYP Assumptions'!G55,"0.00%")&amp;", projected STRS rate"</f>
        <v>18.13%, projected STRS rate</v>
      </c>
      <c r="S44" s="83" t="str">
        <f t="shared" ref="S44:S53" si="20">IF(P44=0,"0.00%",(T44-P44)/P44)</f>
        <v>0.00%</v>
      </c>
      <c r="T44" s="2">
        <f>ROUND(T30*LEFT(U44,6),0)</f>
        <v>0</v>
      </c>
      <c r="U44" s="81" t="str">
        <f>TEXT('MYP Assumptions'!H55,"0.00%")&amp;", projected STRS rate"</f>
        <v>19.10%, projected STRS rate</v>
      </c>
      <c r="W44" s="83" t="str">
        <f t="shared" ref="W44:W53" si="21">IF(T44=0,"0.00%",(X44-T44)/T44)</f>
        <v>0.00%</v>
      </c>
      <c r="X44" s="2">
        <f>ROUND(X30*LEFT(Y44,6),0)</f>
        <v>0</v>
      </c>
      <c r="Y44" s="81" t="str">
        <f>TEXT('MYP Assumptions'!I55,"0.00%")&amp;", projected STRS rate"</f>
        <v>19.10%, projected STRS rate</v>
      </c>
      <c r="AA44" s="83" t="str">
        <f t="shared" ref="AA44:AA53" si="22">IF(X44=0,"0.00%",(AB44-X44)/X44)</f>
        <v>0.00%</v>
      </c>
      <c r="AB44" s="2">
        <f>ROUND(AB30*LEFT(AC44,6),0)</f>
        <v>0</v>
      </c>
      <c r="AC44" s="81" t="str">
        <f>TEXT('MYP Assumptions'!J55,"0.00%")&amp;", projected STRS rate"</f>
        <v>19.10%, projected STRS rate</v>
      </c>
    </row>
    <row r="45" spans="1:29" hidden="1" x14ac:dyDescent="0.25">
      <c r="A45" s="152"/>
      <c r="B45" s="939" t="s">
        <v>84</v>
      </c>
      <c r="C45" s="857" t="s">
        <v>77</v>
      </c>
      <c r="D45" s="2">
        <v>0</v>
      </c>
      <c r="E45" s="854" t="str">
        <f>TEXT('MYP Assumptions'!$D$56,"0.00%")&amp;", PERS rate"</f>
        <v>13.89%, PERS rate</v>
      </c>
      <c r="F45" s="2"/>
      <c r="G45" s="83" t="str">
        <f t="shared" si="17"/>
        <v>0.00%</v>
      </c>
      <c r="H45" s="2">
        <f>ROUND(H41*LEFT(I45,6),0)</f>
        <v>0</v>
      </c>
      <c r="I45" s="854" t="str">
        <f>TEXT('MYP Assumptions'!E56,"0.00%")&amp;", projected PERS rate"</f>
        <v>15.53%, projected PERS rate</v>
      </c>
      <c r="J45" s="66"/>
      <c r="K45" s="83" t="str">
        <f t="shared" si="18"/>
        <v>0.00%</v>
      </c>
      <c r="L45" s="2">
        <f>ROUND(L41*LEFT(M45,6),0)</f>
        <v>0</v>
      </c>
      <c r="M45" s="854" t="str">
        <f>TEXT('MYP Assumptions'!F56,"0.00%")&amp;", projected PERS rate"</f>
        <v>18.10%, projected PERS rate</v>
      </c>
      <c r="O45" s="83" t="str">
        <f t="shared" si="19"/>
        <v>0.00%</v>
      </c>
      <c r="P45" s="2">
        <f>ROUND(P41*LEFT(Q45,6),0)</f>
        <v>0</v>
      </c>
      <c r="Q45" s="854" t="str">
        <f>TEXT('MYP Assumptions'!G56,"0.00%")&amp;", projected PERS rate"</f>
        <v>20.80%, projected PERS rate</v>
      </c>
      <c r="S45" s="83" t="str">
        <f t="shared" si="20"/>
        <v>0.00%</v>
      </c>
      <c r="T45" s="2">
        <f>ROUND(T41*LEFT(U45,6),0)</f>
        <v>0</v>
      </c>
      <c r="U45" s="81" t="str">
        <f>TEXT('MYP Assumptions'!H56,"0.00%")&amp;", projected PERS rate"</f>
        <v>23.80%, projected PERS rate</v>
      </c>
      <c r="W45" s="83" t="str">
        <f t="shared" si="21"/>
        <v>0.00%</v>
      </c>
      <c r="X45" s="2">
        <f>ROUND(X41*LEFT(Y45,6),0)</f>
        <v>0</v>
      </c>
      <c r="Y45" s="81" t="str">
        <f>TEXT('MYP Assumptions'!I56,"0.00%")&amp;", projected PERS rate"</f>
        <v>25.20%, projected PERS rate</v>
      </c>
      <c r="AA45" s="83" t="str">
        <f t="shared" si="22"/>
        <v>0.00%</v>
      </c>
      <c r="AB45" s="2">
        <f>ROUND(AB41*LEFT(AC45,6),0)</f>
        <v>0</v>
      </c>
      <c r="AC45" s="81" t="str">
        <f>TEXT('MYP Assumptions'!J56,"0.00%")&amp;", projected PERS rate"</f>
        <v>26.10%, projected PERS rate</v>
      </c>
    </row>
    <row r="46" spans="1:29" hidden="1" x14ac:dyDescent="0.25">
      <c r="A46" s="152"/>
      <c r="B46" s="939" t="s">
        <v>85</v>
      </c>
      <c r="C46" s="857" t="s">
        <v>78</v>
      </c>
      <c r="D46" s="2">
        <v>0</v>
      </c>
      <c r="E46" s="854" t="str">
        <f>TEXT('MYP Assumptions'!$D$57,"0.00%")&amp;", SS rate"</f>
        <v>6.20%, SS rate</v>
      </c>
      <c r="F46" s="2"/>
      <c r="G46" s="83" t="str">
        <f t="shared" si="17"/>
        <v>0.00%</v>
      </c>
      <c r="H46" s="2">
        <f>ROUND(H41*LEFT(I46,5),0)</f>
        <v>0</v>
      </c>
      <c r="I46" s="854" t="str">
        <f>TEXT('MYP Assumptions'!E57,"0.00%")&amp;", no rate change"</f>
        <v>6.20%, no rate change</v>
      </c>
      <c r="J46" s="66"/>
      <c r="K46" s="83" t="str">
        <f t="shared" si="18"/>
        <v>0.00%</v>
      </c>
      <c r="L46" s="2">
        <f>ROUND(L41*LEFT(M46,5),0)</f>
        <v>0</v>
      </c>
      <c r="M46" s="854" t="str">
        <f>TEXT('MYP Assumptions'!F57,"0.00%")&amp;", no rate change"</f>
        <v>6.20%, no rate change</v>
      </c>
      <c r="O46" s="83" t="str">
        <f t="shared" si="19"/>
        <v>0.00%</v>
      </c>
      <c r="P46" s="2">
        <f>ROUND(P41*LEFT(Q46,5),0)</f>
        <v>0</v>
      </c>
      <c r="Q46" s="854" t="str">
        <f>TEXT('MYP Assumptions'!G57,"0.00%")&amp;", no rate change"</f>
        <v>6.20%, no rate change</v>
      </c>
      <c r="S46" s="83" t="str">
        <f t="shared" si="20"/>
        <v>0.00%</v>
      </c>
      <c r="T46" s="2">
        <f>ROUND(T41*LEFT(U46,5),0)</f>
        <v>0</v>
      </c>
      <c r="U46" s="81" t="str">
        <f>TEXT('MYP Assumptions'!H57,"0.00%")&amp;", no rate change"</f>
        <v>6.20%, no rate change</v>
      </c>
      <c r="W46" s="83" t="str">
        <f t="shared" si="21"/>
        <v>0.00%</v>
      </c>
      <c r="X46" s="2">
        <f>ROUND(X41*LEFT(Y46,5),0)</f>
        <v>0</v>
      </c>
      <c r="Y46" s="81" t="str">
        <f>TEXT('MYP Assumptions'!I57,"0.00%")&amp;", no rate change"</f>
        <v>6.20%, no rate change</v>
      </c>
      <c r="AA46" s="83" t="str">
        <f t="shared" si="22"/>
        <v>0.00%</v>
      </c>
      <c r="AB46" s="2">
        <f>ROUND(AB41*LEFT(AC46,5),0)</f>
        <v>0</v>
      </c>
      <c r="AC46" s="81" t="str">
        <f>TEXT('MYP Assumptions'!J57,"0.00%")&amp;", no rate change"</f>
        <v>6.20%, no rate change</v>
      </c>
    </row>
    <row r="47" spans="1:29" hidden="1" x14ac:dyDescent="0.25">
      <c r="A47" s="152"/>
      <c r="B47" s="939" t="s">
        <v>86</v>
      </c>
      <c r="C47" s="857" t="s">
        <v>79</v>
      </c>
      <c r="D47" s="2">
        <v>0</v>
      </c>
      <c r="E47" s="854" t="str">
        <f>TEXT('MYP Assumptions'!$D$58,"0.00%")&amp;", Medicare rate"</f>
        <v>1.45%, Medicare rate</v>
      </c>
      <c r="F47" s="2"/>
      <c r="G47" s="83" t="str">
        <f t="shared" si="17"/>
        <v>0.00%</v>
      </c>
      <c r="H47" s="2">
        <f>ROUND((H41+H30)*LEFT(I47,5),0)</f>
        <v>0</v>
      </c>
      <c r="I47" s="854" t="str">
        <f>TEXT('MYP Assumptions'!E58,"0.00%")&amp;", no rate change"</f>
        <v>1.45%, no rate change</v>
      </c>
      <c r="J47" s="66"/>
      <c r="K47" s="83" t="str">
        <f t="shared" si="18"/>
        <v>0.00%</v>
      </c>
      <c r="L47" s="2">
        <f>ROUND((L41+L30)*LEFT(M47,5),0)</f>
        <v>0</v>
      </c>
      <c r="M47" s="854" t="str">
        <f>TEXT('MYP Assumptions'!F58,"0.00%")&amp;", no rate change"</f>
        <v>1.45%, no rate change</v>
      </c>
      <c r="O47" s="83" t="str">
        <f t="shared" si="19"/>
        <v>0.00%</v>
      </c>
      <c r="P47" s="2">
        <f>ROUND((P41+P30)*LEFT(Q47,5),0)</f>
        <v>0</v>
      </c>
      <c r="Q47" s="854" t="str">
        <f>TEXT('MYP Assumptions'!G58,"0.00%")&amp;", no rate change"</f>
        <v>1.45%, no rate change</v>
      </c>
      <c r="S47" s="83" t="str">
        <f t="shared" si="20"/>
        <v>0.00%</v>
      </c>
      <c r="T47" s="2">
        <f>ROUND((T41+T30)*LEFT(U47,5),0)</f>
        <v>0</v>
      </c>
      <c r="U47" s="81" t="str">
        <f>TEXT('MYP Assumptions'!H58,"0.00%")&amp;", no rate change"</f>
        <v>1.45%, no rate change</v>
      </c>
      <c r="W47" s="83" t="str">
        <f t="shared" si="21"/>
        <v>0.00%</v>
      </c>
      <c r="X47" s="2">
        <f>ROUND((X41+X30)*LEFT(Y47,5),0)</f>
        <v>0</v>
      </c>
      <c r="Y47" s="81" t="str">
        <f>TEXT('MYP Assumptions'!I58,"0.00%")&amp;", no rate change"</f>
        <v>1.45%, no rate change</v>
      </c>
      <c r="AA47" s="83" t="str">
        <f t="shared" si="22"/>
        <v>0.00%</v>
      </c>
      <c r="AB47" s="2">
        <f>ROUND((AB41+AB30)*LEFT(AC47,5),0)</f>
        <v>0</v>
      </c>
      <c r="AC47" s="81" t="str">
        <f>TEXT('MYP Assumptions'!J58,"0.00%")&amp;", no rate change"</f>
        <v>1.45%, no rate change</v>
      </c>
    </row>
    <row r="48" spans="1:29" hidden="1" x14ac:dyDescent="0.25">
      <c r="A48" s="152"/>
      <c r="B48" s="939" t="s">
        <v>87</v>
      </c>
      <c r="C48" s="857" t="s">
        <v>80</v>
      </c>
      <c r="D48" s="2">
        <v>0</v>
      </c>
      <c r="E48" s="854"/>
      <c r="F48" s="2"/>
      <c r="G48" s="83" t="str">
        <f t="shared" si="17"/>
        <v>0.00%</v>
      </c>
      <c r="H48" s="2">
        <f>ROUND((D48)*(LEFT(I48,5)+1),0)</f>
        <v>0</v>
      </c>
      <c r="I48" s="854" t="str">
        <f>TEXT('MYP Assumptions'!$M$65,"0.00%")&amp;", projected increase"</f>
        <v>7.00%, projected increase</v>
      </c>
      <c r="J48" s="66"/>
      <c r="K48" s="83" t="str">
        <f t="shared" si="18"/>
        <v>0.00%</v>
      </c>
      <c r="L48" s="2">
        <f>ROUND((H48)*(LEFT(M48,5)+1),0)</f>
        <v>0</v>
      </c>
      <c r="M48" s="854" t="str">
        <f>TEXT('MYP Assumptions'!$M$65,"0.00%")&amp;", projected increase"</f>
        <v>7.00%, projected increase</v>
      </c>
      <c r="O48" s="83" t="str">
        <f t="shared" si="19"/>
        <v>0.00%</v>
      </c>
      <c r="P48" s="2">
        <f>ROUND((L48)*(LEFT(Q48,5)+1),0)</f>
        <v>0</v>
      </c>
      <c r="Q48" s="854" t="str">
        <f>TEXT('MYP Assumptions'!$M$65,"0.00%")&amp;", projected increase"</f>
        <v>7.00%, projected increase</v>
      </c>
      <c r="S48" s="83" t="str">
        <f t="shared" si="20"/>
        <v>0.00%</v>
      </c>
      <c r="T48" s="2">
        <f>ROUND((P48)*(LEFT(U48,5)+1),0)</f>
        <v>0</v>
      </c>
      <c r="U48" s="81" t="str">
        <f>TEXT('MYP Assumptions'!$M$65,"0.00%")&amp;", projected increase"</f>
        <v>7.00%, projected increase</v>
      </c>
      <c r="W48" s="83" t="str">
        <f t="shared" si="21"/>
        <v>0.00%</v>
      </c>
      <c r="X48" s="2">
        <f>ROUND((T48)*(LEFT(Y48,5)+1),0)</f>
        <v>0</v>
      </c>
      <c r="Y48" s="81" t="str">
        <f>TEXT('MYP Assumptions'!$M$65,"0.00%")&amp;", projected increase"</f>
        <v>7.00%, projected increase</v>
      </c>
      <c r="AA48" s="83" t="str">
        <f t="shared" si="22"/>
        <v>0.00%</v>
      </c>
      <c r="AB48" s="2">
        <f>ROUND((X48)*(LEFT(AC48,5)+1),0)</f>
        <v>0</v>
      </c>
      <c r="AC48" s="81" t="str">
        <f>TEXT('MYP Assumptions'!$M$65,"0.00%")&amp;", projected increase"</f>
        <v>7.00%, projected increase</v>
      </c>
    </row>
    <row r="49" spans="1:29" hidden="1" x14ac:dyDescent="0.25">
      <c r="A49" s="152"/>
      <c r="B49" s="939" t="s">
        <v>88</v>
      </c>
      <c r="C49" s="857" t="s">
        <v>81</v>
      </c>
      <c r="D49" s="2">
        <v>0</v>
      </c>
      <c r="E49" s="854" t="str">
        <f>TEXT('MYP Assumptions'!$D$59,"0.00%")&amp;", SUI rate"</f>
        <v>0.05%, SUI rate</v>
      </c>
      <c r="F49" s="2"/>
      <c r="G49" s="83" t="str">
        <f t="shared" si="17"/>
        <v>0.00%</v>
      </c>
      <c r="H49" s="2">
        <f>ROUND((H41+H30)*LEFT(I49,5),0)</f>
        <v>0</v>
      </c>
      <c r="I49" s="854" t="str">
        <f>TEXT('MYP Assumptions'!E59,"0.00%")&amp;", no rate change"</f>
        <v>0.05%, no rate change</v>
      </c>
      <c r="J49" s="66"/>
      <c r="K49" s="83" t="str">
        <f t="shared" si="18"/>
        <v>0.00%</v>
      </c>
      <c r="L49" s="2">
        <f>ROUND((L41+L30)*LEFT(M49,5),0)</f>
        <v>0</v>
      </c>
      <c r="M49" s="854" t="str">
        <f>TEXT('MYP Assumptions'!F59,"0.00%")&amp;", no rate change"</f>
        <v>0.05%, no rate change</v>
      </c>
      <c r="O49" s="83" t="str">
        <f t="shared" si="19"/>
        <v>0.00%</v>
      </c>
      <c r="P49" s="2">
        <f>ROUND((P41+P30)*LEFT(Q49,5),0)</f>
        <v>0</v>
      </c>
      <c r="Q49" s="854" t="str">
        <f>TEXT('MYP Assumptions'!G59,"0.00%")&amp;", no rate change"</f>
        <v>0.05%, no rate change</v>
      </c>
      <c r="S49" s="83" t="str">
        <f t="shared" si="20"/>
        <v>0.00%</v>
      </c>
      <c r="T49" s="2">
        <f>ROUND((T41+T30)*LEFT(U49,5),0)</f>
        <v>0</v>
      </c>
      <c r="U49" s="81" t="str">
        <f>TEXT('MYP Assumptions'!H59,"0.00%")&amp;", no rate change"</f>
        <v>0.05%, no rate change</v>
      </c>
      <c r="W49" s="83" t="str">
        <f t="shared" si="21"/>
        <v>0.00%</v>
      </c>
      <c r="X49" s="2">
        <f>ROUND((X41+X30)*LEFT(Y49,5),0)</f>
        <v>0</v>
      </c>
      <c r="Y49" s="81" t="str">
        <f>TEXT('MYP Assumptions'!I59,"0.00%")&amp;", no rate change"</f>
        <v>0.05%, no rate change</v>
      </c>
      <c r="AA49" s="83" t="str">
        <f t="shared" si="22"/>
        <v>0.00%</v>
      </c>
      <c r="AB49" s="2">
        <f>ROUND((AB41+AB30)*LEFT(AC49,5),0)</f>
        <v>0</v>
      </c>
      <c r="AC49" s="81" t="str">
        <f>TEXT('MYP Assumptions'!J59,"0.00%")&amp;", no rate change"</f>
        <v>0.05%, no rate change</v>
      </c>
    </row>
    <row r="50" spans="1:29" hidden="1" x14ac:dyDescent="0.25">
      <c r="A50" s="152"/>
      <c r="B50" s="939" t="s">
        <v>89</v>
      </c>
      <c r="C50" s="857" t="s">
        <v>82</v>
      </c>
      <c r="D50" s="2">
        <v>0</v>
      </c>
      <c r="E50" s="854" t="str">
        <f>TEXT('MYP Assumptions'!$D$60,"0.00%")&amp;", W/C rate"</f>
        <v>1.10%, W/C rate</v>
      </c>
      <c r="F50" s="2"/>
      <c r="G50" s="83" t="str">
        <f t="shared" si="17"/>
        <v>0.00%</v>
      </c>
      <c r="H50" s="2">
        <f>ROUND((H41+H30)*LEFT(I50,5),0)</f>
        <v>0</v>
      </c>
      <c r="I50" s="854" t="str">
        <f>TEXT('MYP Assumptions'!E60,"0.00%")&amp;", no rate change"</f>
        <v>0.80%, no rate change</v>
      </c>
      <c r="J50" s="66"/>
      <c r="K50" s="83" t="str">
        <f t="shared" si="18"/>
        <v>0.00%</v>
      </c>
      <c r="L50" s="2">
        <f>ROUND((L41+L30)*LEFT(M50,5),0)</f>
        <v>0</v>
      </c>
      <c r="M50" s="854" t="str">
        <f>TEXT('MYP Assumptions'!F60,"0.00%")&amp;", no rate change"</f>
        <v>0.80%, no rate change</v>
      </c>
      <c r="O50" s="83" t="str">
        <f t="shared" si="19"/>
        <v>0.00%</v>
      </c>
      <c r="P50" s="2">
        <f>ROUND((P41+P30)*LEFT(Q50,5),0)</f>
        <v>0</v>
      </c>
      <c r="Q50" s="854" t="str">
        <f>TEXT('MYP Assumptions'!G60,"0.00%")&amp;", no rate change"</f>
        <v>0.80%, no rate change</v>
      </c>
      <c r="S50" s="83" t="str">
        <f t="shared" si="20"/>
        <v>0.00%</v>
      </c>
      <c r="T50" s="2">
        <f>ROUND((T41+T30)*LEFT(U50,5),0)</f>
        <v>0</v>
      </c>
      <c r="U50" s="81" t="str">
        <f>TEXT('MYP Assumptions'!H60,"0.00%")&amp;", no rate change"</f>
        <v>0.80%, no rate change</v>
      </c>
      <c r="W50" s="83" t="str">
        <f t="shared" si="21"/>
        <v>0.00%</v>
      </c>
      <c r="X50" s="2">
        <f>ROUND((X41+X30)*LEFT(Y50,5),0)</f>
        <v>0</v>
      </c>
      <c r="Y50" s="81" t="str">
        <f>TEXT('MYP Assumptions'!I60,"0.00%")&amp;", no rate change"</f>
        <v>0.80%, no rate change</v>
      </c>
      <c r="AA50" s="83" t="str">
        <f t="shared" si="22"/>
        <v>0.00%</v>
      </c>
      <c r="AB50" s="2">
        <f>ROUND((AB41+AB30)*LEFT(AC50,5),0)</f>
        <v>0</v>
      </c>
      <c r="AC50" s="81" t="str">
        <f>TEXT('MYP Assumptions'!J60,"0.00%")&amp;", no rate change"</f>
        <v>0.80%, no rate change</v>
      </c>
    </row>
    <row r="51" spans="1:29" hidden="1" x14ac:dyDescent="0.25">
      <c r="A51" s="152"/>
      <c r="B51" s="939" t="s">
        <v>90</v>
      </c>
      <c r="C51" s="857" t="s">
        <v>92</v>
      </c>
      <c r="D51" s="2">
        <v>0</v>
      </c>
      <c r="E51" s="863"/>
      <c r="F51" s="2"/>
      <c r="G51" s="83" t="str">
        <f t="shared" si="17"/>
        <v>0.00%</v>
      </c>
      <c r="H51" s="2">
        <f>D51</f>
        <v>0</v>
      </c>
      <c r="I51" s="854" t="s">
        <v>166</v>
      </c>
      <c r="J51" s="66"/>
      <c r="K51" s="83" t="str">
        <f t="shared" si="18"/>
        <v>0.00%</v>
      </c>
      <c r="L51" s="2">
        <f>H51</f>
        <v>0</v>
      </c>
      <c r="M51" s="854" t="s">
        <v>166</v>
      </c>
      <c r="O51" s="83" t="str">
        <f t="shared" si="19"/>
        <v>0.00%</v>
      </c>
      <c r="P51" s="2">
        <f>L51</f>
        <v>0</v>
      </c>
      <c r="Q51" s="854" t="s">
        <v>166</v>
      </c>
      <c r="S51" s="83" t="str">
        <f t="shared" si="20"/>
        <v>0.00%</v>
      </c>
      <c r="T51" s="2">
        <f>P51</f>
        <v>0</v>
      </c>
      <c r="U51" s="81" t="s">
        <v>166</v>
      </c>
      <c r="W51" s="83" t="str">
        <f t="shared" si="21"/>
        <v>0.00%</v>
      </c>
      <c r="X51" s="2">
        <f>T51</f>
        <v>0</v>
      </c>
      <c r="Y51" s="81" t="s">
        <v>166</v>
      </c>
      <c r="AA51" s="83" t="str">
        <f t="shared" si="22"/>
        <v>0.00%</v>
      </c>
      <c r="AB51" s="2">
        <f>X51</f>
        <v>0</v>
      </c>
      <c r="AC51" s="81" t="s">
        <v>166</v>
      </c>
    </row>
    <row r="52" spans="1:29" hidden="1" x14ac:dyDescent="0.25">
      <c r="A52" s="152"/>
      <c r="B52" s="939" t="s">
        <v>91</v>
      </c>
      <c r="C52" s="857" t="s">
        <v>93</v>
      </c>
      <c r="D52" s="2">
        <v>0</v>
      </c>
      <c r="E52" s="863"/>
      <c r="F52" s="2"/>
      <c r="G52" s="83" t="str">
        <f t="shared" si="17"/>
        <v>0.00%</v>
      </c>
      <c r="H52" s="2">
        <f>D52</f>
        <v>0</v>
      </c>
      <c r="I52" s="854" t="s">
        <v>166</v>
      </c>
      <c r="J52" s="66"/>
      <c r="K52" s="83" t="str">
        <f t="shared" si="18"/>
        <v>0.00%</v>
      </c>
      <c r="L52" s="2">
        <f>H52</f>
        <v>0</v>
      </c>
      <c r="M52" s="854" t="s">
        <v>166</v>
      </c>
      <c r="O52" s="83" t="str">
        <f t="shared" si="19"/>
        <v>0.00%</v>
      </c>
      <c r="P52" s="2">
        <f>L52</f>
        <v>0</v>
      </c>
      <c r="Q52" s="854" t="s">
        <v>166</v>
      </c>
      <c r="S52" s="83" t="str">
        <f t="shared" si="20"/>
        <v>0.00%</v>
      </c>
      <c r="T52" s="2">
        <f>P52</f>
        <v>0</v>
      </c>
      <c r="U52" s="81" t="s">
        <v>166</v>
      </c>
      <c r="W52" s="83" t="str">
        <f t="shared" si="21"/>
        <v>0.00%</v>
      </c>
      <c r="X52" s="2">
        <f>T52</f>
        <v>0</v>
      </c>
      <c r="Y52" s="81" t="s">
        <v>166</v>
      </c>
      <c r="AA52" s="83" t="str">
        <f t="shared" si="22"/>
        <v>0.00%</v>
      </c>
      <c r="AB52" s="2">
        <f>X52</f>
        <v>0</v>
      </c>
      <c r="AC52" s="81" t="s">
        <v>166</v>
      </c>
    </row>
    <row r="53" spans="1:29" hidden="1" x14ac:dyDescent="0.25">
      <c r="A53" s="153"/>
      <c r="B53" s="939"/>
      <c r="D53" s="8">
        <f>SUM(D44:D52)</f>
        <v>0</v>
      </c>
      <c r="E53" s="863"/>
      <c r="F53" s="2"/>
      <c r="G53" s="83" t="str">
        <f t="shared" si="17"/>
        <v>0.00%</v>
      </c>
      <c r="H53" s="8">
        <f>SUM(H44:H52)</f>
        <v>0</v>
      </c>
      <c r="I53" s="872"/>
      <c r="J53" s="29"/>
      <c r="K53" s="83" t="str">
        <f t="shared" si="18"/>
        <v>0.00%</v>
      </c>
      <c r="L53" s="8">
        <f>SUM(L44:L52)</f>
        <v>0</v>
      </c>
      <c r="M53" s="948"/>
      <c r="O53" s="83" t="str">
        <f t="shared" si="19"/>
        <v>0.00%</v>
      </c>
      <c r="P53" s="8">
        <f>SUM(P44:P52)</f>
        <v>0</v>
      </c>
      <c r="Q53" s="948"/>
      <c r="S53" s="83" t="str">
        <f t="shared" si="20"/>
        <v>0.00%</v>
      </c>
      <c r="T53" s="8">
        <f>SUM(T44:T52)</f>
        <v>0</v>
      </c>
      <c r="U53" s="73"/>
      <c r="W53" s="83" t="str">
        <f t="shared" si="21"/>
        <v>0.00%</v>
      </c>
      <c r="X53" s="8">
        <f>SUM(X44:X52)</f>
        <v>0</v>
      </c>
      <c r="Y53" s="73"/>
      <c r="AA53" s="83" t="str">
        <f t="shared" si="22"/>
        <v>0.00%</v>
      </c>
      <c r="AB53" s="8">
        <f>SUM(AB44:AB52)</f>
        <v>0</v>
      </c>
      <c r="AC53" s="73"/>
    </row>
    <row r="54" spans="1:29" hidden="1" x14ac:dyDescent="0.25">
      <c r="A54" s="154"/>
      <c r="B54" s="939"/>
      <c r="E54" s="863"/>
      <c r="F54" s="2"/>
      <c r="H54" s="2"/>
      <c r="I54" s="871"/>
      <c r="J54" s="66"/>
      <c r="L54" s="2"/>
      <c r="M54" s="948"/>
      <c r="Q54" s="948"/>
      <c r="T54" s="2"/>
      <c r="U54" s="73"/>
      <c r="X54" s="2"/>
      <c r="Y54" s="73"/>
      <c r="AB54" s="2"/>
      <c r="AC54" s="73"/>
    </row>
    <row r="55" spans="1:29" hidden="1" x14ac:dyDescent="0.25">
      <c r="A55" s="153"/>
      <c r="B55" s="936" t="s">
        <v>26</v>
      </c>
      <c r="D55" s="8">
        <f>SUM(D53,D41,D30)</f>
        <v>0</v>
      </c>
      <c r="E55" s="863"/>
      <c r="F55" s="2"/>
      <c r="G55" s="83" t="str">
        <f>IF(D55=0,"0.00%",(H55-D55)/D55)</f>
        <v>0.00%</v>
      </c>
      <c r="H55" s="8">
        <f>SUM(H53,H41,H30)</f>
        <v>0</v>
      </c>
      <c r="I55" s="872"/>
      <c r="J55" s="29"/>
      <c r="K55" s="83" t="str">
        <f>IF(H55=0,"0.00%",(L55-H55)/H55)</f>
        <v>0.00%</v>
      </c>
      <c r="L55" s="8">
        <f>SUM(L53,L41,L30)</f>
        <v>0</v>
      </c>
      <c r="M55" s="948"/>
      <c r="O55" s="83" t="str">
        <f>IF(L55=0,"0.00%",(P55-L55)/L55)</f>
        <v>0.00%</v>
      </c>
      <c r="P55" s="8">
        <f>SUM(P53,P41,P30)</f>
        <v>0</v>
      </c>
      <c r="Q55" s="948"/>
      <c r="S55" s="83" t="str">
        <f>IF(P55=0,"0.00%",(T55-P55)/P55)</f>
        <v>0.00%</v>
      </c>
      <c r="T55" s="8">
        <f>SUM(T53,T41,T30)</f>
        <v>0</v>
      </c>
      <c r="U55" s="73"/>
      <c r="W55" s="83" t="str">
        <f>IF(T55=0,"0.00%",(X55-T55)/T55)</f>
        <v>0.00%</v>
      </c>
      <c r="X55" s="8">
        <f>SUM(X53,X41,X30)</f>
        <v>0</v>
      </c>
      <c r="Y55" s="73"/>
      <c r="AA55" s="83" t="str">
        <f>IF(X55=0,"0.00%",(AB55-X55)/X55)</f>
        <v>0.00%</v>
      </c>
      <c r="AB55" s="8">
        <f>SUM(AB53,AB41,AB30)</f>
        <v>0</v>
      </c>
      <c r="AC55" s="73"/>
    </row>
    <row r="56" spans="1:29" hidden="1" x14ac:dyDescent="0.25">
      <c r="A56" s="155"/>
      <c r="E56" s="863"/>
      <c r="F56" s="2"/>
      <c r="H56" s="2"/>
      <c r="I56" s="871"/>
      <c r="J56" s="66"/>
      <c r="L56" s="2"/>
      <c r="M56" s="948"/>
      <c r="Q56" s="948"/>
      <c r="T56" s="2"/>
      <c r="U56" s="73"/>
      <c r="X56" s="2"/>
      <c r="Y56" s="73"/>
      <c r="AB56" s="2"/>
      <c r="AC56" s="73"/>
    </row>
    <row r="57" spans="1:29" hidden="1" x14ac:dyDescent="0.25">
      <c r="A57" s="152"/>
      <c r="E57" s="863"/>
      <c r="F57" s="2"/>
      <c r="H57" s="2"/>
      <c r="I57" s="871"/>
      <c r="J57" s="66"/>
      <c r="L57" s="2"/>
      <c r="M57" s="948"/>
      <c r="Q57" s="948"/>
      <c r="T57" s="2"/>
      <c r="U57" s="73"/>
      <c r="X57" s="2"/>
      <c r="Y57" s="73"/>
      <c r="AB57" s="2"/>
      <c r="AC57" s="73"/>
    </row>
    <row r="58" spans="1:29" x14ac:dyDescent="0.25">
      <c r="A58" s="155"/>
      <c r="B58" s="940" t="s">
        <v>25</v>
      </c>
      <c r="C58" s="873"/>
      <c r="E58" s="863"/>
      <c r="F58" s="2"/>
      <c r="H58" s="2"/>
      <c r="I58" s="871"/>
      <c r="J58" s="66"/>
      <c r="L58" s="2"/>
      <c r="M58" s="948"/>
      <c r="Q58" s="948"/>
      <c r="T58" s="2"/>
      <c r="U58" s="73"/>
      <c r="X58" s="2"/>
      <c r="Y58" s="73"/>
      <c r="AB58" s="2"/>
      <c r="AC58" s="73"/>
    </row>
    <row r="59" spans="1:29" x14ac:dyDescent="0.25">
      <c r="A59" s="152"/>
      <c r="B59" s="939">
        <v>4310</v>
      </c>
      <c r="C59" s="857" t="s">
        <v>282</v>
      </c>
      <c r="D59" s="2">
        <v>2805.4</v>
      </c>
      <c r="E59" s="863"/>
      <c r="F59" s="2"/>
      <c r="G59" s="83">
        <f t="shared" ref="G59:G66" si="23">IF(D59=0,"0.00%",(H59-D59)/D59)</f>
        <v>1.3526056890283025</v>
      </c>
      <c r="H59" s="3">
        <v>6600</v>
      </c>
      <c r="I59" s="928" t="s">
        <v>174</v>
      </c>
      <c r="J59" s="61"/>
      <c r="K59" s="83">
        <f>IF(H59=0,"0.00%",(L59-H59)/H59)</f>
        <v>0</v>
      </c>
      <c r="L59" s="3">
        <f>+H59</f>
        <v>6600</v>
      </c>
      <c r="M59" s="928" t="s">
        <v>174</v>
      </c>
      <c r="O59" s="83">
        <f>IF(L59=0,"0.00%",(P59-L59)/L59)</f>
        <v>0</v>
      </c>
      <c r="P59" s="3">
        <f>+L59</f>
        <v>6600</v>
      </c>
      <c r="Q59" s="928" t="s">
        <v>174</v>
      </c>
      <c r="S59" s="83">
        <f>IF(P59=0,"0.00%",(T59-P59)/P59)</f>
        <v>0</v>
      </c>
      <c r="T59" s="3">
        <f>+P59</f>
        <v>6600</v>
      </c>
      <c r="U59" s="105" t="s">
        <v>174</v>
      </c>
      <c r="W59" s="83">
        <f t="shared" ref="W59:W66" si="24">IF(T59=0,"0.00%",(X59-T59)/T59)</f>
        <v>2.7272727272727271E-2</v>
      </c>
      <c r="X59" s="2">
        <f>ROUND(T59*(LEFT(Y59,5)+1),0)</f>
        <v>6780</v>
      </c>
      <c r="Y59" s="81" t="str">
        <f>TEXT('MYP Assumptions'!I75,"0.00%")&amp;", CPI"</f>
        <v>2.73%, CPI</v>
      </c>
      <c r="AA59" s="83">
        <f t="shared" ref="AA59:AA66" si="25">IF(X59=0,"0.00%",(AB59-X59)/X59)</f>
        <v>2.7286135693215339E-2</v>
      </c>
      <c r="AB59" s="2">
        <f>ROUND(X59*(LEFT(AC59,5)+1),0)</f>
        <v>6965</v>
      </c>
      <c r="AC59" s="81" t="str">
        <f>TEXT('MYP Assumptions'!J75,"0.00%")&amp;", CPI"</f>
        <v>2.73%, CPI</v>
      </c>
    </row>
    <row r="60" spans="1:29" hidden="1" x14ac:dyDescent="0.25">
      <c r="A60" s="152"/>
      <c r="B60" s="939"/>
      <c r="D60" s="2">
        <v>0</v>
      </c>
      <c r="E60" s="863"/>
      <c r="F60" s="2"/>
      <c r="G60" s="83" t="str">
        <f t="shared" si="23"/>
        <v>0.00%</v>
      </c>
      <c r="H60" s="2">
        <f t="shared" ref="H60:H65" si="26">ROUND(D60*(LEFT(I60,5)+1),0)</f>
        <v>0</v>
      </c>
      <c r="I60" s="854" t="str">
        <f>TEXT('MYP Assumptions'!E75,"0.00%")&amp;", CPI"</f>
        <v>3.42%, CPI</v>
      </c>
      <c r="J60" s="66"/>
      <c r="K60" s="83" t="str">
        <f t="shared" ref="K60:K66" si="27">IF(H60=0,"0.00%",(L60-H60)/H60)</f>
        <v>0.00%</v>
      </c>
      <c r="L60" s="2">
        <f t="shared" ref="L60:L65" si="28">ROUND(H60*(LEFT(M60,5)+1),0)</f>
        <v>0</v>
      </c>
      <c r="M60" s="854" t="str">
        <f>TEXT('MYP Assumptions'!F75,"0.00%")&amp;", CPI"</f>
        <v>3.35%, CPI</v>
      </c>
      <c r="O60" s="83" t="str">
        <f t="shared" ref="O60:O66" si="29">IF(L60=0,"0.00%",(P60-L60)/L60)</f>
        <v>0.00%</v>
      </c>
      <c r="P60" s="2">
        <f t="shared" ref="P60:P65" si="30">ROUND(L60*(LEFT(Q60,5)+1),0)</f>
        <v>0</v>
      </c>
      <c r="Q60" s="854" t="str">
        <f>TEXT('MYP Assumptions'!G75,"0.00%")&amp;", CPI"</f>
        <v>3.02%, CPI</v>
      </c>
      <c r="S60" s="83" t="str">
        <f t="shared" ref="S60:S66" si="31">IF(P60=0,"0.00%",(T60-P60)/P60)</f>
        <v>0.00%</v>
      </c>
      <c r="T60" s="2">
        <f t="shared" ref="T60:T65" si="32">ROUND(P60*(LEFT(U60,5)+1),0)</f>
        <v>0</v>
      </c>
      <c r="U60" s="81" t="str">
        <f>TEXT('MYP Assumptions'!H75,"0.00%")&amp;", CPI"</f>
        <v>2.73%, CPI</v>
      </c>
      <c r="W60" s="83" t="str">
        <f t="shared" si="24"/>
        <v>0.00%</v>
      </c>
      <c r="X60" s="2">
        <f t="shared" ref="X60:X65" si="33">ROUND(T60*(LEFT(Y60,5)+1),0)</f>
        <v>0</v>
      </c>
      <c r="Y60" s="81" t="str">
        <f>TEXT('MYP Assumptions'!I75,"0.00%")&amp;", CPI"</f>
        <v>2.73%, CPI</v>
      </c>
      <c r="AA60" s="83" t="str">
        <f t="shared" si="25"/>
        <v>0.00%</v>
      </c>
      <c r="AB60" s="2">
        <f t="shared" ref="AB60:AB65" si="34">ROUND(X60*(LEFT(AC60,5)+1),0)</f>
        <v>0</v>
      </c>
      <c r="AC60" s="81" t="str">
        <f>TEXT('MYP Assumptions'!J75,"0.00%")&amp;", CPI"</f>
        <v>2.73%, CPI</v>
      </c>
    </row>
    <row r="61" spans="1:29" hidden="1" x14ac:dyDescent="0.25">
      <c r="A61" s="152"/>
      <c r="B61" s="939"/>
      <c r="D61" s="2">
        <v>0</v>
      </c>
      <c r="E61" s="863"/>
      <c r="F61" s="2"/>
      <c r="G61" s="83" t="str">
        <f t="shared" si="23"/>
        <v>0.00%</v>
      </c>
      <c r="H61" s="2">
        <f t="shared" si="26"/>
        <v>0</v>
      </c>
      <c r="I61" s="854" t="str">
        <f>TEXT('MYP Assumptions'!E75,"0.00%")&amp;", CPI"</f>
        <v>3.42%, CPI</v>
      </c>
      <c r="J61" s="66"/>
      <c r="K61" s="83" t="str">
        <f t="shared" si="27"/>
        <v>0.00%</v>
      </c>
      <c r="L61" s="2">
        <f t="shared" si="28"/>
        <v>0</v>
      </c>
      <c r="M61" s="854" t="str">
        <f>TEXT('MYP Assumptions'!F75,"0.00%")&amp;", CPI"</f>
        <v>3.35%, CPI</v>
      </c>
      <c r="O61" s="83" t="str">
        <f t="shared" si="29"/>
        <v>0.00%</v>
      </c>
      <c r="P61" s="2">
        <f t="shared" si="30"/>
        <v>0</v>
      </c>
      <c r="Q61" s="854" t="str">
        <f>TEXT('MYP Assumptions'!G75,"0.00%")&amp;", CPI"</f>
        <v>3.02%, CPI</v>
      </c>
      <c r="S61" s="83" t="str">
        <f t="shared" si="31"/>
        <v>0.00%</v>
      </c>
      <c r="T61" s="2">
        <f t="shared" si="32"/>
        <v>0</v>
      </c>
      <c r="U61" s="81" t="str">
        <f>TEXT('MYP Assumptions'!H75,"0.00%")&amp;", CPI"</f>
        <v>2.73%, CPI</v>
      </c>
      <c r="W61" s="83" t="str">
        <f t="shared" si="24"/>
        <v>0.00%</v>
      </c>
      <c r="X61" s="2">
        <f t="shared" si="33"/>
        <v>0</v>
      </c>
      <c r="Y61" s="81" t="str">
        <f>TEXT('MYP Assumptions'!I75,"0.00%")&amp;", CPI"</f>
        <v>2.73%, CPI</v>
      </c>
      <c r="AA61" s="83" t="str">
        <f t="shared" si="25"/>
        <v>0.00%</v>
      </c>
      <c r="AB61" s="2">
        <f t="shared" si="34"/>
        <v>0</v>
      </c>
      <c r="AC61" s="81" t="str">
        <f>TEXT('MYP Assumptions'!J75,"0.00%")&amp;", CPI"</f>
        <v>2.73%, CPI</v>
      </c>
    </row>
    <row r="62" spans="1:29" hidden="1" x14ac:dyDescent="0.25">
      <c r="A62" s="152"/>
      <c r="B62" s="939"/>
      <c r="D62" s="2">
        <v>0</v>
      </c>
      <c r="E62" s="863"/>
      <c r="F62" s="2"/>
      <c r="G62" s="83" t="str">
        <f t="shared" si="23"/>
        <v>0.00%</v>
      </c>
      <c r="H62" s="2">
        <f t="shared" si="26"/>
        <v>0</v>
      </c>
      <c r="I62" s="854" t="str">
        <f>TEXT('MYP Assumptions'!E75,"0.00%")&amp;", CPI"</f>
        <v>3.42%, CPI</v>
      </c>
      <c r="J62" s="66"/>
      <c r="K62" s="83" t="str">
        <f t="shared" si="27"/>
        <v>0.00%</v>
      </c>
      <c r="L62" s="2">
        <f t="shared" si="28"/>
        <v>0</v>
      </c>
      <c r="M62" s="854" t="str">
        <f>TEXT('MYP Assumptions'!F75,"0.00%")&amp;", CPI"</f>
        <v>3.35%, CPI</v>
      </c>
      <c r="O62" s="83" t="str">
        <f t="shared" si="29"/>
        <v>0.00%</v>
      </c>
      <c r="P62" s="2">
        <f t="shared" si="30"/>
        <v>0</v>
      </c>
      <c r="Q62" s="854" t="str">
        <f>TEXT('MYP Assumptions'!G75,"0.00%")&amp;", CPI"</f>
        <v>3.02%, CPI</v>
      </c>
      <c r="S62" s="83" t="str">
        <f t="shared" si="31"/>
        <v>0.00%</v>
      </c>
      <c r="T62" s="2">
        <f t="shared" si="32"/>
        <v>0</v>
      </c>
      <c r="U62" s="81" t="str">
        <f>TEXT('MYP Assumptions'!H75,"0.00%")&amp;", CPI"</f>
        <v>2.73%, CPI</v>
      </c>
      <c r="W62" s="83" t="str">
        <f t="shared" si="24"/>
        <v>0.00%</v>
      </c>
      <c r="X62" s="2">
        <f t="shared" si="33"/>
        <v>0</v>
      </c>
      <c r="Y62" s="81" t="str">
        <f>TEXT('MYP Assumptions'!I75,"0.00%")&amp;", CPI"</f>
        <v>2.73%, CPI</v>
      </c>
      <c r="AA62" s="83" t="str">
        <f t="shared" si="25"/>
        <v>0.00%</v>
      </c>
      <c r="AB62" s="2">
        <f t="shared" si="34"/>
        <v>0</v>
      </c>
      <c r="AC62" s="81" t="str">
        <f>TEXT('MYP Assumptions'!J75,"0.00%")&amp;", CPI"</f>
        <v>2.73%, CPI</v>
      </c>
    </row>
    <row r="63" spans="1:29" hidden="1" x14ac:dyDescent="0.25">
      <c r="A63" s="152"/>
      <c r="B63" s="939"/>
      <c r="D63" s="2">
        <v>0</v>
      </c>
      <c r="E63" s="863"/>
      <c r="F63" s="2"/>
      <c r="G63" s="83" t="str">
        <f t="shared" si="23"/>
        <v>0.00%</v>
      </c>
      <c r="H63" s="2">
        <f t="shared" si="26"/>
        <v>0</v>
      </c>
      <c r="I63" s="854" t="str">
        <f>TEXT('MYP Assumptions'!E75,"0.00%")&amp;", CPI"</f>
        <v>3.42%, CPI</v>
      </c>
      <c r="J63" s="66"/>
      <c r="K63" s="83" t="str">
        <f t="shared" si="27"/>
        <v>0.00%</v>
      </c>
      <c r="L63" s="2">
        <f t="shared" si="28"/>
        <v>0</v>
      </c>
      <c r="M63" s="854" t="str">
        <f>TEXT('MYP Assumptions'!F75,"0.00%")&amp;", CPI"</f>
        <v>3.35%, CPI</v>
      </c>
      <c r="O63" s="83" t="str">
        <f t="shared" si="29"/>
        <v>0.00%</v>
      </c>
      <c r="P63" s="2">
        <f t="shared" si="30"/>
        <v>0</v>
      </c>
      <c r="Q63" s="854" t="str">
        <f>TEXT('MYP Assumptions'!G75,"0.00%")&amp;", CPI"</f>
        <v>3.02%, CPI</v>
      </c>
      <c r="S63" s="83" t="str">
        <f t="shared" si="31"/>
        <v>0.00%</v>
      </c>
      <c r="T63" s="2">
        <f t="shared" si="32"/>
        <v>0</v>
      </c>
      <c r="U63" s="81" t="str">
        <f>TEXT('MYP Assumptions'!H75,"0.00%")&amp;", CPI"</f>
        <v>2.73%, CPI</v>
      </c>
      <c r="W63" s="83" t="str">
        <f t="shared" si="24"/>
        <v>0.00%</v>
      </c>
      <c r="X63" s="2">
        <f t="shared" si="33"/>
        <v>0</v>
      </c>
      <c r="Y63" s="81" t="str">
        <f>TEXT('MYP Assumptions'!I75,"0.00%")&amp;", CPI"</f>
        <v>2.73%, CPI</v>
      </c>
      <c r="AA63" s="83" t="str">
        <f t="shared" si="25"/>
        <v>0.00%</v>
      </c>
      <c r="AB63" s="2">
        <f t="shared" si="34"/>
        <v>0</v>
      </c>
      <c r="AC63" s="81" t="str">
        <f>TEXT('MYP Assumptions'!J75,"0.00%")&amp;", CPI"</f>
        <v>2.73%, CPI</v>
      </c>
    </row>
    <row r="64" spans="1:29" hidden="1" x14ac:dyDescent="0.25">
      <c r="A64" s="152"/>
      <c r="B64" s="939"/>
      <c r="D64" s="2">
        <v>0</v>
      </c>
      <c r="E64" s="863"/>
      <c r="F64" s="2"/>
      <c r="G64" s="83" t="str">
        <f t="shared" si="23"/>
        <v>0.00%</v>
      </c>
      <c r="H64" s="2">
        <f t="shared" si="26"/>
        <v>0</v>
      </c>
      <c r="I64" s="854" t="str">
        <f>TEXT('MYP Assumptions'!E75,"0.00%")&amp;", CPI"</f>
        <v>3.42%, CPI</v>
      </c>
      <c r="J64" s="66"/>
      <c r="K64" s="83" t="str">
        <f t="shared" si="27"/>
        <v>0.00%</v>
      </c>
      <c r="L64" s="2">
        <f t="shared" si="28"/>
        <v>0</v>
      </c>
      <c r="M64" s="854" t="str">
        <f>TEXT('MYP Assumptions'!F75,"0.00%")&amp;", CPI"</f>
        <v>3.35%, CPI</v>
      </c>
      <c r="O64" s="83" t="str">
        <f t="shared" si="29"/>
        <v>0.00%</v>
      </c>
      <c r="P64" s="2">
        <f t="shared" si="30"/>
        <v>0</v>
      </c>
      <c r="Q64" s="854" t="str">
        <f>TEXT('MYP Assumptions'!G75,"0.00%")&amp;", CPI"</f>
        <v>3.02%, CPI</v>
      </c>
      <c r="S64" s="83" t="str">
        <f t="shared" si="31"/>
        <v>0.00%</v>
      </c>
      <c r="T64" s="2">
        <f t="shared" si="32"/>
        <v>0</v>
      </c>
      <c r="U64" s="81" t="str">
        <f>TEXT('MYP Assumptions'!H75,"0.00%")&amp;", CPI"</f>
        <v>2.73%, CPI</v>
      </c>
      <c r="W64" s="83" t="str">
        <f t="shared" si="24"/>
        <v>0.00%</v>
      </c>
      <c r="X64" s="2">
        <f t="shared" si="33"/>
        <v>0</v>
      </c>
      <c r="Y64" s="81" t="str">
        <f>TEXT('MYP Assumptions'!I75,"0.00%")&amp;", CPI"</f>
        <v>2.73%, CPI</v>
      </c>
      <c r="AA64" s="83" t="str">
        <f t="shared" si="25"/>
        <v>0.00%</v>
      </c>
      <c r="AB64" s="2">
        <f t="shared" si="34"/>
        <v>0</v>
      </c>
      <c r="AC64" s="81" t="str">
        <f>TEXT('MYP Assumptions'!J75,"0.00%")&amp;", CPI"</f>
        <v>2.73%, CPI</v>
      </c>
    </row>
    <row r="65" spans="1:29" hidden="1" x14ac:dyDescent="0.25">
      <c r="A65" s="152"/>
      <c r="B65" s="939"/>
      <c r="C65" s="941"/>
      <c r="D65" s="2">
        <v>0</v>
      </c>
      <c r="E65" s="863"/>
      <c r="F65" s="2"/>
      <c r="G65" s="83" t="str">
        <f t="shared" si="23"/>
        <v>0.00%</v>
      </c>
      <c r="H65" s="2">
        <f t="shared" si="26"/>
        <v>0</v>
      </c>
      <c r="I65" s="854" t="str">
        <f>TEXT('MYP Assumptions'!E75,"0.00%")&amp;", CPI"</f>
        <v>3.42%, CPI</v>
      </c>
      <c r="J65" s="66"/>
      <c r="K65" s="83" t="str">
        <f t="shared" si="27"/>
        <v>0.00%</v>
      </c>
      <c r="L65" s="2">
        <f t="shared" si="28"/>
        <v>0</v>
      </c>
      <c r="M65" s="854" t="str">
        <f>TEXT('MYP Assumptions'!F75,"0.00%")&amp;", CPI"</f>
        <v>3.35%, CPI</v>
      </c>
      <c r="O65" s="83" t="str">
        <f t="shared" si="29"/>
        <v>0.00%</v>
      </c>
      <c r="P65" s="2">
        <f t="shared" si="30"/>
        <v>0</v>
      </c>
      <c r="Q65" s="854" t="str">
        <f>TEXT('MYP Assumptions'!G75,"0.00%")&amp;", CPI"</f>
        <v>3.02%, CPI</v>
      </c>
      <c r="S65" s="83" t="str">
        <f t="shared" si="31"/>
        <v>0.00%</v>
      </c>
      <c r="T65" s="2">
        <f t="shared" si="32"/>
        <v>0</v>
      </c>
      <c r="U65" s="81" t="str">
        <f>TEXT('MYP Assumptions'!H75,"0.00%")&amp;", CPI"</f>
        <v>2.73%, CPI</v>
      </c>
      <c r="W65" s="83" t="str">
        <f t="shared" si="24"/>
        <v>0.00%</v>
      </c>
      <c r="X65" s="2">
        <f t="shared" si="33"/>
        <v>0</v>
      </c>
      <c r="Y65" s="81" t="str">
        <f>TEXT('MYP Assumptions'!I75,"0.00%")&amp;", CPI"</f>
        <v>2.73%, CPI</v>
      </c>
      <c r="AA65" s="83" t="str">
        <f t="shared" si="25"/>
        <v>0.00%</v>
      </c>
      <c r="AB65" s="2">
        <f t="shared" si="34"/>
        <v>0</v>
      </c>
      <c r="AC65" s="81" t="str">
        <f>TEXT('MYP Assumptions'!J75,"0.00%")&amp;", CPI"</f>
        <v>2.73%, CPI</v>
      </c>
    </row>
    <row r="66" spans="1:29" x14ac:dyDescent="0.25">
      <c r="A66" s="153"/>
      <c r="B66" s="857"/>
      <c r="D66" s="8">
        <f>SUM(D59:D65)</f>
        <v>2805.4</v>
      </c>
      <c r="E66" s="863"/>
      <c r="F66" s="2"/>
      <c r="G66" s="83">
        <f t="shared" si="23"/>
        <v>1.3526056890283025</v>
      </c>
      <c r="H66" s="8">
        <f>SUM(H59:H65)</f>
        <v>6600</v>
      </c>
      <c r="I66" s="872"/>
      <c r="J66" s="29"/>
      <c r="K66" s="83">
        <f t="shared" si="27"/>
        <v>0</v>
      </c>
      <c r="L66" s="8">
        <f>SUM(L59:L65)</f>
        <v>6600</v>
      </c>
      <c r="M66" s="948"/>
      <c r="O66" s="83">
        <f t="shared" si="29"/>
        <v>0</v>
      </c>
      <c r="P66" s="8">
        <f>SUM(P59:P65)</f>
        <v>6600</v>
      </c>
      <c r="Q66" s="948"/>
      <c r="S66" s="83">
        <f t="shared" si="31"/>
        <v>0</v>
      </c>
      <c r="T66" s="8">
        <f>SUM(T59:T65)</f>
        <v>6600</v>
      </c>
      <c r="U66" s="73"/>
      <c r="W66" s="83">
        <f t="shared" si="24"/>
        <v>2.7272727272727271E-2</v>
      </c>
      <c r="X66" s="8">
        <f>SUM(X59:X65)</f>
        <v>6780</v>
      </c>
      <c r="Y66" s="73"/>
      <c r="AA66" s="83">
        <f t="shared" si="25"/>
        <v>2.7286135693215339E-2</v>
      </c>
      <c r="AB66" s="8">
        <f>SUM(AB59:AB65)</f>
        <v>6965</v>
      </c>
      <c r="AC66" s="73"/>
    </row>
    <row r="67" spans="1:29" x14ac:dyDescent="0.25">
      <c r="A67" s="152"/>
      <c r="E67" s="863"/>
      <c r="F67" s="2"/>
      <c r="H67" s="2"/>
      <c r="I67" s="871"/>
      <c r="J67" s="66"/>
      <c r="L67" s="2"/>
      <c r="M67" s="948"/>
      <c r="Q67" s="948"/>
      <c r="T67" s="2"/>
      <c r="U67" s="73"/>
      <c r="X67" s="2"/>
      <c r="Y67" s="73"/>
      <c r="AB67" s="2"/>
      <c r="AC67" s="73"/>
    </row>
    <row r="68" spans="1:29" s="4" customFormat="1" x14ac:dyDescent="0.25">
      <c r="A68" s="150"/>
      <c r="B68" s="936" t="s">
        <v>16</v>
      </c>
      <c r="C68" s="873"/>
      <c r="D68" s="6"/>
      <c r="E68" s="864"/>
      <c r="F68" s="6"/>
      <c r="G68" s="373"/>
      <c r="H68" s="6"/>
      <c r="I68" s="873"/>
      <c r="J68" s="58"/>
      <c r="K68" s="380"/>
      <c r="L68" s="6"/>
      <c r="M68" s="950"/>
      <c r="O68" s="380"/>
      <c r="P68" s="6"/>
      <c r="Q68" s="950"/>
      <c r="R68" s="111"/>
      <c r="U68" s="71"/>
      <c r="Y68" s="71"/>
      <c r="AC68" s="71"/>
    </row>
    <row r="69" spans="1:29" x14ac:dyDescent="0.25">
      <c r="A69" s="152"/>
      <c r="B69" s="939">
        <v>5813</v>
      </c>
      <c r="C69" s="857" t="s">
        <v>6</v>
      </c>
      <c r="D69" s="2">
        <v>1680</v>
      </c>
      <c r="E69" s="863"/>
      <c r="F69" s="2"/>
      <c r="G69" s="83">
        <f t="shared" ref="G69:G74" si="35">IF(D69=0,"0.00%",(H69-D69)/D69)</f>
        <v>-0.10714285714285714</v>
      </c>
      <c r="H69" s="3">
        <v>1500</v>
      </c>
      <c r="I69" s="928" t="s">
        <v>174</v>
      </c>
      <c r="J69" s="61"/>
      <c r="K69" s="83">
        <f>IF(H69=0,"0.00%",(L69-H69)/H69)</f>
        <v>0</v>
      </c>
      <c r="L69" s="3">
        <f>+H69</f>
        <v>1500</v>
      </c>
      <c r="M69" s="928" t="s">
        <v>174</v>
      </c>
      <c r="O69" s="83">
        <f>IF(L69=0,"0.00%",(P69-L69)/L69)</f>
        <v>0</v>
      </c>
      <c r="P69" s="3">
        <f>+L69</f>
        <v>1500</v>
      </c>
      <c r="Q69" s="928" t="s">
        <v>174</v>
      </c>
      <c r="S69" s="83">
        <f>IF(P69=0,"0.00%",(T69-P69)/P69)</f>
        <v>0</v>
      </c>
      <c r="T69" s="3">
        <f>+P69</f>
        <v>1500</v>
      </c>
      <c r="U69" s="105" t="s">
        <v>174</v>
      </c>
      <c r="W69" s="83">
        <f t="shared" ref="W69:W82" si="36">IF(T69=0,"0.00%",(X69-T69)/T69)</f>
        <v>2.7333333333333334E-2</v>
      </c>
      <c r="X69" s="2">
        <f>ROUND(T69*(LEFT(Y69,5)+1),0)</f>
        <v>1541</v>
      </c>
      <c r="Y69" s="81" t="str">
        <f>TEXT('MYP Assumptions'!I75,"0.00%")&amp;", CPI"</f>
        <v>2.73%, CPI</v>
      </c>
      <c r="AA69" s="83">
        <f t="shared" ref="AA69:AA82" si="37">IF(X69=0,"0.00%",(AB69-X69)/X69)</f>
        <v>2.7255029201817001E-2</v>
      </c>
      <c r="AB69" s="2">
        <f>ROUND(X69*(LEFT(AC69,5)+1),0)</f>
        <v>1583</v>
      </c>
      <c r="AC69" s="81" t="str">
        <f>TEXT('MYP Assumptions'!J75,"0.00%")&amp;", CPI"</f>
        <v>2.73%, CPI</v>
      </c>
    </row>
    <row r="70" spans="1:29" hidden="1" x14ac:dyDescent="0.25">
      <c r="A70" s="152"/>
      <c r="B70" s="939"/>
      <c r="D70" s="2">
        <v>0</v>
      </c>
      <c r="E70" s="863"/>
      <c r="F70" s="2"/>
      <c r="G70" s="83" t="str">
        <f t="shared" si="35"/>
        <v>0.00%</v>
      </c>
      <c r="H70" s="2">
        <f>ROUND(D70*(LEFT(I70,5)+1),0)</f>
        <v>0</v>
      </c>
      <c r="I70" s="854" t="str">
        <f>TEXT('MYP Assumptions'!E75,"0.00%")&amp;", CPI"</f>
        <v>3.42%, CPI</v>
      </c>
      <c r="J70" s="66"/>
      <c r="K70" s="83" t="str">
        <f t="shared" ref="K70:K82" si="38">IF(H70=0,"0.00%",(L70-H70)/H70)</f>
        <v>0.00%</v>
      </c>
      <c r="L70" s="2">
        <f t="shared" ref="L70:L81" si="39">ROUND(H70*(LEFT(M70,5)+1),0)</f>
        <v>0</v>
      </c>
      <c r="M70" s="854" t="str">
        <f>TEXT('MYP Assumptions'!F75,"0.00%")&amp;", CPI"</f>
        <v>3.35%, CPI</v>
      </c>
      <c r="O70" s="83" t="str">
        <f t="shared" ref="O70:O82" si="40">IF(L70=0,"0.00%",(P70-L70)/L70)</f>
        <v>0.00%</v>
      </c>
      <c r="P70" s="2">
        <f t="shared" ref="P70:P81" si="41">ROUND(L70*(LEFT(Q70,5)+1),0)</f>
        <v>0</v>
      </c>
      <c r="Q70" s="854" t="str">
        <f>TEXT('MYP Assumptions'!G75,"0.00%")&amp;", CPI"</f>
        <v>3.02%, CPI</v>
      </c>
      <c r="S70" s="83" t="str">
        <f t="shared" ref="S70:S82" si="42">IF(P70=0,"0.00%",(T70-P70)/P70)</f>
        <v>0.00%</v>
      </c>
      <c r="T70" s="2">
        <f t="shared" ref="T70:T81" si="43">ROUND(P70*(LEFT(U70,5)+1),0)</f>
        <v>0</v>
      </c>
      <c r="U70" s="81" t="str">
        <f>TEXT('MYP Assumptions'!H75,"0.00%")&amp;", CPI"</f>
        <v>2.73%, CPI</v>
      </c>
      <c r="W70" s="83" t="str">
        <f t="shared" si="36"/>
        <v>0.00%</v>
      </c>
      <c r="X70" s="2">
        <f t="shared" ref="X70:X81" si="44">ROUND(T70*(LEFT(Y70,5)+1),0)</f>
        <v>0</v>
      </c>
      <c r="Y70" s="81" t="str">
        <f>TEXT('MYP Assumptions'!I75,"0.00%")&amp;", CPI"</f>
        <v>2.73%, CPI</v>
      </c>
      <c r="AA70" s="83" t="str">
        <f t="shared" si="37"/>
        <v>0.00%</v>
      </c>
      <c r="AB70" s="2">
        <f t="shared" ref="AB70:AB81" si="45">ROUND(X70*(LEFT(AC70,5)+1),0)</f>
        <v>0</v>
      </c>
      <c r="AC70" s="81" t="str">
        <f>TEXT('MYP Assumptions'!J75,"0.00%")&amp;", CPI"</f>
        <v>2.73%, CPI</v>
      </c>
    </row>
    <row r="71" spans="1:29" hidden="1" x14ac:dyDescent="0.25">
      <c r="A71" s="152"/>
      <c r="B71" s="939"/>
      <c r="D71" s="2">
        <v>0</v>
      </c>
      <c r="E71" s="863"/>
      <c r="F71" s="2"/>
      <c r="G71" s="83" t="str">
        <f t="shared" si="35"/>
        <v>0.00%</v>
      </c>
      <c r="H71" s="2">
        <f t="shared" ref="H71:H76" si="46">ROUND(D71*(LEFT(I71,5)+1),0)</f>
        <v>0</v>
      </c>
      <c r="I71" s="854" t="str">
        <f>TEXT('MYP Assumptions'!E75,"0.00%")&amp;", CPI"</f>
        <v>3.42%, CPI</v>
      </c>
      <c r="J71" s="66"/>
      <c r="K71" s="83" t="str">
        <f t="shared" si="38"/>
        <v>0.00%</v>
      </c>
      <c r="L71" s="2">
        <f t="shared" si="39"/>
        <v>0</v>
      </c>
      <c r="M71" s="854" t="str">
        <f>TEXT('MYP Assumptions'!F75,"0.00%")&amp;", CPI"</f>
        <v>3.35%, CPI</v>
      </c>
      <c r="O71" s="83" t="str">
        <f t="shared" si="40"/>
        <v>0.00%</v>
      </c>
      <c r="P71" s="2">
        <f t="shared" si="41"/>
        <v>0</v>
      </c>
      <c r="Q71" s="854" t="str">
        <f>TEXT('MYP Assumptions'!G75,"0.00%")&amp;", CPI"</f>
        <v>3.02%, CPI</v>
      </c>
      <c r="S71" s="83" t="str">
        <f t="shared" si="42"/>
        <v>0.00%</v>
      </c>
      <c r="T71" s="2">
        <f t="shared" si="43"/>
        <v>0</v>
      </c>
      <c r="U71" s="81" t="str">
        <f>TEXT('MYP Assumptions'!H75,"0.00%")&amp;", CPI"</f>
        <v>2.73%, CPI</v>
      </c>
      <c r="W71" s="83" t="str">
        <f t="shared" si="36"/>
        <v>0.00%</v>
      </c>
      <c r="X71" s="2">
        <f t="shared" si="44"/>
        <v>0</v>
      </c>
      <c r="Y71" s="81" t="str">
        <f>TEXT('MYP Assumptions'!I75,"0.00%")&amp;", CPI"</f>
        <v>2.73%, CPI</v>
      </c>
      <c r="AA71" s="83" t="str">
        <f t="shared" si="37"/>
        <v>0.00%</v>
      </c>
      <c r="AB71" s="2">
        <f t="shared" si="45"/>
        <v>0</v>
      </c>
      <c r="AC71" s="81" t="str">
        <f>TEXT('MYP Assumptions'!J75,"0.00%")&amp;", CPI"</f>
        <v>2.73%, CPI</v>
      </c>
    </row>
    <row r="72" spans="1:29" hidden="1" x14ac:dyDescent="0.25">
      <c r="A72" s="152"/>
      <c r="B72" s="939"/>
      <c r="D72" s="2">
        <v>0</v>
      </c>
      <c r="E72" s="863"/>
      <c r="F72" s="2"/>
      <c r="G72" s="83" t="str">
        <f t="shared" si="35"/>
        <v>0.00%</v>
      </c>
      <c r="H72" s="2">
        <f t="shared" si="46"/>
        <v>0</v>
      </c>
      <c r="I72" s="854" t="str">
        <f>TEXT('MYP Assumptions'!E75,"0.00%")&amp;", CPI"</f>
        <v>3.42%, CPI</v>
      </c>
      <c r="J72" s="66"/>
      <c r="K72" s="83" t="str">
        <f t="shared" si="38"/>
        <v>0.00%</v>
      </c>
      <c r="L72" s="2">
        <f t="shared" si="39"/>
        <v>0</v>
      </c>
      <c r="M72" s="854" t="str">
        <f>TEXT('MYP Assumptions'!F75,"0.00%")&amp;", CPI"</f>
        <v>3.35%, CPI</v>
      </c>
      <c r="O72" s="83" t="str">
        <f t="shared" si="40"/>
        <v>0.00%</v>
      </c>
      <c r="P72" s="2">
        <f t="shared" si="41"/>
        <v>0</v>
      </c>
      <c r="Q72" s="854" t="str">
        <f>TEXT('MYP Assumptions'!G75,"0.00%")&amp;", CPI"</f>
        <v>3.02%, CPI</v>
      </c>
      <c r="S72" s="83" t="str">
        <f t="shared" si="42"/>
        <v>0.00%</v>
      </c>
      <c r="T72" s="2">
        <f t="shared" si="43"/>
        <v>0</v>
      </c>
      <c r="U72" s="81" t="str">
        <f>TEXT('MYP Assumptions'!H75,"0.00%")&amp;", CPI"</f>
        <v>2.73%, CPI</v>
      </c>
      <c r="W72" s="83" t="str">
        <f t="shared" si="36"/>
        <v>0.00%</v>
      </c>
      <c r="X72" s="2">
        <f t="shared" si="44"/>
        <v>0</v>
      </c>
      <c r="Y72" s="81" t="str">
        <f>TEXT('MYP Assumptions'!I75,"0.00%")&amp;", CPI"</f>
        <v>2.73%, CPI</v>
      </c>
      <c r="AA72" s="83" t="str">
        <f t="shared" si="37"/>
        <v>0.00%</v>
      </c>
      <c r="AB72" s="2">
        <f t="shared" si="45"/>
        <v>0</v>
      </c>
      <c r="AC72" s="81" t="str">
        <f>TEXT('MYP Assumptions'!J75,"0.00%")&amp;", CPI"</f>
        <v>2.73%, CPI</v>
      </c>
    </row>
    <row r="73" spans="1:29" hidden="1" x14ac:dyDescent="0.25">
      <c r="A73" s="152"/>
      <c r="B73" s="939"/>
      <c r="D73" s="2">
        <v>0</v>
      </c>
      <c r="E73" s="863"/>
      <c r="F73" s="2"/>
      <c r="G73" s="83" t="str">
        <f t="shared" si="35"/>
        <v>0.00%</v>
      </c>
      <c r="H73" s="2">
        <f t="shared" si="46"/>
        <v>0</v>
      </c>
      <c r="I73" s="854" t="str">
        <f>TEXT('MYP Assumptions'!E75,"0.00%")&amp;", CPI"</f>
        <v>3.42%, CPI</v>
      </c>
      <c r="J73" s="66"/>
      <c r="K73" s="83" t="str">
        <f t="shared" si="38"/>
        <v>0.00%</v>
      </c>
      <c r="L73" s="2">
        <f t="shared" si="39"/>
        <v>0</v>
      </c>
      <c r="M73" s="854" t="str">
        <f>TEXT('MYP Assumptions'!F75,"0.00%")&amp;", CPI"</f>
        <v>3.35%, CPI</v>
      </c>
      <c r="O73" s="83" t="str">
        <f t="shared" si="40"/>
        <v>0.00%</v>
      </c>
      <c r="P73" s="2">
        <f t="shared" si="41"/>
        <v>0</v>
      </c>
      <c r="Q73" s="854" t="str">
        <f>TEXT('MYP Assumptions'!G75,"0.00%")&amp;", CPI"</f>
        <v>3.02%, CPI</v>
      </c>
      <c r="S73" s="83" t="str">
        <f t="shared" si="42"/>
        <v>0.00%</v>
      </c>
      <c r="T73" s="2">
        <f t="shared" si="43"/>
        <v>0</v>
      </c>
      <c r="U73" s="81" t="str">
        <f>TEXT('MYP Assumptions'!H75,"0.00%")&amp;", CPI"</f>
        <v>2.73%, CPI</v>
      </c>
      <c r="W73" s="83" t="str">
        <f t="shared" si="36"/>
        <v>0.00%</v>
      </c>
      <c r="X73" s="2">
        <f t="shared" si="44"/>
        <v>0</v>
      </c>
      <c r="Y73" s="81" t="str">
        <f>TEXT('MYP Assumptions'!I75,"0.00%")&amp;", CPI"</f>
        <v>2.73%, CPI</v>
      </c>
      <c r="AA73" s="83" t="str">
        <f t="shared" si="37"/>
        <v>0.00%</v>
      </c>
      <c r="AB73" s="2">
        <f t="shared" si="45"/>
        <v>0</v>
      </c>
      <c r="AC73" s="81" t="str">
        <f>TEXT('MYP Assumptions'!J75,"0.00%")&amp;", CPI"</f>
        <v>2.73%, CPI</v>
      </c>
    </row>
    <row r="74" spans="1:29" hidden="1" x14ac:dyDescent="0.25">
      <c r="A74" s="152"/>
      <c r="B74" s="939"/>
      <c r="D74" s="2">
        <v>0</v>
      </c>
      <c r="E74" s="863"/>
      <c r="F74" s="2"/>
      <c r="G74" s="83" t="str">
        <f t="shared" si="35"/>
        <v>0.00%</v>
      </c>
      <c r="H74" s="2">
        <f t="shared" si="46"/>
        <v>0</v>
      </c>
      <c r="I74" s="854" t="str">
        <f>TEXT('MYP Assumptions'!E75,"0.00%")&amp;", CPI"</f>
        <v>3.42%, CPI</v>
      </c>
      <c r="J74" s="66"/>
      <c r="K74" s="83" t="str">
        <f t="shared" si="38"/>
        <v>0.00%</v>
      </c>
      <c r="L74" s="2">
        <f t="shared" si="39"/>
        <v>0</v>
      </c>
      <c r="M74" s="854" t="str">
        <f>TEXT('MYP Assumptions'!F75,"0.00%")&amp;", CPI"</f>
        <v>3.35%, CPI</v>
      </c>
      <c r="O74" s="83" t="str">
        <f t="shared" si="40"/>
        <v>0.00%</v>
      </c>
      <c r="P74" s="2">
        <f t="shared" si="41"/>
        <v>0</v>
      </c>
      <c r="Q74" s="854" t="str">
        <f>TEXT('MYP Assumptions'!G75,"0.00%")&amp;", CPI"</f>
        <v>3.02%, CPI</v>
      </c>
      <c r="S74" s="83" t="str">
        <f t="shared" si="42"/>
        <v>0.00%</v>
      </c>
      <c r="T74" s="2">
        <f t="shared" si="43"/>
        <v>0</v>
      </c>
      <c r="U74" s="81" t="str">
        <f>TEXT('MYP Assumptions'!H75,"0.00%")&amp;", CPI"</f>
        <v>2.73%, CPI</v>
      </c>
      <c r="W74" s="83" t="str">
        <f t="shared" si="36"/>
        <v>0.00%</v>
      </c>
      <c r="X74" s="2">
        <f t="shared" si="44"/>
        <v>0</v>
      </c>
      <c r="Y74" s="81" t="str">
        <f>TEXT('MYP Assumptions'!I75,"0.00%")&amp;", CPI"</f>
        <v>2.73%, CPI</v>
      </c>
      <c r="AA74" s="83" t="str">
        <f t="shared" si="37"/>
        <v>0.00%</v>
      </c>
      <c r="AB74" s="2">
        <f t="shared" si="45"/>
        <v>0</v>
      </c>
      <c r="AC74" s="81" t="str">
        <f>TEXT('MYP Assumptions'!J75,"0.00%")&amp;", CPI"</f>
        <v>2.73%, CPI</v>
      </c>
    </row>
    <row r="75" spans="1:29" hidden="1" x14ac:dyDescent="0.25">
      <c r="A75" s="152"/>
      <c r="B75" s="939"/>
      <c r="D75" s="2">
        <v>0</v>
      </c>
      <c r="E75" s="863"/>
      <c r="F75" s="2"/>
      <c r="G75" s="83" t="str">
        <f>IF(D75=0,"0.00%",(H75-D75)/D75)</f>
        <v>0.00%</v>
      </c>
      <c r="H75" s="2">
        <f t="shared" si="46"/>
        <v>0</v>
      </c>
      <c r="I75" s="854" t="str">
        <f>TEXT('MYP Assumptions'!E75,"0.00%")&amp;", CPI"</f>
        <v>3.42%, CPI</v>
      </c>
      <c r="J75" s="66"/>
      <c r="K75" s="83" t="str">
        <f t="shared" si="38"/>
        <v>0.00%</v>
      </c>
      <c r="L75" s="2">
        <f t="shared" si="39"/>
        <v>0</v>
      </c>
      <c r="M75" s="854" t="str">
        <f>TEXT('MYP Assumptions'!F75,"0.00%")&amp;", CPI"</f>
        <v>3.35%, CPI</v>
      </c>
      <c r="O75" s="83" t="str">
        <f t="shared" si="40"/>
        <v>0.00%</v>
      </c>
      <c r="P75" s="2">
        <f t="shared" si="41"/>
        <v>0</v>
      </c>
      <c r="Q75" s="854" t="str">
        <f>TEXT('MYP Assumptions'!G75,"0.00%")&amp;", CPI"</f>
        <v>3.02%, CPI</v>
      </c>
      <c r="S75" s="83" t="str">
        <f t="shared" si="42"/>
        <v>0.00%</v>
      </c>
      <c r="T75" s="2">
        <f t="shared" si="43"/>
        <v>0</v>
      </c>
      <c r="U75" s="81" t="str">
        <f>TEXT('MYP Assumptions'!H75,"0.00%")&amp;", CPI"</f>
        <v>2.73%, CPI</v>
      </c>
      <c r="W75" s="83" t="str">
        <f t="shared" si="36"/>
        <v>0.00%</v>
      </c>
      <c r="X75" s="2">
        <f t="shared" si="44"/>
        <v>0</v>
      </c>
      <c r="Y75" s="81" t="str">
        <f>TEXT('MYP Assumptions'!I75,"0.00%")&amp;", CPI"</f>
        <v>2.73%, CPI</v>
      </c>
      <c r="AA75" s="83" t="str">
        <f t="shared" si="37"/>
        <v>0.00%</v>
      </c>
      <c r="AB75" s="2">
        <f t="shared" si="45"/>
        <v>0</v>
      </c>
      <c r="AC75" s="81" t="str">
        <f>TEXT('MYP Assumptions'!J75,"0.00%")&amp;", CPI"</f>
        <v>2.73%, CPI</v>
      </c>
    </row>
    <row r="76" spans="1:29" hidden="1" x14ac:dyDescent="0.25">
      <c r="A76" s="152"/>
      <c r="B76" s="939"/>
      <c r="D76" s="2">
        <v>0</v>
      </c>
      <c r="E76" s="863"/>
      <c r="F76" s="2"/>
      <c r="G76" s="83" t="str">
        <f t="shared" ref="G76:G82" si="47">IF(D76=0,"0.00%",(H76-D76)/D76)</f>
        <v>0.00%</v>
      </c>
      <c r="H76" s="2">
        <f t="shared" si="46"/>
        <v>0</v>
      </c>
      <c r="I76" s="854" t="str">
        <f>TEXT('MYP Assumptions'!E75,"0.00%")&amp;", CPI"</f>
        <v>3.42%, CPI</v>
      </c>
      <c r="J76" s="66"/>
      <c r="K76" s="83" t="str">
        <f t="shared" si="38"/>
        <v>0.00%</v>
      </c>
      <c r="L76" s="2">
        <f t="shared" si="39"/>
        <v>0</v>
      </c>
      <c r="M76" s="854" t="str">
        <f>TEXT('MYP Assumptions'!F75,"0.00%")&amp;", CPI"</f>
        <v>3.35%, CPI</v>
      </c>
      <c r="O76" s="83" t="str">
        <f t="shared" si="40"/>
        <v>0.00%</v>
      </c>
      <c r="P76" s="2">
        <f t="shared" si="41"/>
        <v>0</v>
      </c>
      <c r="Q76" s="854" t="str">
        <f>TEXT('MYP Assumptions'!G75,"0.00%")&amp;", CPI"</f>
        <v>3.02%, CPI</v>
      </c>
      <c r="S76" s="83" t="str">
        <f t="shared" si="42"/>
        <v>0.00%</v>
      </c>
      <c r="T76" s="2">
        <f t="shared" si="43"/>
        <v>0</v>
      </c>
      <c r="U76" s="81" t="str">
        <f>TEXT('MYP Assumptions'!H75,"0.00%")&amp;", CPI"</f>
        <v>2.73%, CPI</v>
      </c>
      <c r="W76" s="83" t="str">
        <f t="shared" si="36"/>
        <v>0.00%</v>
      </c>
      <c r="X76" s="2">
        <f t="shared" si="44"/>
        <v>0</v>
      </c>
      <c r="Y76" s="81" t="str">
        <f>TEXT('MYP Assumptions'!I75,"0.00%")&amp;", CPI"</f>
        <v>2.73%, CPI</v>
      </c>
      <c r="AA76" s="83" t="str">
        <f t="shared" si="37"/>
        <v>0.00%</v>
      </c>
      <c r="AB76" s="2">
        <f t="shared" si="45"/>
        <v>0</v>
      </c>
      <c r="AC76" s="81" t="str">
        <f>TEXT('MYP Assumptions'!J75,"0.00%")&amp;", CPI"</f>
        <v>2.73%, CPI</v>
      </c>
    </row>
    <row r="77" spans="1:29" hidden="1" x14ac:dyDescent="0.25">
      <c r="A77" s="152"/>
      <c r="B77" s="939"/>
      <c r="D77" s="2">
        <v>0</v>
      </c>
      <c r="E77" s="863"/>
      <c r="F77" s="2"/>
      <c r="G77" s="83" t="str">
        <f t="shared" si="47"/>
        <v>0.00%</v>
      </c>
      <c r="H77" s="2">
        <f>ROUND(D77*(LEFT(I77,5)+1),0)</f>
        <v>0</v>
      </c>
      <c r="I77" s="854" t="str">
        <f>TEXT('MYP Assumptions'!E75,"0.00%")&amp;", CPI"</f>
        <v>3.42%, CPI</v>
      </c>
      <c r="J77" s="66"/>
      <c r="K77" s="83" t="str">
        <f t="shared" si="38"/>
        <v>0.00%</v>
      </c>
      <c r="L77" s="2">
        <f t="shared" si="39"/>
        <v>0</v>
      </c>
      <c r="M77" s="854" t="str">
        <f>TEXT('MYP Assumptions'!F75,"0.00%")&amp;", CPI"</f>
        <v>3.35%, CPI</v>
      </c>
      <c r="O77" s="83" t="str">
        <f t="shared" si="40"/>
        <v>0.00%</v>
      </c>
      <c r="P77" s="2">
        <f t="shared" si="41"/>
        <v>0</v>
      </c>
      <c r="Q77" s="854" t="str">
        <f>TEXT('MYP Assumptions'!G75,"0.00%")&amp;", CPI"</f>
        <v>3.02%, CPI</v>
      </c>
      <c r="S77" s="83" t="str">
        <f t="shared" si="42"/>
        <v>0.00%</v>
      </c>
      <c r="T77" s="2">
        <f t="shared" si="43"/>
        <v>0</v>
      </c>
      <c r="U77" s="81" t="str">
        <f>TEXT('MYP Assumptions'!H75,"0.00%")&amp;", CPI"</f>
        <v>2.73%, CPI</v>
      </c>
      <c r="W77" s="83" t="str">
        <f t="shared" si="36"/>
        <v>0.00%</v>
      </c>
      <c r="X77" s="2">
        <f t="shared" si="44"/>
        <v>0</v>
      </c>
      <c r="Y77" s="81" t="str">
        <f>TEXT('MYP Assumptions'!I75,"0.00%")&amp;", CPI"</f>
        <v>2.73%, CPI</v>
      </c>
      <c r="AA77" s="83" t="str">
        <f t="shared" si="37"/>
        <v>0.00%</v>
      </c>
      <c r="AB77" s="2">
        <f t="shared" si="45"/>
        <v>0</v>
      </c>
      <c r="AC77" s="81" t="str">
        <f>TEXT('MYP Assumptions'!J75,"0.00%")&amp;", CPI"</f>
        <v>2.73%, CPI</v>
      </c>
    </row>
    <row r="78" spans="1:29" hidden="1" x14ac:dyDescent="0.25">
      <c r="A78" s="152"/>
      <c r="B78" s="939"/>
      <c r="D78" s="2">
        <v>0</v>
      </c>
      <c r="E78" s="863"/>
      <c r="F78" s="2"/>
      <c r="G78" s="83" t="str">
        <f t="shared" si="47"/>
        <v>0.00%</v>
      </c>
      <c r="H78" s="2">
        <f>ROUND(D78*(LEFT(I78,5)+1),0)</f>
        <v>0</v>
      </c>
      <c r="I78" s="854" t="str">
        <f>TEXT('MYP Assumptions'!E75,"0.00%")&amp;", CPI"</f>
        <v>3.42%, CPI</v>
      </c>
      <c r="J78" s="66"/>
      <c r="K78" s="83" t="str">
        <f t="shared" si="38"/>
        <v>0.00%</v>
      </c>
      <c r="L78" s="2">
        <f t="shared" si="39"/>
        <v>0</v>
      </c>
      <c r="M78" s="854" t="str">
        <f>TEXT('MYP Assumptions'!F75,"0.00%")&amp;", CPI"</f>
        <v>3.35%, CPI</v>
      </c>
      <c r="O78" s="83" t="str">
        <f t="shared" si="40"/>
        <v>0.00%</v>
      </c>
      <c r="P78" s="2">
        <f t="shared" si="41"/>
        <v>0</v>
      </c>
      <c r="Q78" s="854" t="str">
        <f>TEXT('MYP Assumptions'!G75,"0.00%")&amp;", CPI"</f>
        <v>3.02%, CPI</v>
      </c>
      <c r="S78" s="83" t="str">
        <f t="shared" si="42"/>
        <v>0.00%</v>
      </c>
      <c r="T78" s="2">
        <f t="shared" si="43"/>
        <v>0</v>
      </c>
      <c r="U78" s="81" t="str">
        <f>TEXT('MYP Assumptions'!H75,"0.00%")&amp;", CPI"</f>
        <v>2.73%, CPI</v>
      </c>
      <c r="W78" s="83" t="str">
        <f t="shared" si="36"/>
        <v>0.00%</v>
      </c>
      <c r="X78" s="2">
        <f t="shared" si="44"/>
        <v>0</v>
      </c>
      <c r="Y78" s="81" t="str">
        <f>TEXT('MYP Assumptions'!I75,"0.00%")&amp;", CPI"</f>
        <v>2.73%, CPI</v>
      </c>
      <c r="AA78" s="83" t="str">
        <f t="shared" si="37"/>
        <v>0.00%</v>
      </c>
      <c r="AB78" s="2">
        <f t="shared" si="45"/>
        <v>0</v>
      </c>
      <c r="AC78" s="81" t="str">
        <f>TEXT('MYP Assumptions'!J75,"0.00%")&amp;", CPI"</f>
        <v>2.73%, CPI</v>
      </c>
    </row>
    <row r="79" spans="1:29" hidden="1" x14ac:dyDescent="0.25">
      <c r="A79" s="152"/>
      <c r="B79" s="939"/>
      <c r="D79" s="2">
        <v>0</v>
      </c>
      <c r="E79" s="863"/>
      <c r="F79" s="2"/>
      <c r="G79" s="83" t="str">
        <f t="shared" si="47"/>
        <v>0.00%</v>
      </c>
      <c r="H79" s="2">
        <f>ROUND(D79*(LEFT(I79,5)+1),0)</f>
        <v>0</v>
      </c>
      <c r="I79" s="854" t="str">
        <f>TEXT('MYP Assumptions'!E75,"0.00%")&amp;", CPI"</f>
        <v>3.42%, CPI</v>
      </c>
      <c r="J79" s="66"/>
      <c r="K79" s="83" t="str">
        <f t="shared" si="38"/>
        <v>0.00%</v>
      </c>
      <c r="L79" s="2">
        <f t="shared" si="39"/>
        <v>0</v>
      </c>
      <c r="M79" s="854" t="str">
        <f>TEXT('MYP Assumptions'!F75,"0.00%")&amp;", CPI"</f>
        <v>3.35%, CPI</v>
      </c>
      <c r="O79" s="83" t="str">
        <f t="shared" si="40"/>
        <v>0.00%</v>
      </c>
      <c r="P79" s="2">
        <f t="shared" si="41"/>
        <v>0</v>
      </c>
      <c r="Q79" s="854" t="str">
        <f>TEXT('MYP Assumptions'!G75,"0.00%")&amp;", CPI"</f>
        <v>3.02%, CPI</v>
      </c>
      <c r="S79" s="83" t="str">
        <f t="shared" si="42"/>
        <v>0.00%</v>
      </c>
      <c r="T79" s="2">
        <f t="shared" si="43"/>
        <v>0</v>
      </c>
      <c r="U79" s="81" t="str">
        <f>TEXT('MYP Assumptions'!H75,"0.00%")&amp;", CPI"</f>
        <v>2.73%, CPI</v>
      </c>
      <c r="W79" s="83" t="str">
        <f t="shared" si="36"/>
        <v>0.00%</v>
      </c>
      <c r="X79" s="2">
        <f t="shared" si="44"/>
        <v>0</v>
      </c>
      <c r="Y79" s="81" t="str">
        <f>TEXT('MYP Assumptions'!I75,"0.00%")&amp;", CPI"</f>
        <v>2.73%, CPI</v>
      </c>
      <c r="AA79" s="83" t="str">
        <f t="shared" si="37"/>
        <v>0.00%</v>
      </c>
      <c r="AB79" s="2">
        <f t="shared" si="45"/>
        <v>0</v>
      </c>
      <c r="AC79" s="81" t="str">
        <f>TEXT('MYP Assumptions'!J75,"0.00%")&amp;", CPI"</f>
        <v>2.73%, CPI</v>
      </c>
    </row>
    <row r="80" spans="1:29" hidden="1" x14ac:dyDescent="0.25">
      <c r="A80" s="152"/>
      <c r="B80" s="939"/>
      <c r="D80" s="2">
        <v>0</v>
      </c>
      <c r="E80" s="863"/>
      <c r="F80" s="2"/>
      <c r="G80" s="83" t="str">
        <f t="shared" si="47"/>
        <v>0.00%</v>
      </c>
      <c r="H80" s="2">
        <f>ROUND(D80*(LEFT(I80,5)+1),0)</f>
        <v>0</v>
      </c>
      <c r="I80" s="854" t="str">
        <f>TEXT('MYP Assumptions'!E75,"0.00%")&amp;", CPI"</f>
        <v>3.42%, CPI</v>
      </c>
      <c r="J80" s="66"/>
      <c r="K80" s="83" t="str">
        <f t="shared" si="38"/>
        <v>0.00%</v>
      </c>
      <c r="L80" s="2">
        <f t="shared" si="39"/>
        <v>0</v>
      </c>
      <c r="M80" s="854" t="str">
        <f>TEXT('MYP Assumptions'!F75,"0.00%")&amp;", CPI"</f>
        <v>3.35%, CPI</v>
      </c>
      <c r="O80" s="83" t="str">
        <f t="shared" si="40"/>
        <v>0.00%</v>
      </c>
      <c r="P80" s="2">
        <f t="shared" si="41"/>
        <v>0</v>
      </c>
      <c r="Q80" s="854" t="str">
        <f>TEXT('MYP Assumptions'!G75,"0.00%")&amp;", CPI"</f>
        <v>3.02%, CPI</v>
      </c>
      <c r="S80" s="83" t="str">
        <f t="shared" si="42"/>
        <v>0.00%</v>
      </c>
      <c r="T80" s="2">
        <f t="shared" si="43"/>
        <v>0</v>
      </c>
      <c r="U80" s="81" t="str">
        <f>TEXT('MYP Assumptions'!H75,"0.00%")&amp;", CPI"</f>
        <v>2.73%, CPI</v>
      </c>
      <c r="W80" s="83" t="str">
        <f t="shared" si="36"/>
        <v>0.00%</v>
      </c>
      <c r="X80" s="2">
        <f t="shared" si="44"/>
        <v>0</v>
      </c>
      <c r="Y80" s="81" t="str">
        <f>TEXT('MYP Assumptions'!I75,"0.00%")&amp;", CPI"</f>
        <v>2.73%, CPI</v>
      </c>
      <c r="AA80" s="83" t="str">
        <f t="shared" si="37"/>
        <v>0.00%</v>
      </c>
      <c r="AB80" s="2">
        <f t="shared" si="45"/>
        <v>0</v>
      </c>
      <c r="AC80" s="81" t="str">
        <f>TEXT('MYP Assumptions'!J75,"0.00%")&amp;", CPI"</f>
        <v>2.73%, CPI</v>
      </c>
    </row>
    <row r="81" spans="1:29" hidden="1" x14ac:dyDescent="0.25">
      <c r="A81" s="152"/>
      <c r="B81" s="939"/>
      <c r="D81" s="2">
        <f>'RS 3010-ALL'!AF80</f>
        <v>0</v>
      </c>
      <c r="E81" s="863"/>
      <c r="F81" s="2"/>
      <c r="G81" s="83" t="str">
        <f t="shared" si="47"/>
        <v>0.00%</v>
      </c>
      <c r="H81" s="2">
        <f>ROUND(D81*(LEFT(I81,5)+1),0)</f>
        <v>0</v>
      </c>
      <c r="I81" s="854" t="str">
        <f>TEXT('MYP Assumptions'!E75,"0.00%")&amp;", CPI"</f>
        <v>3.42%, CPI</v>
      </c>
      <c r="J81" s="66"/>
      <c r="K81" s="83" t="str">
        <f t="shared" si="38"/>
        <v>0.00%</v>
      </c>
      <c r="L81" s="2">
        <f t="shared" si="39"/>
        <v>0</v>
      </c>
      <c r="M81" s="854" t="str">
        <f>TEXT('MYP Assumptions'!F75,"0.00%")&amp;", CPI"</f>
        <v>3.35%, CPI</v>
      </c>
      <c r="O81" s="83" t="str">
        <f t="shared" si="40"/>
        <v>0.00%</v>
      </c>
      <c r="P81" s="2">
        <f t="shared" si="41"/>
        <v>0</v>
      </c>
      <c r="Q81" s="854" t="str">
        <f>TEXT('MYP Assumptions'!G75,"0.00%")&amp;", CPI"</f>
        <v>3.02%, CPI</v>
      </c>
      <c r="S81" s="83" t="str">
        <f t="shared" si="42"/>
        <v>0.00%</v>
      </c>
      <c r="T81" s="2">
        <f t="shared" si="43"/>
        <v>0</v>
      </c>
      <c r="U81" s="81" t="str">
        <f>TEXT('MYP Assumptions'!H75,"0.00%")&amp;", CPI"</f>
        <v>2.73%, CPI</v>
      </c>
      <c r="W81" s="83" t="str">
        <f t="shared" si="36"/>
        <v>0.00%</v>
      </c>
      <c r="X81" s="2">
        <f t="shared" si="44"/>
        <v>0</v>
      </c>
      <c r="Y81" s="81" t="str">
        <f>TEXT('MYP Assumptions'!I75,"0.00%")&amp;", CPI"</f>
        <v>2.73%, CPI</v>
      </c>
      <c r="AA81" s="83" t="str">
        <f t="shared" si="37"/>
        <v>0.00%</v>
      </c>
      <c r="AB81" s="2">
        <f t="shared" si="45"/>
        <v>0</v>
      </c>
      <c r="AC81" s="81" t="str">
        <f>TEXT('MYP Assumptions'!J75,"0.00%")&amp;", CPI"</f>
        <v>2.73%, CPI</v>
      </c>
    </row>
    <row r="82" spans="1:29" x14ac:dyDescent="0.25">
      <c r="A82" s="153"/>
      <c r="D82" s="8">
        <f>SUM(D69:D81)</f>
        <v>1680</v>
      </c>
      <c r="E82" s="863"/>
      <c r="F82" s="2"/>
      <c r="G82" s="83">
        <f t="shared" si="47"/>
        <v>-0.10714285714285714</v>
      </c>
      <c r="H82" s="8">
        <f>SUM(H69:H81)</f>
        <v>1500</v>
      </c>
      <c r="I82" s="872"/>
      <c r="J82" s="29"/>
      <c r="K82" s="83">
        <f t="shared" si="38"/>
        <v>0</v>
      </c>
      <c r="L82" s="8">
        <f>SUM(L69:L81)</f>
        <v>1500</v>
      </c>
      <c r="M82" s="948"/>
      <c r="O82" s="83">
        <f t="shared" si="40"/>
        <v>0</v>
      </c>
      <c r="P82" s="8">
        <f>SUM(P69:P81)</f>
        <v>1500</v>
      </c>
      <c r="Q82" s="948"/>
      <c r="S82" s="83">
        <f t="shared" si="42"/>
        <v>0</v>
      </c>
      <c r="T82" s="8">
        <f>SUM(T69:T81)</f>
        <v>1500</v>
      </c>
      <c r="U82" s="73"/>
      <c r="W82" s="83">
        <f t="shared" si="36"/>
        <v>2.7333333333333334E-2</v>
      </c>
      <c r="X82" s="8">
        <f>SUM(X69:X81)</f>
        <v>1541</v>
      </c>
      <c r="Y82" s="73"/>
      <c r="AA82" s="83">
        <f t="shared" si="37"/>
        <v>2.7255029201817001E-2</v>
      </c>
      <c r="AB82" s="8">
        <f>SUM(AB69:AB81)</f>
        <v>1583</v>
      </c>
      <c r="AC82" s="73"/>
    </row>
    <row r="83" spans="1:29" x14ac:dyDescent="0.25">
      <c r="A83" s="152"/>
      <c r="B83" s="936"/>
      <c r="E83" s="863"/>
      <c r="F83" s="2"/>
      <c r="G83" s="83"/>
      <c r="H83" s="2"/>
      <c r="I83" s="871"/>
      <c r="J83" s="66"/>
      <c r="L83" s="2"/>
      <c r="M83" s="948"/>
      <c r="Q83" s="948"/>
      <c r="T83" s="2"/>
      <c r="U83" s="73"/>
      <c r="X83" s="2"/>
      <c r="Y83" s="73"/>
      <c r="AB83" s="2"/>
      <c r="AC83" s="73"/>
    </row>
    <row r="84" spans="1:29" x14ac:dyDescent="0.25">
      <c r="A84" s="152"/>
      <c r="E84" s="863"/>
      <c r="F84" s="2"/>
      <c r="H84" s="2"/>
      <c r="I84" s="871"/>
      <c r="J84" s="66"/>
      <c r="L84" s="2"/>
      <c r="M84" s="948"/>
      <c r="Q84" s="948"/>
      <c r="T84" s="2"/>
      <c r="U84" s="73"/>
      <c r="X84" s="2"/>
      <c r="Y84" s="73"/>
      <c r="AB84" s="2"/>
      <c r="AC84" s="73"/>
    </row>
    <row r="85" spans="1:29" x14ac:dyDescent="0.25">
      <c r="A85" s="153"/>
      <c r="B85" s="936" t="s">
        <v>0</v>
      </c>
      <c r="D85" s="8">
        <f>SUM(D82,D66,D55,D13)</f>
        <v>4485.3999999999996</v>
      </c>
      <c r="E85" s="863"/>
      <c r="F85" s="2"/>
      <c r="G85" s="83">
        <f>IF(D85=0,"0.00%",(H85-D85)/D85)</f>
        <v>0.80585900922994624</v>
      </c>
      <c r="H85" s="8">
        <f>SUM(H82,H66,H55,H13)</f>
        <v>8100</v>
      </c>
      <c r="I85" s="872"/>
      <c r="J85" s="29"/>
      <c r="K85" s="83">
        <f>IF(H85=0,"0.00%",(L85-H85)/H85)</f>
        <v>0</v>
      </c>
      <c r="L85" s="8">
        <f>SUM(L82,L66,L55,L13)</f>
        <v>8100</v>
      </c>
      <c r="M85" s="948"/>
      <c r="O85" s="83">
        <f>IF(L85=0,"0.00%",(P85-L85)/L85)</f>
        <v>0</v>
      </c>
      <c r="P85" s="8">
        <f>SUM(P82,P66,P55,P13)</f>
        <v>8100</v>
      </c>
      <c r="Q85" s="948"/>
      <c r="S85" s="83">
        <f>IF(P85=0,"0.00%",(T85-P85)/P85)</f>
        <v>0</v>
      </c>
      <c r="T85" s="8">
        <f>SUM(T82,T66,T55,T13)</f>
        <v>8100</v>
      </c>
      <c r="U85" s="73"/>
      <c r="W85" s="83">
        <f>IF(T85=0,"0.00%",(X85-T85)/T85)</f>
        <v>2.7283950617283951E-2</v>
      </c>
      <c r="X85" s="8">
        <f>SUM(X82,X66,X55,X13)</f>
        <v>8321</v>
      </c>
      <c r="Y85" s="73"/>
      <c r="AA85" s="83">
        <f>IF(X85=0,"0.00%",(AB85-X85)/X85)</f>
        <v>2.7280374954933302E-2</v>
      </c>
      <c r="AB85" s="8">
        <f>SUM(AB82,AB66,AB55,AB13)</f>
        <v>8548</v>
      </c>
      <c r="AC85" s="73"/>
    </row>
    <row r="86" spans="1:29" x14ac:dyDescent="0.25">
      <c r="A86" s="152"/>
      <c r="E86" s="863"/>
      <c r="F86" s="2"/>
      <c r="H86" s="2"/>
      <c r="I86" s="871"/>
      <c r="J86" s="66"/>
      <c r="L86" s="2"/>
      <c r="M86" s="948"/>
      <c r="Q86" s="948"/>
      <c r="T86" s="2"/>
      <c r="U86" s="73"/>
      <c r="X86" s="2"/>
      <c r="Y86" s="73"/>
      <c r="AB86" s="2"/>
      <c r="AC86" s="73"/>
    </row>
    <row r="87" spans="1:29" x14ac:dyDescent="0.25">
      <c r="A87" s="152"/>
      <c r="B87" s="936" t="s">
        <v>138</v>
      </c>
      <c r="D87" s="3">
        <f>D11-D85</f>
        <v>0</v>
      </c>
      <c r="G87" s="83" t="str">
        <f>IF(D87=0,"0.00%",(H87-D87)/D87)</f>
        <v>0.00%</v>
      </c>
      <c r="H87" s="3">
        <f>H11-H85</f>
        <v>0</v>
      </c>
      <c r="I87" s="871"/>
      <c r="J87" s="66"/>
      <c r="K87" s="83" t="str">
        <f>IF(H87=0,"0.00%",(L87-H87)/H87)</f>
        <v>0.00%</v>
      </c>
      <c r="L87" s="3">
        <f>L11-L85</f>
        <v>0</v>
      </c>
      <c r="M87" s="948"/>
      <c r="O87" s="83" t="str">
        <f>IF(L87=0,"0.00%",(P87-L87)/L87)</f>
        <v>0.00%</v>
      </c>
      <c r="P87" s="3">
        <f>P11-P85</f>
        <v>0</v>
      </c>
      <c r="Q87" s="948"/>
      <c r="S87" s="83" t="str">
        <f>IF(P87=0,"0.00%",(T87-P87)/P87)</f>
        <v>0.00%</v>
      </c>
      <c r="T87" s="3">
        <f>T11-T85</f>
        <v>0</v>
      </c>
      <c r="U87" s="73"/>
      <c r="W87" s="83" t="str">
        <f>IF(T87=0,"0.00%",(X87-T87)/T87)</f>
        <v>0.00%</v>
      </c>
      <c r="X87" s="3">
        <f>X11-X85</f>
        <v>-8321</v>
      </c>
      <c r="Y87" s="73"/>
      <c r="AA87" s="83">
        <f>IF(X87=0,"0.00%",(AB87-X87)/X87)</f>
        <v>2.7280374954933302E-2</v>
      </c>
      <c r="AB87" s="3">
        <f>AB11-AB85</f>
        <v>-8548</v>
      </c>
      <c r="AC87" s="73"/>
    </row>
    <row r="88" spans="1:29" x14ac:dyDescent="0.25">
      <c r="B88" s="936"/>
      <c r="C88" s="930"/>
      <c r="D88" s="3"/>
      <c r="H88" s="3"/>
      <c r="I88" s="871"/>
      <c r="J88" s="66"/>
      <c r="L88" s="3"/>
      <c r="M88" s="948"/>
      <c r="P88" s="3"/>
      <c r="Q88" s="948"/>
      <c r="T88" s="44"/>
      <c r="U88" s="73"/>
      <c r="X88" s="44"/>
      <c r="Y88" s="73"/>
      <c r="AB88" s="44"/>
      <c r="AC88" s="73"/>
    </row>
    <row r="89" spans="1:29" x14ac:dyDescent="0.25">
      <c r="B89" s="936" t="s">
        <v>136</v>
      </c>
      <c r="C89" s="932"/>
      <c r="D89" s="3">
        <f>D7+D87</f>
        <v>0</v>
      </c>
      <c r="G89" s="83" t="str">
        <f>IF(D89=0,"0.00%",(H89-D89)/D89)</f>
        <v>0.00%</v>
      </c>
      <c r="H89" s="3">
        <f>H7+H87</f>
        <v>0</v>
      </c>
      <c r="I89" s="871"/>
      <c r="J89" s="66"/>
      <c r="K89" s="83" t="str">
        <f>IF(H89=0,"0.00%",(L89-H89)/H89)</f>
        <v>0.00%</v>
      </c>
      <c r="L89" s="3">
        <f>L7+L87</f>
        <v>0</v>
      </c>
      <c r="M89" s="948"/>
      <c r="O89" s="83" t="str">
        <f>IF(L89=0,"0.00%",(P89-L89)/L89)</f>
        <v>0.00%</v>
      </c>
      <c r="P89" s="3">
        <f>P7+P87</f>
        <v>0</v>
      </c>
      <c r="Q89" s="948"/>
      <c r="S89" s="83" t="str">
        <f>IF(P89=0,"0.00%",(T89-P89)/P89)</f>
        <v>0.00%</v>
      </c>
      <c r="T89" s="49">
        <f>T7+T87</f>
        <v>0</v>
      </c>
      <c r="U89" s="73"/>
      <c r="W89" s="83" t="str">
        <f>IF(T89=0,"0.00%",(X89-T89)/T89)</f>
        <v>0.00%</v>
      </c>
      <c r="X89" s="49">
        <f>X7+X87</f>
        <v>-8321</v>
      </c>
      <c r="Y89" s="73"/>
      <c r="AA89" s="83">
        <f>IF(X89=0,"0.00%",(AB89-X89)/X89)</f>
        <v>1.0272803749549333</v>
      </c>
      <c r="AB89" s="49">
        <f>AB7+AB87</f>
        <v>-16869</v>
      </c>
      <c r="AC89" s="73"/>
    </row>
    <row r="90" spans="1:29" x14ac:dyDescent="0.25">
      <c r="C90" s="873"/>
      <c r="G90" s="374"/>
      <c r="H90" s="5"/>
      <c r="I90" s="872"/>
      <c r="J90" s="29"/>
      <c r="L90" s="5"/>
      <c r="M90" s="948"/>
      <c r="P90" s="5"/>
      <c r="Q90" s="948"/>
      <c r="T90" s="5"/>
      <c r="U90" s="73"/>
      <c r="X90" s="5"/>
      <c r="Y90" s="73"/>
      <c r="AB90" s="5"/>
      <c r="AC90" s="73"/>
    </row>
    <row r="91" spans="1:29" x14ac:dyDescent="0.25">
      <c r="C91" s="868"/>
      <c r="G91" s="374"/>
      <c r="H91" s="36"/>
      <c r="I91" s="871"/>
      <c r="J91" s="66"/>
      <c r="L91" s="2"/>
      <c r="M91" s="948"/>
      <c r="Q91" s="948"/>
      <c r="T91" s="2"/>
      <c r="U91" s="73"/>
      <c r="X91" s="2"/>
      <c r="Y91" s="73"/>
      <c r="AB91" s="2"/>
      <c r="AC91" s="73"/>
    </row>
    <row r="92" spans="1:29" x14ac:dyDescent="0.25">
      <c r="C92" s="868"/>
      <c r="G92" s="374"/>
      <c r="H92" s="36"/>
      <c r="I92" s="871"/>
      <c r="J92" s="66"/>
      <c r="L92" s="2"/>
      <c r="M92" s="948"/>
      <c r="Q92" s="948"/>
      <c r="T92" s="2"/>
      <c r="U92" s="73"/>
      <c r="X92" s="2"/>
      <c r="Y92" s="73"/>
      <c r="AB92" s="2"/>
      <c r="AC92" s="73"/>
    </row>
    <row r="93" spans="1:29" x14ac:dyDescent="0.25">
      <c r="C93" s="868"/>
      <c r="G93" s="374"/>
      <c r="H93" s="36"/>
      <c r="I93" s="871"/>
      <c r="J93" s="66"/>
      <c r="L93" s="2"/>
      <c r="M93" s="948"/>
      <c r="Q93" s="948"/>
      <c r="T93" s="2"/>
      <c r="U93" s="73"/>
      <c r="X93" s="2"/>
      <c r="Y93" s="73"/>
      <c r="AB93" s="2"/>
      <c r="AC93" s="73"/>
    </row>
    <row r="94" spans="1:29" x14ac:dyDescent="0.25">
      <c r="C94" s="868"/>
      <c r="G94" s="374"/>
      <c r="H94" s="36"/>
      <c r="I94" s="871"/>
      <c r="J94" s="66"/>
      <c r="L94" s="2"/>
      <c r="M94" s="948"/>
      <c r="Q94" s="948"/>
      <c r="T94" s="2"/>
      <c r="U94" s="73"/>
      <c r="X94" s="2"/>
      <c r="Y94" s="73"/>
      <c r="AB94" s="2"/>
      <c r="AC94" s="73"/>
    </row>
    <row r="95" spans="1:29" s="137" customFormat="1" ht="11.25" x14ac:dyDescent="0.2">
      <c r="A95" s="156"/>
      <c r="B95" s="942"/>
      <c r="C95" s="943" t="s">
        <v>223</v>
      </c>
      <c r="D95" s="134">
        <f>+D82+D66+D53+D41+D30</f>
        <v>4485.3999999999996</v>
      </c>
      <c r="E95" s="865"/>
      <c r="G95" s="133" t="s">
        <v>223</v>
      </c>
      <c r="H95" s="134">
        <f>+H82+H66+H53+H41+H30</f>
        <v>8100</v>
      </c>
      <c r="I95" s="874"/>
      <c r="J95" s="135"/>
      <c r="K95" s="133" t="s">
        <v>223</v>
      </c>
      <c r="L95" s="134">
        <f>+L82+L66+L53+L41+L30</f>
        <v>8100</v>
      </c>
      <c r="M95" s="951"/>
      <c r="O95" s="133" t="s">
        <v>223</v>
      </c>
      <c r="P95" s="134">
        <f>+P82+P66+P53+P41+P30</f>
        <v>8100</v>
      </c>
      <c r="Q95" s="951"/>
      <c r="R95" s="139"/>
      <c r="S95" s="133" t="s">
        <v>223</v>
      </c>
      <c r="T95" s="134">
        <f>+T82+T66+T53+T41+T30</f>
        <v>8100</v>
      </c>
      <c r="U95" s="138"/>
      <c r="W95" s="133" t="s">
        <v>223</v>
      </c>
      <c r="X95" s="134">
        <f>+X82+X66+X53+X41+X30</f>
        <v>8321</v>
      </c>
      <c r="Y95" s="138"/>
      <c r="AA95" s="133" t="s">
        <v>223</v>
      </c>
      <c r="AB95" s="134">
        <f>+AB82+AB66+AB53+AB41+AB30</f>
        <v>8548</v>
      </c>
      <c r="AC95" s="138"/>
    </row>
    <row r="96" spans="1:29" s="137" customFormat="1" ht="11.25" x14ac:dyDescent="0.2">
      <c r="A96" s="158"/>
      <c r="B96" s="942"/>
      <c r="C96" s="944" t="s">
        <v>224</v>
      </c>
      <c r="D96" s="142">
        <f>+D13</f>
        <v>0</v>
      </c>
      <c r="E96" s="866"/>
      <c r="F96" s="144"/>
      <c r="G96" s="375" t="s">
        <v>224</v>
      </c>
      <c r="H96" s="142">
        <f>+H13</f>
        <v>0</v>
      </c>
      <c r="I96" s="875"/>
      <c r="J96" s="143"/>
      <c r="K96" s="375" t="s">
        <v>224</v>
      </c>
      <c r="L96" s="142">
        <f>+L13</f>
        <v>0</v>
      </c>
      <c r="M96" s="951"/>
      <c r="O96" s="375" t="s">
        <v>224</v>
      </c>
      <c r="P96" s="142">
        <f>+P13</f>
        <v>0</v>
      </c>
      <c r="Q96" s="865"/>
      <c r="R96" s="139"/>
      <c r="S96" s="141" t="s">
        <v>224</v>
      </c>
      <c r="T96" s="142">
        <f>+T13</f>
        <v>0</v>
      </c>
      <c r="W96" s="141" t="s">
        <v>224</v>
      </c>
      <c r="X96" s="142">
        <f>+X13</f>
        <v>0</v>
      </c>
      <c r="AA96" s="141" t="s">
        <v>224</v>
      </c>
      <c r="AB96" s="142">
        <f>+AB13</f>
        <v>0</v>
      </c>
    </row>
    <row r="97" spans="1:28" s="137" customFormat="1" ht="11.25" x14ac:dyDescent="0.2">
      <c r="A97" s="158"/>
      <c r="B97" s="942"/>
      <c r="C97" s="944"/>
      <c r="D97" s="145">
        <f>+D95+D96</f>
        <v>4485.3999999999996</v>
      </c>
      <c r="E97" s="866"/>
      <c r="F97" s="144"/>
      <c r="G97" s="375"/>
      <c r="H97" s="145">
        <f>+H95+H96</f>
        <v>8100</v>
      </c>
      <c r="I97" s="875"/>
      <c r="J97" s="143"/>
      <c r="K97" s="375"/>
      <c r="L97" s="145">
        <f>+L95+L96</f>
        <v>8100</v>
      </c>
      <c r="M97" s="865"/>
      <c r="O97" s="375"/>
      <c r="P97" s="145">
        <f>+P95+P96</f>
        <v>8100</v>
      </c>
      <c r="Q97" s="865"/>
      <c r="R97" s="139"/>
      <c r="S97" s="141"/>
      <c r="T97" s="145">
        <f>+T95+T96</f>
        <v>8100</v>
      </c>
      <c r="W97" s="141"/>
      <c r="X97" s="145">
        <f>+X95+X96</f>
        <v>8321</v>
      </c>
      <c r="AA97" s="141"/>
      <c r="AB97" s="145">
        <f>+AB95+AB96</f>
        <v>8548</v>
      </c>
    </row>
    <row r="98" spans="1:28" ht="15" customHeight="1" x14ac:dyDescent="0.25">
      <c r="A98" s="152"/>
      <c r="B98" s="945"/>
      <c r="C98" s="945"/>
      <c r="D98" s="5">
        <f>+D85-D97</f>
        <v>0</v>
      </c>
      <c r="E98" s="863"/>
      <c r="F98" s="2"/>
      <c r="G98" s="376"/>
      <c r="H98" s="5">
        <f>+H85-H97</f>
        <v>0</v>
      </c>
      <c r="K98" s="376"/>
      <c r="L98" s="5">
        <f>+L85-L97</f>
        <v>0</v>
      </c>
      <c r="O98" s="376"/>
      <c r="P98" s="5">
        <f>+P85-P97</f>
        <v>0</v>
      </c>
      <c r="S98" s="103"/>
      <c r="T98" s="5">
        <f>+T85-T97</f>
        <v>0</v>
      </c>
      <c r="W98" s="103"/>
      <c r="X98" s="5">
        <f>+X85-X97</f>
        <v>0</v>
      </c>
      <c r="AA98" s="103"/>
      <c r="AB98" s="5">
        <f>+AB85-AB97</f>
        <v>0</v>
      </c>
    </row>
    <row r="99" spans="1:28" x14ac:dyDescent="0.25">
      <c r="A99" s="152"/>
      <c r="B99" s="945"/>
      <c r="C99" s="945"/>
      <c r="D99" s="36"/>
      <c r="E99" s="863"/>
      <c r="F99" s="2"/>
    </row>
    <row r="100" spans="1:28" x14ac:dyDescent="0.25">
      <c r="A100" s="152"/>
      <c r="B100" s="932"/>
      <c r="C100" s="868"/>
      <c r="D100" s="25"/>
      <c r="E100" s="863"/>
      <c r="F100" s="2"/>
    </row>
    <row r="101" spans="1:28" x14ac:dyDescent="0.25">
      <c r="B101" s="932"/>
      <c r="C101" s="868"/>
      <c r="D101" s="36"/>
    </row>
    <row r="102" spans="1:28" x14ac:dyDescent="0.25">
      <c r="B102" s="932"/>
      <c r="C102" s="868"/>
      <c r="D102" s="36"/>
    </row>
    <row r="103" spans="1:28" ht="15" customHeight="1" x14ac:dyDescent="0.25">
      <c r="B103" s="932"/>
      <c r="C103" s="868"/>
      <c r="D103" s="36"/>
    </row>
    <row r="104" spans="1:28" x14ac:dyDescent="0.25">
      <c r="B104" s="932"/>
      <c r="C104" s="868"/>
      <c r="D104" s="36"/>
    </row>
    <row r="105" spans="1:28" x14ac:dyDescent="0.25">
      <c r="B105" s="932"/>
      <c r="C105" s="868"/>
      <c r="D105" s="36"/>
    </row>
    <row r="106" spans="1:28" ht="15" customHeight="1" x14ac:dyDescent="0.25">
      <c r="B106" s="2209"/>
      <c r="C106" s="2209"/>
      <c r="D106" s="36"/>
    </row>
    <row r="107" spans="1:28" x14ac:dyDescent="0.25">
      <c r="B107" s="2209"/>
      <c r="C107" s="2209"/>
      <c r="D107" s="36"/>
    </row>
    <row r="108" spans="1:28" x14ac:dyDescent="0.25">
      <c r="B108" s="932"/>
      <c r="C108" s="868"/>
      <c r="D108" s="6"/>
    </row>
    <row r="109" spans="1:28" x14ac:dyDescent="0.25">
      <c r="B109" s="932"/>
      <c r="C109" s="868"/>
      <c r="D109" s="36"/>
    </row>
    <row r="110" spans="1:28" x14ac:dyDescent="0.25">
      <c r="B110" s="932"/>
      <c r="C110" s="868"/>
      <c r="D110" s="36"/>
    </row>
    <row r="111" spans="1:28" ht="28.5" customHeight="1" x14ac:dyDescent="0.25">
      <c r="B111" s="932"/>
      <c r="C111" s="868"/>
      <c r="D111" s="25"/>
    </row>
    <row r="112" spans="1:28" x14ac:dyDescent="0.25">
      <c r="B112" s="932"/>
      <c r="C112" s="868"/>
      <c r="D112" s="36"/>
    </row>
    <row r="113" spans="2:4" x14ac:dyDescent="0.25">
      <c r="B113" s="932"/>
      <c r="C113" s="868"/>
      <c r="D113" s="36"/>
    </row>
    <row r="114" spans="2:4" x14ac:dyDescent="0.25">
      <c r="B114" s="932"/>
      <c r="C114" s="868"/>
      <c r="D114" s="36"/>
    </row>
    <row r="115" spans="2:4" x14ac:dyDescent="0.25">
      <c r="B115" s="932"/>
      <c r="C115" s="868"/>
      <c r="D115" s="36"/>
    </row>
    <row r="116" spans="2:4" x14ac:dyDescent="0.25">
      <c r="B116" s="932"/>
      <c r="C116" s="868"/>
      <c r="D116" s="36"/>
    </row>
    <row r="117" spans="2:4" x14ac:dyDescent="0.25">
      <c r="B117" s="932"/>
      <c r="C117" s="868"/>
      <c r="D117" s="36"/>
    </row>
    <row r="118" spans="2:4" x14ac:dyDescent="0.25">
      <c r="B118" s="932"/>
      <c r="C118" s="868"/>
      <c r="D118" s="36"/>
    </row>
    <row r="119" spans="2:4" x14ac:dyDescent="0.25">
      <c r="B119" s="932"/>
      <c r="C119" s="868"/>
      <c r="D119" s="36"/>
    </row>
    <row r="120" spans="2:4" x14ac:dyDescent="0.25">
      <c r="B120" s="932"/>
      <c r="C120" s="868"/>
      <c r="D120" s="36"/>
    </row>
    <row r="121" spans="2:4" x14ac:dyDescent="0.25">
      <c r="B121" s="932"/>
      <c r="C121" s="868"/>
      <c r="D121" s="36"/>
    </row>
    <row r="122" spans="2:4" x14ac:dyDescent="0.25">
      <c r="B122" s="932"/>
      <c r="C122" s="868"/>
      <c r="D122" s="36"/>
    </row>
    <row r="123" spans="2:4" x14ac:dyDescent="0.25">
      <c r="B123" s="932"/>
      <c r="C123" s="868"/>
      <c r="D123" s="36"/>
    </row>
    <row r="124" spans="2:4" x14ac:dyDescent="0.25">
      <c r="B124" s="932"/>
      <c r="C124" s="868"/>
      <c r="D124" s="36"/>
    </row>
    <row r="125" spans="2:4" x14ac:dyDescent="0.25">
      <c r="B125" s="932"/>
      <c r="C125" s="868"/>
      <c r="D125" s="36"/>
    </row>
    <row r="126" spans="2:4" x14ac:dyDescent="0.25">
      <c r="B126" s="932"/>
      <c r="C126" s="868"/>
      <c r="D126" s="36"/>
    </row>
  </sheetData>
  <sheetProtection password="B79F" sheet="1" objects="1" scenarios="1"/>
  <mergeCells count="1">
    <mergeCell ref="B106:C107"/>
  </mergeCells>
  <pageMargins left="0.25" right="0.25" top="0.5" bottom="0.5" header="0.25" footer="0.25"/>
  <pageSetup paperSize="5" scale="74" orientation="portrait" r:id="rId1"/>
  <headerFooter>
    <oddHeader>&amp;L&amp;F</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AC126"/>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1.7109375" style="146" customWidth="1"/>
    <col min="2" max="2" width="8.5703125" style="930" customWidth="1"/>
    <col min="3" max="3" width="18.42578125" style="857" customWidth="1"/>
    <col min="4" max="4" width="16" style="2" customWidth="1"/>
    <col min="5" max="5" width="17.7109375" style="857" hidden="1" customWidth="1"/>
    <col min="6" max="6" width="6" style="39" customWidth="1"/>
    <col min="7" max="7" width="9.42578125" style="52" bestFit="1" customWidth="1"/>
    <col min="8" max="8" width="13.85546875" style="122" bestFit="1" customWidth="1"/>
    <col min="9" max="9" width="26" style="868" hidden="1" customWidth="1"/>
    <col min="10" max="10" width="5.7109375" style="59" customWidth="1"/>
    <col min="11" max="11" width="11.85546875" style="377" bestFit="1" customWidth="1"/>
    <col min="12" max="12" width="14" style="123" bestFit="1" customWidth="1"/>
    <col min="13" max="13" width="26" style="857" hidden="1" customWidth="1"/>
    <col min="14" max="14" width="5.7109375" style="39" customWidth="1"/>
    <col min="15" max="15" width="9.42578125" style="377" bestFit="1" customWidth="1"/>
    <col min="16" max="16" width="14" style="2" bestFit="1" customWidth="1"/>
    <col min="17" max="17" width="24.85546875" style="857"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930" t="s">
        <v>61</v>
      </c>
      <c r="C1" s="931" t="s">
        <v>856</v>
      </c>
      <c r="D1" s="1044"/>
      <c r="E1" s="855"/>
      <c r="F1" s="98"/>
      <c r="G1" s="369"/>
      <c r="H1" s="1045"/>
      <c r="I1" s="855"/>
      <c r="K1" s="382"/>
      <c r="L1" s="122"/>
      <c r="M1" s="855"/>
      <c r="N1" s="51"/>
      <c r="O1" s="382"/>
      <c r="P1" s="122"/>
      <c r="Q1" s="855"/>
      <c r="T1" s="86">
        <v>0</v>
      </c>
      <c r="U1" s="98"/>
      <c r="X1" s="86">
        <v>0</v>
      </c>
      <c r="Y1" s="98"/>
      <c r="AB1" s="86">
        <v>0</v>
      </c>
      <c r="AC1" s="98"/>
    </row>
    <row r="2" spans="1:29" ht="17.25" x14ac:dyDescent="0.4">
      <c r="B2" s="932" t="s">
        <v>59</v>
      </c>
      <c r="C2" s="933">
        <v>9221</v>
      </c>
      <c r="D2" s="1045"/>
      <c r="E2" s="855"/>
      <c r="F2" s="98"/>
      <c r="G2" s="1863"/>
      <c r="H2" s="1045"/>
      <c r="I2" s="855"/>
      <c r="K2" s="382"/>
      <c r="L2" s="87"/>
      <c r="M2" s="855"/>
      <c r="N2" s="51"/>
      <c r="O2" s="382"/>
      <c r="P2" s="87"/>
      <c r="Q2" s="855"/>
      <c r="T2" s="87">
        <v>0</v>
      </c>
      <c r="U2" s="98"/>
      <c r="X2" s="87">
        <v>0</v>
      </c>
      <c r="Y2" s="98"/>
      <c r="AB2" s="87">
        <v>0</v>
      </c>
      <c r="AC2" s="98"/>
    </row>
    <row r="3" spans="1:29" x14ac:dyDescent="0.25">
      <c r="D3" s="1046"/>
      <c r="E3" s="867"/>
      <c r="F3" s="1047"/>
      <c r="G3" s="1864"/>
      <c r="H3" s="1046"/>
      <c r="I3" s="867"/>
      <c r="K3" s="382"/>
      <c r="L3" s="122"/>
      <c r="M3" s="868"/>
      <c r="N3" s="51"/>
      <c r="O3" s="382"/>
      <c r="P3" s="122"/>
      <c r="Q3" s="868"/>
      <c r="T3" s="86">
        <f>SUM(T1:T2)</f>
        <v>0</v>
      </c>
      <c r="U3" s="51"/>
      <c r="X3" s="86">
        <f>SUM(X1:X2)</f>
        <v>0</v>
      </c>
      <c r="Y3" s="51"/>
      <c r="AB3" s="86">
        <f>SUM(AB1:AB2)</f>
        <v>0</v>
      </c>
      <c r="AC3" s="51"/>
    </row>
    <row r="4" spans="1:29" x14ac:dyDescent="0.25">
      <c r="D4" s="36"/>
      <c r="E4" s="868"/>
      <c r="F4" s="51"/>
      <c r="G4" s="374"/>
      <c r="K4" s="382"/>
      <c r="L4" s="122"/>
      <c r="M4" s="868"/>
      <c r="N4" s="51"/>
      <c r="O4" s="382"/>
      <c r="P4" s="122"/>
      <c r="Q4" s="868"/>
      <c r="T4" s="86"/>
      <c r="U4" s="51"/>
      <c r="X4" s="86"/>
      <c r="Y4" s="51"/>
      <c r="AB4" s="86"/>
      <c r="AC4" s="51"/>
    </row>
    <row r="5" spans="1:29" ht="15.75" x14ac:dyDescent="0.25">
      <c r="B5" s="934" t="s">
        <v>56</v>
      </c>
      <c r="P5" s="123"/>
      <c r="T5" s="73"/>
      <c r="X5" s="73"/>
      <c r="AB5" s="73"/>
    </row>
    <row r="6" spans="1:29" s="89" customFormat="1" ht="15.75" x14ac:dyDescent="0.25">
      <c r="A6" s="147"/>
      <c r="B6" s="935"/>
      <c r="C6" s="935"/>
      <c r="D6" s="1018" t="s">
        <v>55</v>
      </c>
      <c r="E6" s="858"/>
      <c r="G6" s="371"/>
      <c r="H6" s="324" t="str">
        <f>LEFT(D6,4)+1&amp;"-"&amp;RIGHT(D6,4)+1</f>
        <v>2017-2018</v>
      </c>
      <c r="I6" s="869"/>
      <c r="J6" s="93"/>
      <c r="K6" s="378"/>
      <c r="L6" s="124" t="str">
        <f>LEFT(H6,4)+1&amp;"-"&amp;RIGHT(H6,4)+1</f>
        <v>2018-2019</v>
      </c>
      <c r="M6" s="946"/>
      <c r="N6" s="96"/>
      <c r="O6" s="381"/>
      <c r="P6" s="124" t="str">
        <f>LEFT(L6,4)+1&amp;"-"&amp;RIGHT(L6,4)+1</f>
        <v>2019-2020</v>
      </c>
      <c r="Q6" s="94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936" t="s">
        <v>54</v>
      </c>
      <c r="D7" s="2">
        <v>0</v>
      </c>
      <c r="E7" s="928"/>
      <c r="H7" s="2">
        <f>D89</f>
        <v>0</v>
      </c>
      <c r="I7" s="928"/>
      <c r="J7" s="60"/>
      <c r="L7" s="2">
        <f>H89</f>
        <v>0</v>
      </c>
      <c r="M7" s="928"/>
      <c r="P7" s="2">
        <f>L89</f>
        <v>0</v>
      </c>
      <c r="Q7" s="928"/>
      <c r="T7" s="2">
        <f>P89</f>
        <v>0</v>
      </c>
      <c r="U7" s="105"/>
      <c r="X7" s="2">
        <f>T89</f>
        <v>0</v>
      </c>
      <c r="Y7" s="105"/>
      <c r="AB7" s="2">
        <f>X89</f>
        <v>0</v>
      </c>
      <c r="AC7" s="105"/>
    </row>
    <row r="8" spans="1:29" x14ac:dyDescent="0.25">
      <c r="E8" s="928"/>
      <c r="H8" s="2"/>
      <c r="I8" s="928"/>
      <c r="L8" s="2"/>
      <c r="M8" s="928"/>
      <c r="Q8" s="928"/>
      <c r="U8" s="105"/>
      <c r="Y8" s="105"/>
      <c r="AC8" s="105"/>
    </row>
    <row r="9" spans="1:29" x14ac:dyDescent="0.25">
      <c r="B9" s="930" t="s">
        <v>52</v>
      </c>
      <c r="C9" s="857" t="s">
        <v>684</v>
      </c>
      <c r="D9" s="2">
        <v>0</v>
      </c>
      <c r="E9" s="928"/>
      <c r="G9" s="83" t="str">
        <f>IF(D9=0,"0.00%",(H9-D9)/D9)</f>
        <v>0.00%</v>
      </c>
      <c r="H9" s="3">
        <v>7934</v>
      </c>
      <c r="I9" s="928" t="s">
        <v>174</v>
      </c>
      <c r="J9" s="61"/>
      <c r="K9" s="83">
        <f>IF(H9=0,"0.00%",(L9-H9)/H9)</f>
        <v>-1</v>
      </c>
      <c r="L9" s="3">
        <v>0</v>
      </c>
      <c r="M9" s="928" t="s">
        <v>174</v>
      </c>
      <c r="O9" s="83" t="str">
        <f>IF(L9=0,"0.00%",(P9-L9)/L9)</f>
        <v>0.00%</v>
      </c>
      <c r="P9" s="3">
        <f>+L9</f>
        <v>0</v>
      </c>
      <c r="Q9" s="928" t="s">
        <v>174</v>
      </c>
      <c r="S9" s="83" t="str">
        <f>IF(P9=0,"0.00%",(T9-P9)/P9)</f>
        <v>0.00%</v>
      </c>
      <c r="T9" s="3">
        <f>+P9</f>
        <v>0</v>
      </c>
      <c r="U9" s="105" t="s">
        <v>174</v>
      </c>
      <c r="W9" s="83" t="str">
        <f>IF(T9=0,"0.00%",(X9-T9)/T9)</f>
        <v>0.00%</v>
      </c>
      <c r="X9" s="3">
        <f>X3</f>
        <v>0</v>
      </c>
      <c r="Y9" s="105"/>
      <c r="AA9" s="83" t="str">
        <f>IF(X9=0,"0.00%",(AB9-X9)/X9)</f>
        <v>0.00%</v>
      </c>
      <c r="AB9" s="3">
        <f>AB3</f>
        <v>0</v>
      </c>
      <c r="AC9" s="105"/>
    </row>
    <row r="10" spans="1:29" x14ac:dyDescent="0.25">
      <c r="D10" s="2">
        <v>0</v>
      </c>
      <c r="E10" s="928"/>
      <c r="G10" s="83" t="str">
        <f t="shared" ref="G10:G15" si="0">IF(D10=0,"0.00%",(H10-D10)/D10)</f>
        <v>0.00%</v>
      </c>
      <c r="H10" s="3">
        <v>0</v>
      </c>
      <c r="I10" s="928"/>
      <c r="J10" s="61"/>
      <c r="K10" s="83" t="str">
        <f>IF(H10=0,"0.00%",(L10-H10)/H10)</f>
        <v>0.00%</v>
      </c>
      <c r="L10" s="3">
        <f>-H2</f>
        <v>0</v>
      </c>
      <c r="M10" s="928"/>
      <c r="O10" s="83" t="str">
        <f>IF(L10=0,"0.00%",(P10-L10)/L10)</f>
        <v>0.00%</v>
      </c>
      <c r="P10" s="3">
        <f>-L2</f>
        <v>0</v>
      </c>
      <c r="Q10" s="928"/>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936" t="s">
        <v>137</v>
      </c>
      <c r="D11" s="8">
        <f>SUM(D9:D10)</f>
        <v>0</v>
      </c>
      <c r="E11" s="928"/>
      <c r="G11" s="83" t="str">
        <f t="shared" si="0"/>
        <v>0.00%</v>
      </c>
      <c r="H11" s="8">
        <f>SUM(H9:H10)</f>
        <v>7934</v>
      </c>
      <c r="I11" s="928"/>
      <c r="J11" s="62"/>
      <c r="K11" s="83">
        <f>IF(H11=0,"0.00%",(L11-H11)/H11)</f>
        <v>-1</v>
      </c>
      <c r="L11" s="8">
        <f>SUM(L9:L10)</f>
        <v>0</v>
      </c>
      <c r="M11" s="928"/>
      <c r="O11" s="83" t="str">
        <f>IF(L11=0,"0.00%",(P11-L11)/L11)</f>
        <v>0.00%</v>
      </c>
      <c r="P11" s="8">
        <f>SUM(P9:P10)</f>
        <v>0</v>
      </c>
      <c r="Q11" s="928"/>
      <c r="S11" s="83" t="str">
        <f>IF(P11=0,"0.00%",(T11-P11)/P11)</f>
        <v>0.00%</v>
      </c>
      <c r="T11" s="78">
        <f>SUM(T9:T10)</f>
        <v>0</v>
      </c>
      <c r="U11" s="105"/>
      <c r="W11" s="83" t="str">
        <f>IF(T11=0,"0.00%",(X11-T11)/T11)</f>
        <v>0.00%</v>
      </c>
      <c r="X11" s="78">
        <f>SUM(X9:X10)</f>
        <v>0</v>
      </c>
      <c r="Y11" s="105"/>
      <c r="AA11" s="83" t="str">
        <f>IF(X11=0,"0.00%",(AB11-X11)/X11)</f>
        <v>0.00%</v>
      </c>
      <c r="AB11" s="78">
        <f>SUM(AB9:AB10)</f>
        <v>0</v>
      </c>
      <c r="AC11" s="105"/>
    </row>
    <row r="12" spans="1:29" x14ac:dyDescent="0.25">
      <c r="E12" s="928"/>
      <c r="H12" s="3"/>
      <c r="I12" s="928"/>
      <c r="J12" s="63"/>
      <c r="K12" s="52"/>
      <c r="L12" s="3"/>
      <c r="M12" s="928"/>
      <c r="O12" s="52"/>
      <c r="P12" s="3"/>
      <c r="Q12" s="928"/>
      <c r="S12" s="46"/>
      <c r="T12" s="44"/>
      <c r="U12" s="105"/>
      <c r="W12" s="46"/>
      <c r="X12" s="44"/>
      <c r="Y12" s="105"/>
      <c r="AA12" s="46"/>
      <c r="AB12" s="44"/>
      <c r="AC12" s="105"/>
    </row>
    <row r="13" spans="1:29" x14ac:dyDescent="0.25">
      <c r="B13" s="937"/>
      <c r="C13" s="938" t="s">
        <v>64</v>
      </c>
      <c r="D13" s="9">
        <f>ROUND(D11-(D11/(1+B13)),0)</f>
        <v>0</v>
      </c>
      <c r="E13" s="928"/>
      <c r="G13" s="83" t="str">
        <f t="shared" si="0"/>
        <v>0.00%</v>
      </c>
      <c r="H13" s="9">
        <f>ROUND(H11-(H11/(1+B13)),0)</f>
        <v>0</v>
      </c>
      <c r="I13" s="928"/>
      <c r="J13" s="64"/>
      <c r="K13" s="83" t="str">
        <f>IF(H13=0,"0.00%",(L13-H13)/H13)</f>
        <v>0.00%</v>
      </c>
      <c r="L13" s="9">
        <f>ROUND(L11-(L11/(1+B13)),0)</f>
        <v>0</v>
      </c>
      <c r="M13" s="928"/>
      <c r="O13" s="83" t="str">
        <f>IF(L13=0,"0.00%",(P13-L13)/L13)</f>
        <v>0.00%</v>
      </c>
      <c r="P13" s="9">
        <f>ROUND(P11-(P11/(1+B13)),0)</f>
        <v>0</v>
      </c>
      <c r="Q13" s="928"/>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928"/>
      <c r="H14" s="3"/>
      <c r="I14" s="928"/>
      <c r="J14" s="63"/>
      <c r="K14" s="52"/>
      <c r="L14" s="3"/>
      <c r="M14" s="928"/>
      <c r="O14" s="52"/>
      <c r="P14" s="3"/>
      <c r="Q14" s="928"/>
      <c r="S14" s="46"/>
      <c r="T14" s="44"/>
      <c r="U14" s="105"/>
      <c r="W14" s="46"/>
      <c r="X14" s="44"/>
      <c r="Y14" s="105"/>
      <c r="AA14" s="46"/>
      <c r="AB14" s="44"/>
      <c r="AC14" s="105"/>
    </row>
    <row r="15" spans="1:29" x14ac:dyDescent="0.25">
      <c r="B15" s="936" t="s">
        <v>50</v>
      </c>
      <c r="D15" s="10">
        <f>D11-D13</f>
        <v>0</v>
      </c>
      <c r="E15" s="928"/>
      <c r="G15" s="83" t="str">
        <f t="shared" si="0"/>
        <v>0.00%</v>
      </c>
      <c r="H15" s="9">
        <f>H11-H13</f>
        <v>7934</v>
      </c>
      <c r="I15" s="928"/>
      <c r="J15" s="62"/>
      <c r="K15" s="83">
        <f>IF(H15=0,"0.00%",(L15-H15)/H15)</f>
        <v>-1</v>
      </c>
      <c r="L15" s="9">
        <f>L11-L13</f>
        <v>0</v>
      </c>
      <c r="M15" s="928"/>
      <c r="O15" s="83" t="str">
        <f>IF(L15=0,"0.00%",(P15-L15)/L15)</f>
        <v>0.00%</v>
      </c>
      <c r="P15" s="9">
        <f>P11-P13</f>
        <v>0</v>
      </c>
      <c r="Q15" s="928"/>
      <c r="S15" s="83" t="str">
        <f>IF(P15=0,"0.00%",(T15-P15)/P15)</f>
        <v>0.00%</v>
      </c>
      <c r="T15" s="19">
        <f>T11-T13</f>
        <v>0</v>
      </c>
      <c r="U15" s="105"/>
      <c r="W15" s="83" t="str">
        <f>IF(T15=0,"0.00%",(X15-T15)/T15)</f>
        <v>0.00%</v>
      </c>
      <c r="X15" s="19">
        <f>X11-X13</f>
        <v>0</v>
      </c>
      <c r="Y15" s="105"/>
      <c r="AA15" s="83" t="str">
        <f>IF(X15=0,"0.00%",(AB15-X15)/X15)</f>
        <v>0.00%</v>
      </c>
      <c r="AB15" s="19">
        <f>AB11-AB13</f>
        <v>0</v>
      </c>
      <c r="AC15" s="105"/>
    </row>
    <row r="16" spans="1:29" x14ac:dyDescent="0.25">
      <c r="E16" s="928"/>
      <c r="H16" s="3"/>
      <c r="I16" s="928"/>
      <c r="J16" s="62"/>
      <c r="L16" s="3"/>
      <c r="M16" s="928"/>
      <c r="P16" s="3"/>
      <c r="Q16" s="928"/>
      <c r="T16" s="49"/>
      <c r="U16" s="105"/>
      <c r="X16" s="49"/>
      <c r="Y16" s="105"/>
      <c r="AB16" s="49"/>
      <c r="AC16" s="105"/>
    </row>
    <row r="17" spans="1:29" x14ac:dyDescent="0.25">
      <c r="C17" s="930"/>
      <c r="E17" s="928"/>
      <c r="H17" s="3"/>
      <c r="I17" s="928"/>
      <c r="J17" s="63"/>
      <c r="L17" s="3"/>
      <c r="M17" s="928"/>
      <c r="P17" s="3"/>
      <c r="Q17" s="928"/>
      <c r="T17" s="44"/>
      <c r="U17" s="105"/>
      <c r="X17" s="44"/>
      <c r="Y17" s="105"/>
      <c r="AB17" s="44"/>
      <c r="AC17" s="105"/>
    </row>
    <row r="18" spans="1:29" x14ac:dyDescent="0.25">
      <c r="A18" s="148"/>
      <c r="D18" s="29" t="s">
        <v>826</v>
      </c>
      <c r="E18" s="929"/>
      <c r="F18" s="32"/>
      <c r="H18" s="29" t="s">
        <v>177</v>
      </c>
      <c r="I18" s="929"/>
      <c r="J18" s="65"/>
      <c r="M18" s="929"/>
      <c r="Q18" s="929"/>
      <c r="U18" s="106"/>
      <c r="Y18" s="106"/>
      <c r="AC18" s="106"/>
    </row>
    <row r="19" spans="1:29" ht="17.25" x14ac:dyDescent="0.4">
      <c r="A19" s="149"/>
      <c r="D19" s="35" t="s">
        <v>827</v>
      </c>
      <c r="E19" s="860"/>
      <c r="F19" s="34"/>
      <c r="H19" s="35" t="s">
        <v>48</v>
      </c>
      <c r="I19" s="870">
        <v>0.02</v>
      </c>
      <c r="J19" s="29"/>
      <c r="L19" s="14" t="s">
        <v>48</v>
      </c>
      <c r="M19" s="870">
        <v>0.02</v>
      </c>
      <c r="P19" s="14" t="s">
        <v>48</v>
      </c>
      <c r="Q19" s="870">
        <v>0.02</v>
      </c>
      <c r="T19" s="14" t="s">
        <v>48</v>
      </c>
      <c r="U19" s="104">
        <v>0.02</v>
      </c>
      <c r="X19" s="14" t="s">
        <v>48</v>
      </c>
      <c r="Y19" s="104">
        <v>0.02</v>
      </c>
      <c r="AB19" s="14" t="s">
        <v>48</v>
      </c>
      <c r="AC19" s="104">
        <v>0.02</v>
      </c>
    </row>
    <row r="20" spans="1:29" s="13" customFormat="1" hidden="1" x14ac:dyDescent="0.25">
      <c r="A20" s="150"/>
      <c r="B20" s="936" t="s">
        <v>46</v>
      </c>
      <c r="C20" s="938"/>
      <c r="D20" s="10"/>
      <c r="E20" s="861"/>
      <c r="F20" s="10"/>
      <c r="G20" s="372"/>
      <c r="H20" s="10"/>
      <c r="I20" s="864"/>
      <c r="J20" s="57"/>
      <c r="K20" s="379"/>
      <c r="L20" s="10"/>
      <c r="M20" s="947"/>
      <c r="O20" s="379"/>
      <c r="P20" s="10"/>
      <c r="Q20" s="947"/>
      <c r="R20" s="111"/>
      <c r="T20" s="10"/>
      <c r="U20" s="74"/>
      <c r="X20" s="10"/>
      <c r="Y20" s="74"/>
      <c r="AB20" s="10"/>
      <c r="AC20" s="74"/>
    </row>
    <row r="21" spans="1:29" hidden="1" x14ac:dyDescent="0.25">
      <c r="A21" s="151"/>
      <c r="B21" s="939"/>
      <c r="D21" s="2">
        <v>0</v>
      </c>
      <c r="E21" s="863"/>
      <c r="F21" s="2"/>
      <c r="G21" s="83" t="str">
        <f t="shared" ref="G21:G30" si="1">IF(D21=0,"0.00%",(H21-D21)/D21)</f>
        <v>0.00%</v>
      </c>
      <c r="H21" s="2">
        <f t="shared" ref="H21:H27" si="2">ROUND(D21*(1+$I$19),0)</f>
        <v>0</v>
      </c>
      <c r="I21" s="854" t="str">
        <f t="shared" ref="I21:I28" si="3">TEXT($I$19,"0.0%")&amp;" = Est. S &amp; C"</f>
        <v>2.0% = Est. S &amp; C</v>
      </c>
      <c r="J21" s="66"/>
      <c r="K21" s="83" t="str">
        <f t="shared" ref="K21:K27" si="4">IF(H21=0,"0.00%",(L21-H21)/H21)</f>
        <v>0.00%</v>
      </c>
      <c r="L21" s="2">
        <f>ROUND(H21*(1+M19),0)</f>
        <v>0</v>
      </c>
      <c r="M21" s="871" t="str">
        <f>TEXT(M19,"0.0%")&amp;" = Est. S &amp; C"</f>
        <v>2.0% = Est. S &amp; C</v>
      </c>
      <c r="O21" s="83" t="str">
        <f t="shared" ref="O21:O27" si="5">IF(L21=0,"0.00%",(P21-L21)/L21)</f>
        <v>0.00%</v>
      </c>
      <c r="P21" s="2">
        <f>ROUND(L21*(1+Q19),0)</f>
        <v>0</v>
      </c>
      <c r="Q21" s="871"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2"/>
      <c r="B22" s="939"/>
      <c r="D22" s="2">
        <v>0</v>
      </c>
      <c r="E22" s="863"/>
      <c r="F22" s="2"/>
      <c r="G22" s="83" t="str">
        <f t="shared" si="1"/>
        <v>0.00%</v>
      </c>
      <c r="H22" s="2">
        <f t="shared" si="2"/>
        <v>0</v>
      </c>
      <c r="I22" s="871" t="str">
        <f t="shared" si="3"/>
        <v>2.0% = Est. S &amp; C</v>
      </c>
      <c r="J22" s="66"/>
      <c r="K22" s="83" t="str">
        <f t="shared" si="4"/>
        <v>0.00%</v>
      </c>
      <c r="L22" s="2">
        <f>ROUND(H22*(1+M19),0)</f>
        <v>0</v>
      </c>
      <c r="M22" s="871" t="str">
        <f>TEXT(M19,"0.0%")&amp;" = Est. S &amp; C"</f>
        <v>2.0% = Est. S &amp; C</v>
      </c>
      <c r="O22" s="83" t="str">
        <f t="shared" si="5"/>
        <v>0.00%</v>
      </c>
      <c r="P22" s="2">
        <f>ROUND(L22*(1+Q19),0)</f>
        <v>0</v>
      </c>
      <c r="Q22" s="871"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2"/>
      <c r="B23" s="939"/>
      <c r="D23" s="2">
        <v>0</v>
      </c>
      <c r="E23" s="863"/>
      <c r="F23" s="2"/>
      <c r="G23" s="83" t="str">
        <f t="shared" si="1"/>
        <v>0.00%</v>
      </c>
      <c r="H23" s="2">
        <f t="shared" si="2"/>
        <v>0</v>
      </c>
      <c r="I23" s="871" t="str">
        <f t="shared" si="3"/>
        <v>2.0% = Est. S &amp; C</v>
      </c>
      <c r="J23" s="66"/>
      <c r="K23" s="83" t="str">
        <f t="shared" si="4"/>
        <v>0.00%</v>
      </c>
      <c r="L23" s="2">
        <f>ROUND(H23*(1+M19),0)</f>
        <v>0</v>
      </c>
      <c r="M23" s="871" t="str">
        <f>TEXT(M19,"0.0%")&amp;" = Est. S &amp; C"</f>
        <v>2.0% = Est. S &amp; C</v>
      </c>
      <c r="O23" s="83" t="str">
        <f t="shared" si="5"/>
        <v>0.00%</v>
      </c>
      <c r="P23" s="2">
        <f>ROUND(L23*(1+Q19),0)</f>
        <v>0</v>
      </c>
      <c r="Q23" s="871"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2"/>
      <c r="B24" s="939"/>
      <c r="D24" s="2">
        <v>0</v>
      </c>
      <c r="E24" s="863"/>
      <c r="F24" s="2"/>
      <c r="G24" s="83" t="str">
        <f t="shared" si="1"/>
        <v>0.00%</v>
      </c>
      <c r="H24" s="2">
        <f t="shared" si="2"/>
        <v>0</v>
      </c>
      <c r="I24" s="871" t="str">
        <f t="shared" si="3"/>
        <v>2.0% = Est. S &amp; C</v>
      </c>
      <c r="J24" s="66"/>
      <c r="K24" s="83" t="str">
        <f t="shared" si="4"/>
        <v>0.00%</v>
      </c>
      <c r="L24" s="2">
        <f>ROUND(H24*(1+M19),0)</f>
        <v>0</v>
      </c>
      <c r="M24" s="871" t="str">
        <f>TEXT(M19,"0.0%")&amp;" = Est. S &amp; C"</f>
        <v>2.0% = Est. S &amp; C</v>
      </c>
      <c r="O24" s="83" t="str">
        <f t="shared" si="5"/>
        <v>0.00%</v>
      </c>
      <c r="P24" s="2">
        <f>ROUND(L24*(1+Q19),0)</f>
        <v>0</v>
      </c>
      <c r="Q24" s="871"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2"/>
      <c r="B25" s="939"/>
      <c r="D25" s="2">
        <v>0</v>
      </c>
      <c r="E25" s="863"/>
      <c r="F25" s="2"/>
      <c r="G25" s="83" t="str">
        <f t="shared" si="1"/>
        <v>0.00%</v>
      </c>
      <c r="H25" s="2">
        <f t="shared" si="2"/>
        <v>0</v>
      </c>
      <c r="I25" s="871" t="str">
        <f t="shared" si="3"/>
        <v>2.0% = Est. S &amp; C</v>
      </c>
      <c r="J25" s="66"/>
      <c r="K25" s="83" t="str">
        <f t="shared" si="4"/>
        <v>0.00%</v>
      </c>
      <c r="L25" s="2">
        <f>ROUND(H25*(1+M19),0)</f>
        <v>0</v>
      </c>
      <c r="M25" s="871" t="str">
        <f>TEXT(M19,"0.0%")&amp;" = Est. S &amp; C"</f>
        <v>2.0% = Est. S &amp; C</v>
      </c>
      <c r="O25" s="83" t="str">
        <f t="shared" si="5"/>
        <v>0.00%</v>
      </c>
      <c r="P25" s="2">
        <f>ROUND(L25*(1+Q19),0)</f>
        <v>0</v>
      </c>
      <c r="Q25" s="871"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2"/>
      <c r="B26" s="939"/>
      <c r="D26" s="2">
        <v>0</v>
      </c>
      <c r="E26" s="863"/>
      <c r="F26" s="2"/>
      <c r="G26" s="83" t="str">
        <f t="shared" si="1"/>
        <v>0.00%</v>
      </c>
      <c r="H26" s="2">
        <f t="shared" si="2"/>
        <v>0</v>
      </c>
      <c r="I26" s="871" t="str">
        <f t="shared" si="3"/>
        <v>2.0% = Est. S &amp; C</v>
      </c>
      <c r="J26" s="66"/>
      <c r="K26" s="83" t="str">
        <f t="shared" si="4"/>
        <v>0.00%</v>
      </c>
      <c r="L26" s="2">
        <f>ROUND(H26*(1+M19),0)</f>
        <v>0</v>
      </c>
      <c r="M26" s="382" t="str">
        <f>TEXT(M19,"0.0%")&amp;" = Est. S &amp; C"</f>
        <v>2.0% = Est. S &amp; C</v>
      </c>
      <c r="O26" s="83" t="str">
        <f t="shared" si="5"/>
        <v>0.00%</v>
      </c>
      <c r="P26" s="2">
        <f>ROUND(L26*(1+Q19),0)</f>
        <v>0</v>
      </c>
      <c r="Q26" s="871"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2"/>
      <c r="B27" s="939"/>
      <c r="D27" s="2">
        <v>0</v>
      </c>
      <c r="E27" s="863"/>
      <c r="F27" s="2"/>
      <c r="G27" s="83" t="str">
        <f t="shared" si="1"/>
        <v>0.00%</v>
      </c>
      <c r="H27" s="2">
        <f t="shared" si="2"/>
        <v>0</v>
      </c>
      <c r="I27" s="871" t="str">
        <f t="shared" si="3"/>
        <v>2.0% = Est. S &amp; C</v>
      </c>
      <c r="J27" s="66"/>
      <c r="K27" s="83" t="str">
        <f t="shared" si="4"/>
        <v>0.00%</v>
      </c>
      <c r="L27" s="2">
        <f>ROUND(H27*(1+M19),0)</f>
        <v>0</v>
      </c>
      <c r="M27" s="871" t="str">
        <f>TEXT(M19,"0.0%")&amp;" = Est. S &amp; C"</f>
        <v>2.0% = Est. S &amp; C</v>
      </c>
      <c r="O27" s="83" t="str">
        <f t="shared" si="5"/>
        <v>0.00%</v>
      </c>
      <c r="P27" s="2">
        <f>ROUND(L27*(1+Q19),0)</f>
        <v>0</v>
      </c>
      <c r="Q27" s="871"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2"/>
      <c r="B28" s="939"/>
      <c r="D28" s="2">
        <v>0</v>
      </c>
      <c r="E28" s="863"/>
      <c r="F28" s="2"/>
      <c r="G28" s="83" t="str">
        <f>IF(D28=0,"0.00%",(H28-D28)/D28)</f>
        <v>0.00%</v>
      </c>
      <c r="H28" s="2">
        <f>ROUND(D28*(1+$I$19),0)</f>
        <v>0</v>
      </c>
      <c r="I28" s="871" t="str">
        <f t="shared" si="3"/>
        <v>2.0% = Est. S &amp; C</v>
      </c>
      <c r="J28" s="66"/>
      <c r="K28" s="83" t="str">
        <f>IF(H28=0,"0.00%",(L28-H28)/H28)</f>
        <v>0.00%</v>
      </c>
      <c r="L28" s="2">
        <f>ROUND(H28*(1+M20),0)</f>
        <v>0</v>
      </c>
      <c r="M28" s="871" t="str">
        <f>TEXT(M20,"0.0%")&amp;" = Est. S &amp; C"</f>
        <v>0.0% = Est. S &amp; C</v>
      </c>
      <c r="O28" s="83" t="str">
        <f>IF(L28=0,"0.00%",(P28-L28)/L28)</f>
        <v>0.00%</v>
      </c>
      <c r="P28" s="2">
        <f>ROUND(L28*(1+Q20),0)</f>
        <v>0</v>
      </c>
      <c r="Q28" s="871"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939"/>
      <c r="E29" s="863"/>
      <c r="F29" s="2"/>
      <c r="G29" s="83"/>
      <c r="H29" s="2"/>
      <c r="I29" s="871"/>
      <c r="J29" s="66"/>
      <c r="L29" s="2"/>
      <c r="M29" s="948"/>
      <c r="Q29" s="948"/>
      <c r="T29" s="2"/>
      <c r="U29" s="73"/>
      <c r="X29" s="2"/>
      <c r="Y29" s="73"/>
      <c r="AB29" s="2"/>
      <c r="AC29" s="73"/>
    </row>
    <row r="30" spans="1:29" hidden="1" x14ac:dyDescent="0.25">
      <c r="A30" s="153"/>
      <c r="B30" s="939"/>
      <c r="D30" s="8">
        <f>SUM(D21:D29)</f>
        <v>0</v>
      </c>
      <c r="E30" s="863"/>
      <c r="F30" s="2"/>
      <c r="G30" s="83" t="str">
        <f t="shared" si="1"/>
        <v>0.00%</v>
      </c>
      <c r="H30" s="8">
        <f>SUM(H21:H29)</f>
        <v>0</v>
      </c>
      <c r="I30" s="872"/>
      <c r="J30" s="29"/>
      <c r="K30" s="83" t="str">
        <f>IF(H30=0,"0.00%",(L30-H30)/H30)</f>
        <v>0.00%</v>
      </c>
      <c r="L30" s="8">
        <f>SUM(L21:L29)</f>
        <v>0</v>
      </c>
      <c r="M30" s="948"/>
      <c r="O30" s="83" t="str">
        <f>IF(L30=0,"0.00%",(P30-L30)/L30)</f>
        <v>0.00%</v>
      </c>
      <c r="P30" s="8">
        <f>SUM(P21:P29)</f>
        <v>0</v>
      </c>
      <c r="Q30" s="948"/>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2"/>
      <c r="E31" s="863"/>
      <c r="F31" s="2"/>
      <c r="H31" s="2"/>
      <c r="I31" s="854"/>
      <c r="J31" s="66"/>
      <c r="L31" s="2"/>
      <c r="M31" s="949"/>
      <c r="Q31" s="949"/>
      <c r="T31" s="2"/>
      <c r="U31" s="73"/>
      <c r="X31" s="2"/>
      <c r="Y31" s="73"/>
      <c r="AB31" s="2"/>
      <c r="AC31" s="73"/>
    </row>
    <row r="32" spans="1:29" s="4" customFormat="1" hidden="1" x14ac:dyDescent="0.25">
      <c r="A32" s="150"/>
      <c r="B32" s="940" t="s">
        <v>35</v>
      </c>
      <c r="C32" s="873"/>
      <c r="D32" s="6"/>
      <c r="E32" s="864"/>
      <c r="F32" s="6"/>
      <c r="G32" s="373"/>
      <c r="H32" s="6"/>
      <c r="I32" s="864"/>
      <c r="J32" s="57"/>
      <c r="K32" s="380"/>
      <c r="L32" s="6"/>
      <c r="M32" s="950"/>
      <c r="O32" s="380"/>
      <c r="P32" s="6"/>
      <c r="Q32" s="950"/>
      <c r="R32" s="111"/>
      <c r="T32" s="6"/>
      <c r="U32" s="71"/>
      <c r="X32" s="6"/>
      <c r="Y32" s="71"/>
      <c r="AB32" s="6"/>
      <c r="AC32" s="71"/>
    </row>
    <row r="33" spans="1:29" hidden="1" x14ac:dyDescent="0.25">
      <c r="A33" s="152"/>
      <c r="B33" s="939"/>
      <c r="D33" s="2">
        <v>0</v>
      </c>
      <c r="E33" s="863"/>
      <c r="F33" s="2"/>
      <c r="G33" s="83" t="str">
        <f t="shared" ref="G33:G39" si="9">IF(D33=0,"0.00%",(H33-D33)/D33)</f>
        <v>0.00%</v>
      </c>
      <c r="H33" s="2">
        <f t="shared" ref="H33:H39" si="10">ROUND(D33*(1+$I$19),0)</f>
        <v>0</v>
      </c>
      <c r="I33" s="871" t="str">
        <f t="shared" ref="I33:I39" si="11">TEXT($I$19,"0.0%")&amp;" = Est. S &amp; C"</f>
        <v>2.0% = Est. S &amp; C</v>
      </c>
      <c r="J33" s="66"/>
      <c r="K33" s="83" t="str">
        <f t="shared" ref="K33:K39" si="12">IF(H33=0,"0.00%",(L33-H33)/H33)</f>
        <v>0.00%</v>
      </c>
      <c r="L33" s="2">
        <f>ROUND(H33*(1+M19),0)</f>
        <v>0</v>
      </c>
      <c r="M33" s="871" t="str">
        <f>TEXT(M19,"0.0%")&amp;" = Est. S &amp; C"</f>
        <v>2.0% = Est. S &amp; C</v>
      </c>
      <c r="O33" s="83" t="str">
        <f t="shared" ref="O33:O39" si="13">IF(L33=0,"0.00%",(P33-L33)/L33)</f>
        <v>0.00%</v>
      </c>
      <c r="P33" s="2">
        <f>ROUND(L33*(1+Q19),0)</f>
        <v>0</v>
      </c>
      <c r="Q33" s="871"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2"/>
      <c r="B34" s="939"/>
      <c r="D34" s="2">
        <v>0</v>
      </c>
      <c r="E34" s="863"/>
      <c r="F34" s="2"/>
      <c r="G34" s="83" t="str">
        <f t="shared" si="9"/>
        <v>0.00%</v>
      </c>
      <c r="H34" s="2">
        <f t="shared" si="10"/>
        <v>0</v>
      </c>
      <c r="I34" s="871" t="str">
        <f t="shared" si="11"/>
        <v>2.0% = Est. S &amp; C</v>
      </c>
      <c r="J34" s="66"/>
      <c r="K34" s="83" t="str">
        <f t="shared" si="12"/>
        <v>0.00%</v>
      </c>
      <c r="L34" s="2">
        <f>ROUND(H34*(1+M19),0)</f>
        <v>0</v>
      </c>
      <c r="M34" s="871" t="str">
        <f>TEXT(M19,"0.0%")&amp;" = Est. S &amp; C"</f>
        <v>2.0% = Est. S &amp; C</v>
      </c>
      <c r="O34" s="83" t="str">
        <f t="shared" si="13"/>
        <v>0.00%</v>
      </c>
      <c r="P34" s="2">
        <f>ROUND(L34*(1+Q19),0)</f>
        <v>0</v>
      </c>
      <c r="Q34" s="871"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2"/>
      <c r="B35" s="939"/>
      <c r="D35" s="2">
        <v>0</v>
      </c>
      <c r="E35" s="863"/>
      <c r="F35" s="2"/>
      <c r="G35" s="83" t="str">
        <f t="shared" si="9"/>
        <v>0.00%</v>
      </c>
      <c r="H35" s="2">
        <f t="shared" si="10"/>
        <v>0</v>
      </c>
      <c r="I35" s="871" t="str">
        <f t="shared" si="11"/>
        <v>2.0% = Est. S &amp; C</v>
      </c>
      <c r="J35" s="66"/>
      <c r="K35" s="83" t="str">
        <f t="shared" si="12"/>
        <v>0.00%</v>
      </c>
      <c r="L35" s="2">
        <f>ROUND(H35*(1+M19),0)</f>
        <v>0</v>
      </c>
      <c r="M35" s="871" t="str">
        <f>TEXT(M19,"0.0%")&amp;" = Est. S &amp; C"</f>
        <v>2.0% = Est. S &amp; C</v>
      </c>
      <c r="O35" s="83" t="str">
        <f t="shared" si="13"/>
        <v>0.00%</v>
      </c>
      <c r="P35" s="2">
        <f>ROUND(L35*(1+Q19),0)</f>
        <v>0</v>
      </c>
      <c r="Q35" s="871"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2"/>
      <c r="B36" s="939"/>
      <c r="D36" s="2">
        <v>0</v>
      </c>
      <c r="E36" s="863"/>
      <c r="F36" s="2"/>
      <c r="G36" s="83" t="str">
        <f t="shared" si="9"/>
        <v>0.00%</v>
      </c>
      <c r="H36" s="2">
        <f t="shared" si="10"/>
        <v>0</v>
      </c>
      <c r="I36" s="871" t="str">
        <f t="shared" si="11"/>
        <v>2.0% = Est. S &amp; C</v>
      </c>
      <c r="J36" s="66"/>
      <c r="K36" s="83" t="str">
        <f t="shared" si="12"/>
        <v>0.00%</v>
      </c>
      <c r="L36" s="2">
        <f>ROUND(H36*(1+M19),0)</f>
        <v>0</v>
      </c>
      <c r="M36" s="871" t="str">
        <f>TEXT(M19,"0.0%")&amp;" = Est. S &amp; C"</f>
        <v>2.0% = Est. S &amp; C</v>
      </c>
      <c r="O36" s="83" t="str">
        <f t="shared" si="13"/>
        <v>0.00%</v>
      </c>
      <c r="P36" s="2">
        <f>ROUND(L36*(1+Q19),0)</f>
        <v>0</v>
      </c>
      <c r="Q36" s="871"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2"/>
      <c r="B37" s="939"/>
      <c r="D37" s="2">
        <v>0</v>
      </c>
      <c r="E37" s="863"/>
      <c r="F37" s="2"/>
      <c r="G37" s="83" t="str">
        <f t="shared" si="9"/>
        <v>0.00%</v>
      </c>
      <c r="H37" s="2">
        <f t="shared" si="10"/>
        <v>0</v>
      </c>
      <c r="I37" s="871" t="str">
        <f t="shared" si="11"/>
        <v>2.0% = Est. S &amp; C</v>
      </c>
      <c r="J37" s="66"/>
      <c r="K37" s="83" t="str">
        <f t="shared" si="12"/>
        <v>0.00%</v>
      </c>
      <c r="L37" s="2">
        <f>ROUND(H37*(1+M19),0)</f>
        <v>0</v>
      </c>
      <c r="M37" s="871" t="str">
        <f>TEXT(M19,"0.0%")&amp;" = Est. S &amp; C"</f>
        <v>2.0% = Est. S &amp; C</v>
      </c>
      <c r="O37" s="83" t="str">
        <f t="shared" si="13"/>
        <v>0.00%</v>
      </c>
      <c r="P37" s="2">
        <f>ROUND(L37*(1+Q19),0)</f>
        <v>0</v>
      </c>
      <c r="Q37" s="871"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2"/>
      <c r="B38" s="939"/>
      <c r="D38" s="2">
        <v>0</v>
      </c>
      <c r="E38" s="863"/>
      <c r="F38" s="2"/>
      <c r="G38" s="83" t="str">
        <f t="shared" si="9"/>
        <v>0.00%</v>
      </c>
      <c r="H38" s="2">
        <f t="shared" si="10"/>
        <v>0</v>
      </c>
      <c r="I38" s="871" t="str">
        <f t="shared" si="11"/>
        <v>2.0% = Est. S &amp; C</v>
      </c>
      <c r="J38" s="66"/>
      <c r="K38" s="83" t="str">
        <f t="shared" si="12"/>
        <v>0.00%</v>
      </c>
      <c r="L38" s="2">
        <f>ROUND(H38*(1+M19),0)</f>
        <v>0</v>
      </c>
      <c r="M38" s="871" t="str">
        <f>TEXT(M19,"0.0%")&amp;" = Est. S &amp; C"</f>
        <v>2.0% = Est. S &amp; C</v>
      </c>
      <c r="O38" s="83" t="str">
        <f t="shared" si="13"/>
        <v>0.00%</v>
      </c>
      <c r="P38" s="2">
        <f>ROUND(L38*(1+Q19),0)</f>
        <v>0</v>
      </c>
      <c r="Q38" s="871"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2"/>
      <c r="B39" s="939"/>
      <c r="D39" s="2">
        <v>0</v>
      </c>
      <c r="E39" s="863"/>
      <c r="F39" s="2"/>
      <c r="G39" s="83" t="str">
        <f t="shared" si="9"/>
        <v>0.00%</v>
      </c>
      <c r="H39" s="2">
        <f t="shared" si="10"/>
        <v>0</v>
      </c>
      <c r="I39" s="871" t="str">
        <f t="shared" si="11"/>
        <v>2.0% = Est. S &amp; C</v>
      </c>
      <c r="J39" s="66"/>
      <c r="K39" s="83" t="str">
        <f t="shared" si="12"/>
        <v>0.00%</v>
      </c>
      <c r="L39" s="2">
        <f>ROUND(H39*(1+M19),0)</f>
        <v>0</v>
      </c>
      <c r="M39" s="871" t="str">
        <f>TEXT(M19,"0.0%")&amp;" = Est. S &amp; C"</f>
        <v>2.0% = Est. S &amp; C</v>
      </c>
      <c r="O39" s="83" t="str">
        <f t="shared" si="13"/>
        <v>0.00%</v>
      </c>
      <c r="P39" s="2">
        <f>ROUND(L39*(1+Q19),0)</f>
        <v>0</v>
      </c>
      <c r="Q39" s="871"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2"/>
      <c r="B40" s="939"/>
      <c r="E40" s="863"/>
      <c r="F40" s="2"/>
      <c r="H40" s="2"/>
      <c r="I40" s="871"/>
      <c r="J40" s="66"/>
      <c r="L40" s="2"/>
      <c r="M40" s="948"/>
      <c r="Q40" s="948"/>
      <c r="T40" s="2"/>
      <c r="U40" s="73"/>
      <c r="X40" s="2"/>
      <c r="Y40" s="73"/>
      <c r="AB40" s="2"/>
      <c r="AC40" s="73"/>
    </row>
    <row r="41" spans="1:29" hidden="1" x14ac:dyDescent="0.25">
      <c r="A41" s="153"/>
      <c r="B41" s="939"/>
      <c r="D41" s="8">
        <f>SUM(D33:D40)</f>
        <v>0</v>
      </c>
      <c r="E41" s="863"/>
      <c r="F41" s="2"/>
      <c r="G41" s="83" t="str">
        <f>IF(D41=0,"0.00%",(H41-D41)/D41)</f>
        <v>0.00%</v>
      </c>
      <c r="H41" s="8">
        <f>SUM(H33:H40)</f>
        <v>0</v>
      </c>
      <c r="I41" s="872"/>
      <c r="J41" s="29"/>
      <c r="K41" s="83" t="str">
        <f>IF(H41=0,"0.00%",(L41-H41)/H41)</f>
        <v>0.00%</v>
      </c>
      <c r="L41" s="8">
        <f>SUM(L33:L40)</f>
        <v>0</v>
      </c>
      <c r="M41" s="948"/>
      <c r="O41" s="83" t="str">
        <f>IF(L41=0,"0.00%",(P41-L41)/L41)</f>
        <v>0.00%</v>
      </c>
      <c r="P41" s="8">
        <f>SUM(P33:P40)</f>
        <v>0</v>
      </c>
      <c r="Q41" s="948"/>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52"/>
      <c r="B42" s="930" t="s">
        <v>28</v>
      </c>
      <c r="E42" s="863"/>
      <c r="F42" s="2"/>
      <c r="H42" s="2"/>
      <c r="I42" s="871"/>
      <c r="J42" s="66"/>
      <c r="L42" s="2"/>
      <c r="M42" s="948"/>
      <c r="Q42" s="948"/>
      <c r="T42" s="2"/>
      <c r="U42" s="73"/>
      <c r="X42" s="2"/>
      <c r="Y42" s="73"/>
      <c r="AB42" s="2"/>
      <c r="AC42" s="73"/>
    </row>
    <row r="43" spans="1:29" hidden="1" x14ac:dyDescent="0.25">
      <c r="A43" s="154"/>
      <c r="B43" s="936" t="s">
        <v>27</v>
      </c>
      <c r="E43" s="863"/>
      <c r="F43" s="2"/>
      <c r="H43" s="2"/>
      <c r="I43" s="871"/>
      <c r="J43" s="66"/>
      <c r="L43" s="2"/>
      <c r="M43" s="948"/>
      <c r="Q43" s="948"/>
      <c r="T43" s="2"/>
      <c r="U43" s="73"/>
      <c r="X43" s="2"/>
      <c r="Y43" s="73"/>
      <c r="AB43" s="2"/>
      <c r="AC43" s="73"/>
    </row>
    <row r="44" spans="1:29" hidden="1" x14ac:dyDescent="0.25">
      <c r="A44" s="152"/>
      <c r="B44" s="939" t="s">
        <v>83</v>
      </c>
      <c r="C44" s="857" t="s">
        <v>76</v>
      </c>
      <c r="D44" s="2">
        <v>0</v>
      </c>
      <c r="E44" s="854" t="str">
        <f>TEXT('MYP Assumptions'!$D$55,"0.00%")&amp;", STRS rate"</f>
        <v>12.58%, STRS rate</v>
      </c>
      <c r="F44" s="2"/>
      <c r="G44" s="83" t="str">
        <f t="shared" ref="G44:G53" si="17">IF(D44=0,"0.00%",(H44-D44)/D44)</f>
        <v>0.00%</v>
      </c>
      <c r="H44" s="2">
        <f>ROUND(H30*LEFT(I44,6),0)</f>
        <v>0</v>
      </c>
      <c r="I44" s="854" t="str">
        <f>TEXT('MYP Assumptions'!E55,"0.00%")&amp;", projected STRS rate"</f>
        <v>14.43%, projected STRS rate</v>
      </c>
      <c r="J44" s="66"/>
      <c r="K44" s="83" t="str">
        <f t="shared" ref="K44:K53" si="18">IF(H44=0,"0.00%",(L44-H44)/H44)</f>
        <v>0.00%</v>
      </c>
      <c r="L44" s="2">
        <f>ROUND(L30*LEFT(M44,6),0)</f>
        <v>0</v>
      </c>
      <c r="M44" s="854" t="str">
        <f>TEXT('MYP Assumptions'!F55,"0.00%")&amp;", projected STRS rate"</f>
        <v>16.28%, projected STRS rate</v>
      </c>
      <c r="O44" s="83" t="str">
        <f t="shared" ref="O44:O53" si="19">IF(L44=0,"0.00%",(P44-L44)/L44)</f>
        <v>0.00%</v>
      </c>
      <c r="P44" s="2">
        <f>ROUND(P30*LEFT(Q44,6),0)</f>
        <v>0</v>
      </c>
      <c r="Q44" s="854" t="str">
        <f>TEXT('MYP Assumptions'!G55,"0.00%")&amp;", projected STRS rate"</f>
        <v>18.13%, projected STRS rate</v>
      </c>
      <c r="S44" s="83" t="str">
        <f t="shared" ref="S44:S53" si="20">IF(P44=0,"0.00%",(T44-P44)/P44)</f>
        <v>0.00%</v>
      </c>
      <c r="T44" s="2">
        <f>ROUND(T30*LEFT(U44,6),0)</f>
        <v>0</v>
      </c>
      <c r="U44" s="81" t="str">
        <f>TEXT('MYP Assumptions'!H55,"0.00%")&amp;", projected STRS rate"</f>
        <v>19.10%, projected STRS rate</v>
      </c>
      <c r="W44" s="83" t="str">
        <f t="shared" ref="W44:W53" si="21">IF(T44=0,"0.00%",(X44-T44)/T44)</f>
        <v>0.00%</v>
      </c>
      <c r="X44" s="2">
        <f>ROUND(X30*LEFT(Y44,6),0)</f>
        <v>0</v>
      </c>
      <c r="Y44" s="81" t="str">
        <f>TEXT('MYP Assumptions'!I55,"0.00%")&amp;", projected STRS rate"</f>
        <v>19.10%, projected STRS rate</v>
      </c>
      <c r="AA44" s="83" t="str">
        <f t="shared" ref="AA44:AA53" si="22">IF(X44=0,"0.00%",(AB44-X44)/X44)</f>
        <v>0.00%</v>
      </c>
      <c r="AB44" s="2">
        <f>ROUND(AB30*LEFT(AC44,6),0)</f>
        <v>0</v>
      </c>
      <c r="AC44" s="81" t="str">
        <f>TEXT('MYP Assumptions'!J55,"0.00%")&amp;", projected STRS rate"</f>
        <v>19.10%, projected STRS rate</v>
      </c>
    </row>
    <row r="45" spans="1:29" hidden="1" x14ac:dyDescent="0.25">
      <c r="A45" s="152"/>
      <c r="B45" s="939" t="s">
        <v>84</v>
      </c>
      <c r="C45" s="857" t="s">
        <v>77</v>
      </c>
      <c r="D45" s="2">
        <v>0</v>
      </c>
      <c r="E45" s="854" t="str">
        <f>TEXT('MYP Assumptions'!$D$56,"0.00%")&amp;", PERS rate"</f>
        <v>13.89%, PERS rate</v>
      </c>
      <c r="F45" s="2"/>
      <c r="G45" s="83" t="str">
        <f t="shared" si="17"/>
        <v>0.00%</v>
      </c>
      <c r="H45" s="2">
        <f>ROUND(H41*LEFT(I45,6),0)</f>
        <v>0</v>
      </c>
      <c r="I45" s="854" t="str">
        <f>TEXT('MYP Assumptions'!E56,"0.00%")&amp;", projected PERS rate"</f>
        <v>15.53%, projected PERS rate</v>
      </c>
      <c r="J45" s="66"/>
      <c r="K45" s="83" t="str">
        <f t="shared" si="18"/>
        <v>0.00%</v>
      </c>
      <c r="L45" s="2">
        <f>ROUND(L41*LEFT(M45,6),0)</f>
        <v>0</v>
      </c>
      <c r="M45" s="854" t="str">
        <f>TEXT('MYP Assumptions'!F56,"0.00%")&amp;", projected PERS rate"</f>
        <v>18.10%, projected PERS rate</v>
      </c>
      <c r="O45" s="83" t="str">
        <f t="shared" si="19"/>
        <v>0.00%</v>
      </c>
      <c r="P45" s="2">
        <f>ROUND(P41*LEFT(Q45,6),0)</f>
        <v>0</v>
      </c>
      <c r="Q45" s="854" t="str">
        <f>TEXT('MYP Assumptions'!G56,"0.00%")&amp;", projected PERS rate"</f>
        <v>20.80%, projected PERS rate</v>
      </c>
      <c r="S45" s="83" t="str">
        <f t="shared" si="20"/>
        <v>0.00%</v>
      </c>
      <c r="T45" s="2">
        <f>ROUND(T41*LEFT(U45,6),0)</f>
        <v>0</v>
      </c>
      <c r="U45" s="81" t="str">
        <f>TEXT('MYP Assumptions'!H56,"0.00%")&amp;", projected PERS rate"</f>
        <v>23.80%, projected PERS rate</v>
      </c>
      <c r="W45" s="83" t="str">
        <f t="shared" si="21"/>
        <v>0.00%</v>
      </c>
      <c r="X45" s="2">
        <f>ROUND(X41*LEFT(Y45,6),0)</f>
        <v>0</v>
      </c>
      <c r="Y45" s="81" t="str">
        <f>TEXT('MYP Assumptions'!I56,"0.00%")&amp;", projected PERS rate"</f>
        <v>25.20%, projected PERS rate</v>
      </c>
      <c r="AA45" s="83" t="str">
        <f t="shared" si="22"/>
        <v>0.00%</v>
      </c>
      <c r="AB45" s="2">
        <f>ROUND(AB41*LEFT(AC45,6),0)</f>
        <v>0</v>
      </c>
      <c r="AC45" s="81" t="str">
        <f>TEXT('MYP Assumptions'!J56,"0.00%")&amp;", projected PERS rate"</f>
        <v>26.10%, projected PERS rate</v>
      </c>
    </row>
    <row r="46" spans="1:29" hidden="1" x14ac:dyDescent="0.25">
      <c r="A46" s="152"/>
      <c r="B46" s="939" t="s">
        <v>85</v>
      </c>
      <c r="C46" s="857" t="s">
        <v>78</v>
      </c>
      <c r="D46" s="2">
        <v>0</v>
      </c>
      <c r="E46" s="854" t="str">
        <f>TEXT('MYP Assumptions'!$D$57,"0.00%")&amp;", SS rate"</f>
        <v>6.20%, SS rate</v>
      </c>
      <c r="F46" s="2"/>
      <c r="G46" s="83" t="str">
        <f t="shared" si="17"/>
        <v>0.00%</v>
      </c>
      <c r="H46" s="2">
        <f>ROUND(H41*LEFT(I46,5),0)</f>
        <v>0</v>
      </c>
      <c r="I46" s="854" t="str">
        <f>TEXT('MYP Assumptions'!E57,"0.00%")&amp;", no rate change"</f>
        <v>6.20%, no rate change</v>
      </c>
      <c r="J46" s="66"/>
      <c r="K46" s="83" t="str">
        <f t="shared" si="18"/>
        <v>0.00%</v>
      </c>
      <c r="L46" s="2">
        <f>ROUND(L41*LEFT(M46,5),0)</f>
        <v>0</v>
      </c>
      <c r="M46" s="854" t="str">
        <f>TEXT('MYP Assumptions'!F57,"0.00%")&amp;", no rate change"</f>
        <v>6.20%, no rate change</v>
      </c>
      <c r="O46" s="83" t="str">
        <f t="shared" si="19"/>
        <v>0.00%</v>
      </c>
      <c r="P46" s="2">
        <f>ROUND(P41*LEFT(Q46,5),0)</f>
        <v>0</v>
      </c>
      <c r="Q46" s="854" t="str">
        <f>TEXT('MYP Assumptions'!G57,"0.00%")&amp;", no rate change"</f>
        <v>6.20%, no rate change</v>
      </c>
      <c r="S46" s="83" t="str">
        <f t="shared" si="20"/>
        <v>0.00%</v>
      </c>
      <c r="T46" s="2">
        <f>ROUND(T41*LEFT(U46,5),0)</f>
        <v>0</v>
      </c>
      <c r="U46" s="81" t="str">
        <f>TEXT('MYP Assumptions'!H57,"0.00%")&amp;", no rate change"</f>
        <v>6.20%, no rate change</v>
      </c>
      <c r="W46" s="83" t="str">
        <f t="shared" si="21"/>
        <v>0.00%</v>
      </c>
      <c r="X46" s="2">
        <f>ROUND(X41*LEFT(Y46,5),0)</f>
        <v>0</v>
      </c>
      <c r="Y46" s="81" t="str">
        <f>TEXT('MYP Assumptions'!I57,"0.00%")&amp;", no rate change"</f>
        <v>6.20%, no rate change</v>
      </c>
      <c r="AA46" s="83" t="str">
        <f t="shared" si="22"/>
        <v>0.00%</v>
      </c>
      <c r="AB46" s="2">
        <f>ROUND(AB41*LEFT(AC46,5),0)</f>
        <v>0</v>
      </c>
      <c r="AC46" s="81" t="str">
        <f>TEXT('MYP Assumptions'!J57,"0.00%")&amp;", no rate change"</f>
        <v>6.20%, no rate change</v>
      </c>
    </row>
    <row r="47" spans="1:29" hidden="1" x14ac:dyDescent="0.25">
      <c r="A47" s="152"/>
      <c r="B47" s="939" t="s">
        <v>86</v>
      </c>
      <c r="C47" s="857" t="s">
        <v>79</v>
      </c>
      <c r="D47" s="2">
        <v>0</v>
      </c>
      <c r="E47" s="854" t="str">
        <f>TEXT('MYP Assumptions'!$D$58,"0.00%")&amp;", Medicare rate"</f>
        <v>1.45%, Medicare rate</v>
      </c>
      <c r="F47" s="2"/>
      <c r="G47" s="83" t="str">
        <f t="shared" si="17"/>
        <v>0.00%</v>
      </c>
      <c r="H47" s="2">
        <f>ROUND((H41+H30)*LEFT(I47,5),0)</f>
        <v>0</v>
      </c>
      <c r="I47" s="854" t="str">
        <f>TEXT('MYP Assumptions'!E58,"0.00%")&amp;", no rate change"</f>
        <v>1.45%, no rate change</v>
      </c>
      <c r="J47" s="66"/>
      <c r="K47" s="83" t="str">
        <f t="shared" si="18"/>
        <v>0.00%</v>
      </c>
      <c r="L47" s="2">
        <f>ROUND((L41+L30)*LEFT(M47,5),0)</f>
        <v>0</v>
      </c>
      <c r="M47" s="854" t="str">
        <f>TEXT('MYP Assumptions'!F58,"0.00%")&amp;", no rate change"</f>
        <v>1.45%, no rate change</v>
      </c>
      <c r="O47" s="83" t="str">
        <f t="shared" si="19"/>
        <v>0.00%</v>
      </c>
      <c r="P47" s="2">
        <f>ROUND((P41+P30)*LEFT(Q47,5),0)</f>
        <v>0</v>
      </c>
      <c r="Q47" s="854" t="str">
        <f>TEXT('MYP Assumptions'!G58,"0.00%")&amp;", no rate change"</f>
        <v>1.45%, no rate change</v>
      </c>
      <c r="S47" s="83" t="str">
        <f t="shared" si="20"/>
        <v>0.00%</v>
      </c>
      <c r="T47" s="2">
        <f>ROUND((T41+T30)*LEFT(U47,5),0)</f>
        <v>0</v>
      </c>
      <c r="U47" s="81" t="str">
        <f>TEXT('MYP Assumptions'!H58,"0.00%")&amp;", no rate change"</f>
        <v>1.45%, no rate change</v>
      </c>
      <c r="W47" s="83" t="str">
        <f t="shared" si="21"/>
        <v>0.00%</v>
      </c>
      <c r="X47" s="2">
        <f>ROUND((X41+X30)*LEFT(Y47,5),0)</f>
        <v>0</v>
      </c>
      <c r="Y47" s="81" t="str">
        <f>TEXT('MYP Assumptions'!I58,"0.00%")&amp;", no rate change"</f>
        <v>1.45%, no rate change</v>
      </c>
      <c r="AA47" s="83" t="str">
        <f t="shared" si="22"/>
        <v>0.00%</v>
      </c>
      <c r="AB47" s="2">
        <f>ROUND((AB41+AB30)*LEFT(AC47,5),0)</f>
        <v>0</v>
      </c>
      <c r="AC47" s="81" t="str">
        <f>TEXT('MYP Assumptions'!J58,"0.00%")&amp;", no rate change"</f>
        <v>1.45%, no rate change</v>
      </c>
    </row>
    <row r="48" spans="1:29" hidden="1" x14ac:dyDescent="0.25">
      <c r="A48" s="152"/>
      <c r="B48" s="939" t="s">
        <v>87</v>
      </c>
      <c r="C48" s="857" t="s">
        <v>80</v>
      </c>
      <c r="D48" s="2">
        <v>0</v>
      </c>
      <c r="E48" s="854"/>
      <c r="F48" s="2"/>
      <c r="G48" s="83" t="str">
        <f t="shared" si="17"/>
        <v>0.00%</v>
      </c>
      <c r="H48" s="2">
        <f>ROUND((D48)*(LEFT(I48,5)+1),0)</f>
        <v>0</v>
      </c>
      <c r="I48" s="854" t="str">
        <f>TEXT('MYP Assumptions'!$M$65,"0.00%")&amp;", projected increase"</f>
        <v>7.00%, projected increase</v>
      </c>
      <c r="J48" s="66"/>
      <c r="K48" s="83" t="str">
        <f t="shared" si="18"/>
        <v>0.00%</v>
      </c>
      <c r="L48" s="2">
        <f>ROUND((H48)*(LEFT(M48,5)+1),0)</f>
        <v>0</v>
      </c>
      <c r="M48" s="854" t="str">
        <f>TEXT('MYP Assumptions'!$M$65,"0.00%")&amp;", projected increase"</f>
        <v>7.00%, projected increase</v>
      </c>
      <c r="O48" s="83" t="str">
        <f t="shared" si="19"/>
        <v>0.00%</v>
      </c>
      <c r="P48" s="2">
        <f>ROUND((L48)*(LEFT(Q48,5)+1),0)</f>
        <v>0</v>
      </c>
      <c r="Q48" s="854" t="str">
        <f>TEXT('MYP Assumptions'!$M$65,"0.00%")&amp;", projected increase"</f>
        <v>7.00%, projected increase</v>
      </c>
      <c r="S48" s="83" t="str">
        <f t="shared" si="20"/>
        <v>0.00%</v>
      </c>
      <c r="T48" s="2">
        <f>ROUND((P48)*(LEFT(U48,5)+1),0)</f>
        <v>0</v>
      </c>
      <c r="U48" s="81" t="str">
        <f>TEXT('MYP Assumptions'!$M$65,"0.00%")&amp;", projected increase"</f>
        <v>7.00%, projected increase</v>
      </c>
      <c r="W48" s="83" t="str">
        <f t="shared" si="21"/>
        <v>0.00%</v>
      </c>
      <c r="X48" s="2">
        <f>ROUND((T48)*(LEFT(Y48,5)+1),0)</f>
        <v>0</v>
      </c>
      <c r="Y48" s="81" t="str">
        <f>TEXT('MYP Assumptions'!$M$65,"0.00%")&amp;", projected increase"</f>
        <v>7.00%, projected increase</v>
      </c>
      <c r="AA48" s="83" t="str">
        <f t="shared" si="22"/>
        <v>0.00%</v>
      </c>
      <c r="AB48" s="2">
        <f>ROUND((X48)*(LEFT(AC48,5)+1),0)</f>
        <v>0</v>
      </c>
      <c r="AC48" s="81" t="str">
        <f>TEXT('MYP Assumptions'!$M$65,"0.00%")&amp;", projected increase"</f>
        <v>7.00%, projected increase</v>
      </c>
    </row>
    <row r="49" spans="1:29" hidden="1" x14ac:dyDescent="0.25">
      <c r="A49" s="152"/>
      <c r="B49" s="939" t="s">
        <v>88</v>
      </c>
      <c r="C49" s="857" t="s">
        <v>81</v>
      </c>
      <c r="D49" s="2">
        <v>0</v>
      </c>
      <c r="E49" s="854" t="str">
        <f>TEXT('MYP Assumptions'!$D$59,"0.00%")&amp;", SUI rate"</f>
        <v>0.05%, SUI rate</v>
      </c>
      <c r="F49" s="2"/>
      <c r="G49" s="83" t="str">
        <f t="shared" si="17"/>
        <v>0.00%</v>
      </c>
      <c r="H49" s="2">
        <f>ROUND((H41+H30)*LEFT(I49,5),0)</f>
        <v>0</v>
      </c>
      <c r="I49" s="854" t="str">
        <f>TEXT('MYP Assumptions'!E59,"0.00%")&amp;", no rate change"</f>
        <v>0.05%, no rate change</v>
      </c>
      <c r="J49" s="66"/>
      <c r="K49" s="83" t="str">
        <f t="shared" si="18"/>
        <v>0.00%</v>
      </c>
      <c r="L49" s="2">
        <f>ROUND((L41+L30)*LEFT(M49,5),0)</f>
        <v>0</v>
      </c>
      <c r="M49" s="854" t="str">
        <f>TEXT('MYP Assumptions'!F59,"0.00%")&amp;", no rate change"</f>
        <v>0.05%, no rate change</v>
      </c>
      <c r="O49" s="83" t="str">
        <f t="shared" si="19"/>
        <v>0.00%</v>
      </c>
      <c r="P49" s="2">
        <f>ROUND((P41+P30)*LEFT(Q49,5),0)</f>
        <v>0</v>
      </c>
      <c r="Q49" s="854" t="str">
        <f>TEXT('MYP Assumptions'!G59,"0.00%")&amp;", no rate change"</f>
        <v>0.05%, no rate change</v>
      </c>
      <c r="S49" s="83" t="str">
        <f t="shared" si="20"/>
        <v>0.00%</v>
      </c>
      <c r="T49" s="2">
        <f>ROUND((T41+T30)*LEFT(U49,5),0)</f>
        <v>0</v>
      </c>
      <c r="U49" s="81" t="str">
        <f>TEXT('MYP Assumptions'!H59,"0.00%")&amp;", no rate change"</f>
        <v>0.05%, no rate change</v>
      </c>
      <c r="W49" s="83" t="str">
        <f t="shared" si="21"/>
        <v>0.00%</v>
      </c>
      <c r="X49" s="2">
        <f>ROUND((X41+X30)*LEFT(Y49,5),0)</f>
        <v>0</v>
      </c>
      <c r="Y49" s="81" t="str">
        <f>TEXT('MYP Assumptions'!I59,"0.00%")&amp;", no rate change"</f>
        <v>0.05%, no rate change</v>
      </c>
      <c r="AA49" s="83" t="str">
        <f t="shared" si="22"/>
        <v>0.00%</v>
      </c>
      <c r="AB49" s="2">
        <f>ROUND((AB41+AB30)*LEFT(AC49,5),0)</f>
        <v>0</v>
      </c>
      <c r="AC49" s="81" t="str">
        <f>TEXT('MYP Assumptions'!J59,"0.00%")&amp;", no rate change"</f>
        <v>0.05%, no rate change</v>
      </c>
    </row>
    <row r="50" spans="1:29" hidden="1" x14ac:dyDescent="0.25">
      <c r="A50" s="152"/>
      <c r="B50" s="939" t="s">
        <v>89</v>
      </c>
      <c r="C50" s="857" t="s">
        <v>82</v>
      </c>
      <c r="D50" s="2">
        <v>0</v>
      </c>
      <c r="E50" s="854" t="str">
        <f>TEXT('MYP Assumptions'!$D$60,"0.00%")&amp;", W/C rate"</f>
        <v>1.10%, W/C rate</v>
      </c>
      <c r="F50" s="2"/>
      <c r="G50" s="83" t="str">
        <f t="shared" si="17"/>
        <v>0.00%</v>
      </c>
      <c r="H50" s="2">
        <f>ROUND((H41+H30)*LEFT(I50,5),0)</f>
        <v>0</v>
      </c>
      <c r="I50" s="854" t="str">
        <f>TEXT('MYP Assumptions'!E60,"0.00%")&amp;", no rate change"</f>
        <v>0.80%, no rate change</v>
      </c>
      <c r="J50" s="66"/>
      <c r="K50" s="83" t="str">
        <f t="shared" si="18"/>
        <v>0.00%</v>
      </c>
      <c r="L50" s="2">
        <f>ROUND((L41+L30)*LEFT(M50,5),0)</f>
        <v>0</v>
      </c>
      <c r="M50" s="854" t="str">
        <f>TEXT('MYP Assumptions'!F60,"0.00%")&amp;", no rate change"</f>
        <v>0.80%, no rate change</v>
      </c>
      <c r="O50" s="83" t="str">
        <f t="shared" si="19"/>
        <v>0.00%</v>
      </c>
      <c r="P50" s="2">
        <f>ROUND((P41+P30)*LEFT(Q50,5),0)</f>
        <v>0</v>
      </c>
      <c r="Q50" s="854" t="str">
        <f>TEXT('MYP Assumptions'!G60,"0.00%")&amp;", no rate change"</f>
        <v>0.80%, no rate change</v>
      </c>
      <c r="S50" s="83" t="str">
        <f t="shared" si="20"/>
        <v>0.00%</v>
      </c>
      <c r="T50" s="2">
        <f>ROUND((T41+T30)*LEFT(U50,5),0)</f>
        <v>0</v>
      </c>
      <c r="U50" s="81" t="str">
        <f>TEXT('MYP Assumptions'!H60,"0.00%")&amp;", no rate change"</f>
        <v>0.80%, no rate change</v>
      </c>
      <c r="W50" s="83" t="str">
        <f t="shared" si="21"/>
        <v>0.00%</v>
      </c>
      <c r="X50" s="2">
        <f>ROUND((X41+X30)*LEFT(Y50,5),0)</f>
        <v>0</v>
      </c>
      <c r="Y50" s="81" t="str">
        <f>TEXT('MYP Assumptions'!I60,"0.00%")&amp;", no rate change"</f>
        <v>0.80%, no rate change</v>
      </c>
      <c r="AA50" s="83" t="str">
        <f t="shared" si="22"/>
        <v>0.00%</v>
      </c>
      <c r="AB50" s="2">
        <f>ROUND((AB41+AB30)*LEFT(AC50,5),0)</f>
        <v>0</v>
      </c>
      <c r="AC50" s="81" t="str">
        <f>TEXT('MYP Assumptions'!J60,"0.00%")&amp;", no rate change"</f>
        <v>0.80%, no rate change</v>
      </c>
    </row>
    <row r="51" spans="1:29" hidden="1" x14ac:dyDescent="0.25">
      <c r="A51" s="152"/>
      <c r="B51" s="939" t="s">
        <v>90</v>
      </c>
      <c r="C51" s="857" t="s">
        <v>92</v>
      </c>
      <c r="D51" s="2">
        <v>0</v>
      </c>
      <c r="E51" s="863"/>
      <c r="F51" s="2"/>
      <c r="G51" s="83" t="str">
        <f t="shared" si="17"/>
        <v>0.00%</v>
      </c>
      <c r="H51" s="2">
        <f>D51</f>
        <v>0</v>
      </c>
      <c r="I51" s="854" t="s">
        <v>166</v>
      </c>
      <c r="J51" s="66"/>
      <c r="K51" s="83" t="str">
        <f t="shared" si="18"/>
        <v>0.00%</v>
      </c>
      <c r="L51" s="2">
        <f>H51</f>
        <v>0</v>
      </c>
      <c r="M51" s="854" t="s">
        <v>166</v>
      </c>
      <c r="O51" s="83" t="str">
        <f t="shared" si="19"/>
        <v>0.00%</v>
      </c>
      <c r="P51" s="2">
        <f>L51</f>
        <v>0</v>
      </c>
      <c r="Q51" s="854" t="s">
        <v>166</v>
      </c>
      <c r="S51" s="83" t="str">
        <f t="shared" si="20"/>
        <v>0.00%</v>
      </c>
      <c r="T51" s="2">
        <f>P51</f>
        <v>0</v>
      </c>
      <c r="U51" s="81" t="s">
        <v>166</v>
      </c>
      <c r="W51" s="83" t="str">
        <f t="shared" si="21"/>
        <v>0.00%</v>
      </c>
      <c r="X51" s="2">
        <f>T51</f>
        <v>0</v>
      </c>
      <c r="Y51" s="81" t="s">
        <v>166</v>
      </c>
      <c r="AA51" s="83" t="str">
        <f t="shared" si="22"/>
        <v>0.00%</v>
      </c>
      <c r="AB51" s="2">
        <f>X51</f>
        <v>0</v>
      </c>
      <c r="AC51" s="81" t="s">
        <v>166</v>
      </c>
    </row>
    <row r="52" spans="1:29" hidden="1" x14ac:dyDescent="0.25">
      <c r="A52" s="152"/>
      <c r="B52" s="939" t="s">
        <v>91</v>
      </c>
      <c r="C52" s="857" t="s">
        <v>93</v>
      </c>
      <c r="D52" s="2">
        <v>0</v>
      </c>
      <c r="E52" s="863"/>
      <c r="F52" s="2"/>
      <c r="G52" s="83" t="str">
        <f t="shared" si="17"/>
        <v>0.00%</v>
      </c>
      <c r="H52" s="2">
        <f>D52</f>
        <v>0</v>
      </c>
      <c r="I52" s="854" t="s">
        <v>166</v>
      </c>
      <c r="J52" s="66"/>
      <c r="K52" s="83" t="str">
        <f t="shared" si="18"/>
        <v>0.00%</v>
      </c>
      <c r="L52" s="2">
        <f>H52</f>
        <v>0</v>
      </c>
      <c r="M52" s="854" t="s">
        <v>166</v>
      </c>
      <c r="O52" s="83" t="str">
        <f t="shared" si="19"/>
        <v>0.00%</v>
      </c>
      <c r="P52" s="2">
        <f>L52</f>
        <v>0</v>
      </c>
      <c r="Q52" s="854" t="s">
        <v>166</v>
      </c>
      <c r="S52" s="83" t="str">
        <f t="shared" si="20"/>
        <v>0.00%</v>
      </c>
      <c r="T52" s="2">
        <f>P52</f>
        <v>0</v>
      </c>
      <c r="U52" s="81" t="s">
        <v>166</v>
      </c>
      <c r="W52" s="83" t="str">
        <f t="shared" si="21"/>
        <v>0.00%</v>
      </c>
      <c r="X52" s="2">
        <f>T52</f>
        <v>0</v>
      </c>
      <c r="Y52" s="81" t="s">
        <v>166</v>
      </c>
      <c r="AA52" s="83" t="str">
        <f t="shared" si="22"/>
        <v>0.00%</v>
      </c>
      <c r="AB52" s="2">
        <f>X52</f>
        <v>0</v>
      </c>
      <c r="AC52" s="81" t="s">
        <v>166</v>
      </c>
    </row>
    <row r="53" spans="1:29" hidden="1" x14ac:dyDescent="0.25">
      <c r="A53" s="153"/>
      <c r="B53" s="939"/>
      <c r="D53" s="8">
        <f>SUM(D44:D52)</f>
        <v>0</v>
      </c>
      <c r="E53" s="863"/>
      <c r="F53" s="2"/>
      <c r="G53" s="83" t="str">
        <f t="shared" si="17"/>
        <v>0.00%</v>
      </c>
      <c r="H53" s="8">
        <f>SUM(H44:H52)</f>
        <v>0</v>
      </c>
      <c r="I53" s="872"/>
      <c r="J53" s="29"/>
      <c r="K53" s="83" t="str">
        <f t="shared" si="18"/>
        <v>0.00%</v>
      </c>
      <c r="L53" s="8">
        <f>SUM(L44:L52)</f>
        <v>0</v>
      </c>
      <c r="M53" s="948"/>
      <c r="O53" s="83" t="str">
        <f t="shared" si="19"/>
        <v>0.00%</v>
      </c>
      <c r="P53" s="8">
        <f>SUM(P44:P52)</f>
        <v>0</v>
      </c>
      <c r="Q53" s="948"/>
      <c r="S53" s="83" t="str">
        <f t="shared" si="20"/>
        <v>0.00%</v>
      </c>
      <c r="T53" s="8">
        <f>SUM(T44:T52)</f>
        <v>0</v>
      </c>
      <c r="U53" s="73"/>
      <c r="W53" s="83" t="str">
        <f t="shared" si="21"/>
        <v>0.00%</v>
      </c>
      <c r="X53" s="8">
        <f>SUM(X44:X52)</f>
        <v>0</v>
      </c>
      <c r="Y53" s="73"/>
      <c r="AA53" s="83" t="str">
        <f t="shared" si="22"/>
        <v>0.00%</v>
      </c>
      <c r="AB53" s="8">
        <f>SUM(AB44:AB52)</f>
        <v>0</v>
      </c>
      <c r="AC53" s="73"/>
    </row>
    <row r="54" spans="1:29" hidden="1" x14ac:dyDescent="0.25">
      <c r="A54" s="154"/>
      <c r="B54" s="939"/>
      <c r="E54" s="863"/>
      <c r="F54" s="2"/>
      <c r="H54" s="2"/>
      <c r="I54" s="871"/>
      <c r="J54" s="66"/>
      <c r="L54" s="2"/>
      <c r="M54" s="948"/>
      <c r="Q54" s="948"/>
      <c r="T54" s="2"/>
      <c r="U54" s="73"/>
      <c r="X54" s="2"/>
      <c r="Y54" s="73"/>
      <c r="AB54" s="2"/>
      <c r="AC54" s="73"/>
    </row>
    <row r="55" spans="1:29" hidden="1" x14ac:dyDescent="0.25">
      <c r="A55" s="153"/>
      <c r="B55" s="936" t="s">
        <v>26</v>
      </c>
      <c r="D55" s="8">
        <f>SUM(D53,D41,D30)</f>
        <v>0</v>
      </c>
      <c r="E55" s="863"/>
      <c r="F55" s="2"/>
      <c r="G55" s="83" t="str">
        <f>IF(D55=0,"0.00%",(H55-D55)/D55)</f>
        <v>0.00%</v>
      </c>
      <c r="H55" s="8">
        <f>SUM(H53,H41,H30)</f>
        <v>0</v>
      </c>
      <c r="I55" s="872"/>
      <c r="J55" s="29"/>
      <c r="K55" s="83" t="str">
        <f>IF(H55=0,"0.00%",(L55-H55)/H55)</f>
        <v>0.00%</v>
      </c>
      <c r="L55" s="8">
        <f>SUM(L53,L41,L30)</f>
        <v>0</v>
      </c>
      <c r="M55" s="948"/>
      <c r="O55" s="83" t="str">
        <f>IF(L55=0,"0.00%",(P55-L55)/L55)</f>
        <v>0.00%</v>
      </c>
      <c r="P55" s="8">
        <f>SUM(P53,P41,P30)</f>
        <v>0</v>
      </c>
      <c r="Q55" s="948"/>
      <c r="S55" s="83" t="str">
        <f>IF(P55=0,"0.00%",(T55-P55)/P55)</f>
        <v>0.00%</v>
      </c>
      <c r="T55" s="8">
        <f>SUM(T53,T41,T30)</f>
        <v>0</v>
      </c>
      <c r="U55" s="73"/>
      <c r="W55" s="83" t="str">
        <f>IF(T55=0,"0.00%",(X55-T55)/T55)</f>
        <v>0.00%</v>
      </c>
      <c r="X55" s="8">
        <f>SUM(X53,X41,X30)</f>
        <v>0</v>
      </c>
      <c r="Y55" s="73"/>
      <c r="AA55" s="83" t="str">
        <f>IF(X55=0,"0.00%",(AB55-X55)/X55)</f>
        <v>0.00%</v>
      </c>
      <c r="AB55" s="8">
        <f>SUM(AB53,AB41,AB30)</f>
        <v>0</v>
      </c>
      <c r="AC55" s="73"/>
    </row>
    <row r="56" spans="1:29" hidden="1" x14ac:dyDescent="0.25">
      <c r="A56" s="155"/>
      <c r="E56" s="863"/>
      <c r="F56" s="2"/>
      <c r="H56" s="2"/>
      <c r="I56" s="871"/>
      <c r="J56" s="66"/>
      <c r="L56" s="2"/>
      <c r="M56" s="948"/>
      <c r="Q56" s="948"/>
      <c r="T56" s="2"/>
      <c r="U56" s="73"/>
      <c r="X56" s="2"/>
      <c r="Y56" s="73"/>
      <c r="AB56" s="2"/>
      <c r="AC56" s="73"/>
    </row>
    <row r="57" spans="1:29" hidden="1" x14ac:dyDescent="0.25">
      <c r="A57" s="152"/>
      <c r="E57" s="863"/>
      <c r="F57" s="2"/>
      <c r="H57" s="2"/>
      <c r="I57" s="871"/>
      <c r="J57" s="66"/>
      <c r="L57" s="2"/>
      <c r="M57" s="948"/>
      <c r="Q57" s="948"/>
      <c r="T57" s="2"/>
      <c r="U57" s="73"/>
      <c r="X57" s="2"/>
      <c r="Y57" s="73"/>
      <c r="AB57" s="2"/>
      <c r="AC57" s="73"/>
    </row>
    <row r="58" spans="1:29" x14ac:dyDescent="0.25">
      <c r="A58" s="155"/>
      <c r="B58" s="940" t="s">
        <v>25</v>
      </c>
      <c r="C58" s="873"/>
      <c r="E58" s="863"/>
      <c r="F58" s="2"/>
      <c r="H58" s="2"/>
      <c r="I58" s="871"/>
      <c r="J58" s="66"/>
      <c r="L58" s="2"/>
      <c r="M58" s="948"/>
      <c r="Q58" s="948"/>
      <c r="T58" s="2"/>
      <c r="U58" s="73"/>
      <c r="X58" s="2"/>
      <c r="Y58" s="73"/>
      <c r="AB58" s="2"/>
      <c r="AC58" s="73"/>
    </row>
    <row r="59" spans="1:29" x14ac:dyDescent="0.25">
      <c r="A59" s="152"/>
      <c r="B59" s="939">
        <v>4310</v>
      </c>
      <c r="C59" s="857" t="s">
        <v>325</v>
      </c>
      <c r="D59" s="2">
        <v>0</v>
      </c>
      <c r="E59" s="863"/>
      <c r="F59" s="2"/>
      <c r="G59" s="83" t="str">
        <f t="shared" ref="G59:G66" si="23">IF(D59=0,"0.00%",(H59-D59)/D59)</f>
        <v>0.00%</v>
      </c>
      <c r="H59" s="3">
        <v>7934</v>
      </c>
      <c r="I59" s="928" t="s">
        <v>174</v>
      </c>
      <c r="J59" s="61"/>
      <c r="K59" s="83">
        <f>IF(H59=0,"0.00%",(L59-H59)/H59)</f>
        <v>-1</v>
      </c>
      <c r="L59" s="3">
        <v>0</v>
      </c>
      <c r="M59" s="928" t="s">
        <v>174</v>
      </c>
      <c r="O59" s="83" t="str">
        <f>IF(L59=0,"0.00%",(P59-L59)/L59)</f>
        <v>0.00%</v>
      </c>
      <c r="P59" s="3">
        <f>+L59</f>
        <v>0</v>
      </c>
      <c r="Q59" s="928" t="s">
        <v>174</v>
      </c>
      <c r="S59" s="83" t="str">
        <f>IF(P59=0,"0.00%",(T59-P59)/P59)</f>
        <v>0.00%</v>
      </c>
      <c r="T59" s="3">
        <f>+P59</f>
        <v>0</v>
      </c>
      <c r="U59" s="105" t="s">
        <v>174</v>
      </c>
      <c r="W59" s="83" t="str">
        <f t="shared" ref="W59:W66" si="24">IF(T59=0,"0.00%",(X59-T59)/T59)</f>
        <v>0.00%</v>
      </c>
      <c r="X59" s="2">
        <f>ROUND(T59*(LEFT(Y59,5)+1),0)</f>
        <v>0</v>
      </c>
      <c r="Y59" s="81" t="str">
        <f>TEXT('MYP Assumptions'!I75,"0.00%")&amp;", CPI"</f>
        <v>2.73%, CPI</v>
      </c>
      <c r="AA59" s="83" t="str">
        <f t="shared" ref="AA59:AA66" si="25">IF(X59=0,"0.00%",(AB59-X59)/X59)</f>
        <v>0.00%</v>
      </c>
      <c r="AB59" s="2">
        <f>ROUND(X59*(LEFT(AC59,5)+1),0)</f>
        <v>0</v>
      </c>
      <c r="AC59" s="81" t="str">
        <f>TEXT('MYP Assumptions'!J75,"0.00%")&amp;", CPI"</f>
        <v>2.73%, CPI</v>
      </c>
    </row>
    <row r="60" spans="1:29" hidden="1" x14ac:dyDescent="0.25">
      <c r="A60" s="152"/>
      <c r="B60" s="939"/>
      <c r="D60" s="2">
        <v>0</v>
      </c>
      <c r="E60" s="863"/>
      <c r="F60" s="2"/>
      <c r="G60" s="83" t="str">
        <f t="shared" si="23"/>
        <v>0.00%</v>
      </c>
      <c r="H60" s="2">
        <f t="shared" ref="H60:H65" si="26">ROUND(D60*(LEFT(I60,5)+1),0)</f>
        <v>0</v>
      </c>
      <c r="I60" s="854" t="str">
        <f>TEXT('MYP Assumptions'!E75,"0.00%")&amp;", CPI"</f>
        <v>3.42%, CPI</v>
      </c>
      <c r="J60" s="66"/>
      <c r="K60" s="83" t="str">
        <f t="shared" ref="K60:K66" si="27">IF(H60=0,"0.00%",(L60-H60)/H60)</f>
        <v>0.00%</v>
      </c>
      <c r="L60" s="2">
        <f t="shared" ref="L60:L65" si="28">ROUND(H60*(LEFT(M60,5)+1),0)</f>
        <v>0</v>
      </c>
      <c r="M60" s="854" t="str">
        <f>TEXT('MYP Assumptions'!F75,"0.00%")&amp;", CPI"</f>
        <v>3.35%, CPI</v>
      </c>
      <c r="O60" s="83" t="str">
        <f t="shared" ref="O60:O66" si="29">IF(L60=0,"0.00%",(P60-L60)/L60)</f>
        <v>0.00%</v>
      </c>
      <c r="P60" s="2">
        <f t="shared" ref="P60:P65" si="30">ROUND(L60*(LEFT(Q60,5)+1),0)</f>
        <v>0</v>
      </c>
      <c r="Q60" s="854" t="str">
        <f>TEXT('MYP Assumptions'!G75,"0.00%")&amp;", CPI"</f>
        <v>3.02%, CPI</v>
      </c>
      <c r="S60" s="83" t="str">
        <f t="shared" ref="S60:S66" si="31">IF(P60=0,"0.00%",(T60-P60)/P60)</f>
        <v>0.00%</v>
      </c>
      <c r="T60" s="2">
        <f t="shared" ref="T60:T65" si="32">ROUND(P60*(LEFT(U60,5)+1),0)</f>
        <v>0</v>
      </c>
      <c r="U60" s="81" t="str">
        <f>TEXT('MYP Assumptions'!H75,"0.00%")&amp;", CPI"</f>
        <v>2.73%, CPI</v>
      </c>
      <c r="W60" s="83" t="str">
        <f t="shared" si="24"/>
        <v>0.00%</v>
      </c>
      <c r="X60" s="2">
        <f t="shared" ref="X60:X65" si="33">ROUND(T60*(LEFT(Y60,5)+1),0)</f>
        <v>0</v>
      </c>
      <c r="Y60" s="81" t="str">
        <f>TEXT('MYP Assumptions'!I75,"0.00%")&amp;", CPI"</f>
        <v>2.73%, CPI</v>
      </c>
      <c r="AA60" s="83" t="str">
        <f t="shared" si="25"/>
        <v>0.00%</v>
      </c>
      <c r="AB60" s="2">
        <f t="shared" ref="AB60:AB65" si="34">ROUND(X60*(LEFT(AC60,5)+1),0)</f>
        <v>0</v>
      </c>
      <c r="AC60" s="81" t="str">
        <f>TEXT('MYP Assumptions'!J75,"0.00%")&amp;", CPI"</f>
        <v>2.73%, CPI</v>
      </c>
    </row>
    <row r="61" spans="1:29" hidden="1" x14ac:dyDescent="0.25">
      <c r="A61" s="152"/>
      <c r="B61" s="939"/>
      <c r="D61" s="2">
        <v>0</v>
      </c>
      <c r="E61" s="863"/>
      <c r="F61" s="2"/>
      <c r="G61" s="83" t="str">
        <f t="shared" si="23"/>
        <v>0.00%</v>
      </c>
      <c r="H61" s="2">
        <f t="shared" si="26"/>
        <v>0</v>
      </c>
      <c r="I61" s="854" t="str">
        <f>TEXT('MYP Assumptions'!E75,"0.00%")&amp;", CPI"</f>
        <v>3.42%, CPI</v>
      </c>
      <c r="J61" s="66"/>
      <c r="K61" s="83" t="str">
        <f t="shared" si="27"/>
        <v>0.00%</v>
      </c>
      <c r="L61" s="2">
        <f t="shared" si="28"/>
        <v>0</v>
      </c>
      <c r="M61" s="854" t="str">
        <f>TEXT('MYP Assumptions'!F75,"0.00%")&amp;", CPI"</f>
        <v>3.35%, CPI</v>
      </c>
      <c r="O61" s="83" t="str">
        <f t="shared" si="29"/>
        <v>0.00%</v>
      </c>
      <c r="P61" s="2">
        <f t="shared" si="30"/>
        <v>0</v>
      </c>
      <c r="Q61" s="854" t="str">
        <f>TEXT('MYP Assumptions'!G75,"0.00%")&amp;", CPI"</f>
        <v>3.02%, CPI</v>
      </c>
      <c r="S61" s="83" t="str">
        <f t="shared" si="31"/>
        <v>0.00%</v>
      </c>
      <c r="T61" s="2">
        <f t="shared" si="32"/>
        <v>0</v>
      </c>
      <c r="U61" s="81" t="str">
        <f>TEXT('MYP Assumptions'!H75,"0.00%")&amp;", CPI"</f>
        <v>2.73%, CPI</v>
      </c>
      <c r="W61" s="83" t="str">
        <f t="shared" si="24"/>
        <v>0.00%</v>
      </c>
      <c r="X61" s="2">
        <f t="shared" si="33"/>
        <v>0</v>
      </c>
      <c r="Y61" s="81" t="str">
        <f>TEXT('MYP Assumptions'!I75,"0.00%")&amp;", CPI"</f>
        <v>2.73%, CPI</v>
      </c>
      <c r="AA61" s="83" t="str">
        <f t="shared" si="25"/>
        <v>0.00%</v>
      </c>
      <c r="AB61" s="2">
        <f t="shared" si="34"/>
        <v>0</v>
      </c>
      <c r="AC61" s="81" t="str">
        <f>TEXT('MYP Assumptions'!J75,"0.00%")&amp;", CPI"</f>
        <v>2.73%, CPI</v>
      </c>
    </row>
    <row r="62" spans="1:29" hidden="1" x14ac:dyDescent="0.25">
      <c r="A62" s="152"/>
      <c r="B62" s="939"/>
      <c r="D62" s="2">
        <v>0</v>
      </c>
      <c r="E62" s="863"/>
      <c r="F62" s="2"/>
      <c r="G62" s="83" t="str">
        <f t="shared" si="23"/>
        <v>0.00%</v>
      </c>
      <c r="H62" s="2">
        <f t="shared" si="26"/>
        <v>0</v>
      </c>
      <c r="I62" s="854" t="str">
        <f>TEXT('MYP Assumptions'!E75,"0.00%")&amp;", CPI"</f>
        <v>3.42%, CPI</v>
      </c>
      <c r="J62" s="66"/>
      <c r="K62" s="83" t="str">
        <f t="shared" si="27"/>
        <v>0.00%</v>
      </c>
      <c r="L62" s="2">
        <f t="shared" si="28"/>
        <v>0</v>
      </c>
      <c r="M62" s="854" t="str">
        <f>TEXT('MYP Assumptions'!F75,"0.00%")&amp;", CPI"</f>
        <v>3.35%, CPI</v>
      </c>
      <c r="O62" s="83" t="str">
        <f t="shared" si="29"/>
        <v>0.00%</v>
      </c>
      <c r="P62" s="2">
        <f t="shared" si="30"/>
        <v>0</v>
      </c>
      <c r="Q62" s="854" t="str">
        <f>TEXT('MYP Assumptions'!G75,"0.00%")&amp;", CPI"</f>
        <v>3.02%, CPI</v>
      </c>
      <c r="S62" s="83" t="str">
        <f t="shared" si="31"/>
        <v>0.00%</v>
      </c>
      <c r="T62" s="2">
        <f t="shared" si="32"/>
        <v>0</v>
      </c>
      <c r="U62" s="81" t="str">
        <f>TEXT('MYP Assumptions'!H75,"0.00%")&amp;", CPI"</f>
        <v>2.73%, CPI</v>
      </c>
      <c r="W62" s="83" t="str">
        <f t="shared" si="24"/>
        <v>0.00%</v>
      </c>
      <c r="X62" s="2">
        <f t="shared" si="33"/>
        <v>0</v>
      </c>
      <c r="Y62" s="81" t="str">
        <f>TEXT('MYP Assumptions'!I75,"0.00%")&amp;", CPI"</f>
        <v>2.73%, CPI</v>
      </c>
      <c r="AA62" s="83" t="str">
        <f t="shared" si="25"/>
        <v>0.00%</v>
      </c>
      <c r="AB62" s="2">
        <f t="shared" si="34"/>
        <v>0</v>
      </c>
      <c r="AC62" s="81" t="str">
        <f>TEXT('MYP Assumptions'!J75,"0.00%")&amp;", CPI"</f>
        <v>2.73%, CPI</v>
      </c>
    </row>
    <row r="63" spans="1:29" hidden="1" x14ac:dyDescent="0.25">
      <c r="A63" s="152"/>
      <c r="B63" s="939"/>
      <c r="D63" s="2">
        <v>0</v>
      </c>
      <c r="E63" s="863"/>
      <c r="F63" s="2"/>
      <c r="G63" s="83" t="str">
        <f t="shared" si="23"/>
        <v>0.00%</v>
      </c>
      <c r="H63" s="2">
        <f t="shared" si="26"/>
        <v>0</v>
      </c>
      <c r="I63" s="854" t="str">
        <f>TEXT('MYP Assumptions'!E75,"0.00%")&amp;", CPI"</f>
        <v>3.42%, CPI</v>
      </c>
      <c r="J63" s="66"/>
      <c r="K63" s="83" t="str">
        <f t="shared" si="27"/>
        <v>0.00%</v>
      </c>
      <c r="L63" s="2">
        <f t="shared" si="28"/>
        <v>0</v>
      </c>
      <c r="M63" s="854" t="str">
        <f>TEXT('MYP Assumptions'!F75,"0.00%")&amp;", CPI"</f>
        <v>3.35%, CPI</v>
      </c>
      <c r="O63" s="83" t="str">
        <f t="shared" si="29"/>
        <v>0.00%</v>
      </c>
      <c r="P63" s="2">
        <f t="shared" si="30"/>
        <v>0</v>
      </c>
      <c r="Q63" s="854" t="str">
        <f>TEXT('MYP Assumptions'!G75,"0.00%")&amp;", CPI"</f>
        <v>3.02%, CPI</v>
      </c>
      <c r="S63" s="83" t="str">
        <f t="shared" si="31"/>
        <v>0.00%</v>
      </c>
      <c r="T63" s="2">
        <f t="shared" si="32"/>
        <v>0</v>
      </c>
      <c r="U63" s="81" t="str">
        <f>TEXT('MYP Assumptions'!H75,"0.00%")&amp;", CPI"</f>
        <v>2.73%, CPI</v>
      </c>
      <c r="W63" s="83" t="str">
        <f t="shared" si="24"/>
        <v>0.00%</v>
      </c>
      <c r="X63" s="2">
        <f t="shared" si="33"/>
        <v>0</v>
      </c>
      <c r="Y63" s="81" t="str">
        <f>TEXT('MYP Assumptions'!I75,"0.00%")&amp;", CPI"</f>
        <v>2.73%, CPI</v>
      </c>
      <c r="AA63" s="83" t="str">
        <f t="shared" si="25"/>
        <v>0.00%</v>
      </c>
      <c r="AB63" s="2">
        <f t="shared" si="34"/>
        <v>0</v>
      </c>
      <c r="AC63" s="81" t="str">
        <f>TEXT('MYP Assumptions'!J75,"0.00%")&amp;", CPI"</f>
        <v>2.73%, CPI</v>
      </c>
    </row>
    <row r="64" spans="1:29" hidden="1" x14ac:dyDescent="0.25">
      <c r="A64" s="152"/>
      <c r="B64" s="939"/>
      <c r="D64" s="2">
        <v>0</v>
      </c>
      <c r="E64" s="863"/>
      <c r="F64" s="2"/>
      <c r="G64" s="83" t="str">
        <f t="shared" si="23"/>
        <v>0.00%</v>
      </c>
      <c r="H64" s="2">
        <f t="shared" si="26"/>
        <v>0</v>
      </c>
      <c r="I64" s="854" t="str">
        <f>TEXT('MYP Assumptions'!E75,"0.00%")&amp;", CPI"</f>
        <v>3.42%, CPI</v>
      </c>
      <c r="J64" s="66"/>
      <c r="K64" s="83" t="str">
        <f t="shared" si="27"/>
        <v>0.00%</v>
      </c>
      <c r="L64" s="2">
        <f t="shared" si="28"/>
        <v>0</v>
      </c>
      <c r="M64" s="854" t="str">
        <f>TEXT('MYP Assumptions'!F75,"0.00%")&amp;", CPI"</f>
        <v>3.35%, CPI</v>
      </c>
      <c r="O64" s="83" t="str">
        <f t="shared" si="29"/>
        <v>0.00%</v>
      </c>
      <c r="P64" s="2">
        <f t="shared" si="30"/>
        <v>0</v>
      </c>
      <c r="Q64" s="854" t="str">
        <f>TEXT('MYP Assumptions'!G75,"0.00%")&amp;", CPI"</f>
        <v>3.02%, CPI</v>
      </c>
      <c r="S64" s="83" t="str">
        <f t="shared" si="31"/>
        <v>0.00%</v>
      </c>
      <c r="T64" s="2">
        <f t="shared" si="32"/>
        <v>0</v>
      </c>
      <c r="U64" s="81" t="str">
        <f>TEXT('MYP Assumptions'!H75,"0.00%")&amp;", CPI"</f>
        <v>2.73%, CPI</v>
      </c>
      <c r="W64" s="83" t="str">
        <f t="shared" si="24"/>
        <v>0.00%</v>
      </c>
      <c r="X64" s="2">
        <f t="shared" si="33"/>
        <v>0</v>
      </c>
      <c r="Y64" s="81" t="str">
        <f>TEXT('MYP Assumptions'!I75,"0.00%")&amp;", CPI"</f>
        <v>2.73%, CPI</v>
      </c>
      <c r="AA64" s="83" t="str">
        <f t="shared" si="25"/>
        <v>0.00%</v>
      </c>
      <c r="AB64" s="2">
        <f t="shared" si="34"/>
        <v>0</v>
      </c>
      <c r="AC64" s="81" t="str">
        <f>TEXT('MYP Assumptions'!J75,"0.00%")&amp;", CPI"</f>
        <v>2.73%, CPI</v>
      </c>
    </row>
    <row r="65" spans="1:29" hidden="1" x14ac:dyDescent="0.25">
      <c r="A65" s="152"/>
      <c r="B65" s="939"/>
      <c r="C65" s="941"/>
      <c r="D65" s="2">
        <v>0</v>
      </c>
      <c r="E65" s="863"/>
      <c r="F65" s="2"/>
      <c r="G65" s="83" t="str">
        <f t="shared" si="23"/>
        <v>0.00%</v>
      </c>
      <c r="H65" s="2">
        <f t="shared" si="26"/>
        <v>0</v>
      </c>
      <c r="I65" s="854" t="str">
        <f>TEXT('MYP Assumptions'!E75,"0.00%")&amp;", CPI"</f>
        <v>3.42%, CPI</v>
      </c>
      <c r="J65" s="66"/>
      <c r="K65" s="83" t="str">
        <f t="shared" si="27"/>
        <v>0.00%</v>
      </c>
      <c r="L65" s="2">
        <f t="shared" si="28"/>
        <v>0</v>
      </c>
      <c r="M65" s="854" t="str">
        <f>TEXT('MYP Assumptions'!F75,"0.00%")&amp;", CPI"</f>
        <v>3.35%, CPI</v>
      </c>
      <c r="O65" s="83" t="str">
        <f t="shared" si="29"/>
        <v>0.00%</v>
      </c>
      <c r="P65" s="2">
        <f t="shared" si="30"/>
        <v>0</v>
      </c>
      <c r="Q65" s="854" t="str">
        <f>TEXT('MYP Assumptions'!G75,"0.00%")&amp;", CPI"</f>
        <v>3.02%, CPI</v>
      </c>
      <c r="S65" s="83" t="str">
        <f t="shared" si="31"/>
        <v>0.00%</v>
      </c>
      <c r="T65" s="2">
        <f t="shared" si="32"/>
        <v>0</v>
      </c>
      <c r="U65" s="81" t="str">
        <f>TEXT('MYP Assumptions'!H75,"0.00%")&amp;", CPI"</f>
        <v>2.73%, CPI</v>
      </c>
      <c r="W65" s="83" t="str">
        <f t="shared" si="24"/>
        <v>0.00%</v>
      </c>
      <c r="X65" s="2">
        <f t="shared" si="33"/>
        <v>0</v>
      </c>
      <c r="Y65" s="81" t="str">
        <f>TEXT('MYP Assumptions'!I75,"0.00%")&amp;", CPI"</f>
        <v>2.73%, CPI</v>
      </c>
      <c r="AA65" s="83" t="str">
        <f t="shared" si="25"/>
        <v>0.00%</v>
      </c>
      <c r="AB65" s="2">
        <f t="shared" si="34"/>
        <v>0</v>
      </c>
      <c r="AC65" s="81" t="str">
        <f>TEXT('MYP Assumptions'!J75,"0.00%")&amp;", CPI"</f>
        <v>2.73%, CPI</v>
      </c>
    </row>
    <row r="66" spans="1:29" x14ac:dyDescent="0.25">
      <c r="A66" s="153"/>
      <c r="B66" s="857"/>
      <c r="D66" s="8">
        <f>SUM(D59:D65)</f>
        <v>0</v>
      </c>
      <c r="E66" s="863"/>
      <c r="F66" s="2"/>
      <c r="G66" s="83" t="str">
        <f t="shared" si="23"/>
        <v>0.00%</v>
      </c>
      <c r="H66" s="8">
        <f>SUM(H59:H65)</f>
        <v>7934</v>
      </c>
      <c r="I66" s="872"/>
      <c r="J66" s="29"/>
      <c r="K66" s="83">
        <f t="shared" si="27"/>
        <v>-1</v>
      </c>
      <c r="L66" s="8">
        <f>SUM(L59:L65)</f>
        <v>0</v>
      </c>
      <c r="M66" s="948"/>
      <c r="O66" s="83" t="str">
        <f t="shared" si="29"/>
        <v>0.00%</v>
      </c>
      <c r="P66" s="8">
        <f>SUM(P59:P65)</f>
        <v>0</v>
      </c>
      <c r="Q66" s="948"/>
      <c r="S66" s="83" t="str">
        <f t="shared" si="31"/>
        <v>0.00%</v>
      </c>
      <c r="T66" s="8">
        <f>SUM(T59:T65)</f>
        <v>0</v>
      </c>
      <c r="U66" s="73"/>
      <c r="W66" s="83" t="str">
        <f t="shared" si="24"/>
        <v>0.00%</v>
      </c>
      <c r="X66" s="8">
        <f>SUM(X59:X65)</f>
        <v>0</v>
      </c>
      <c r="Y66" s="73"/>
      <c r="AA66" s="83" t="str">
        <f t="shared" si="25"/>
        <v>0.00%</v>
      </c>
      <c r="AB66" s="8">
        <f>SUM(AB59:AB65)</f>
        <v>0</v>
      </c>
      <c r="AC66" s="73"/>
    </row>
    <row r="67" spans="1:29" hidden="1" x14ac:dyDescent="0.25">
      <c r="A67" s="152"/>
      <c r="E67" s="863"/>
      <c r="F67" s="2"/>
      <c r="H67" s="2"/>
      <c r="I67" s="871"/>
      <c r="J67" s="66"/>
      <c r="L67" s="2"/>
      <c r="M67" s="948"/>
      <c r="Q67" s="948"/>
      <c r="T67" s="2"/>
      <c r="U67" s="73"/>
      <c r="X67" s="2"/>
      <c r="Y67" s="73"/>
      <c r="AB67" s="2"/>
      <c r="AC67" s="73"/>
    </row>
    <row r="68" spans="1:29" s="4" customFormat="1" hidden="1" x14ac:dyDescent="0.25">
      <c r="A68" s="150"/>
      <c r="B68" s="936" t="s">
        <v>16</v>
      </c>
      <c r="C68" s="873"/>
      <c r="D68" s="6"/>
      <c r="E68" s="864"/>
      <c r="F68" s="6"/>
      <c r="G68" s="373"/>
      <c r="H68" s="6"/>
      <c r="I68" s="873"/>
      <c r="J68" s="58"/>
      <c r="K68" s="380"/>
      <c r="L68" s="6"/>
      <c r="M68" s="950"/>
      <c r="O68" s="380"/>
      <c r="P68" s="6"/>
      <c r="Q68" s="950"/>
      <c r="R68" s="111"/>
      <c r="U68" s="71"/>
      <c r="Y68" s="71"/>
      <c r="AC68" s="71"/>
    </row>
    <row r="69" spans="1:29" hidden="1" x14ac:dyDescent="0.25">
      <c r="A69" s="152"/>
      <c r="B69" s="939">
        <v>5813</v>
      </c>
      <c r="C69" s="857" t="s">
        <v>6</v>
      </c>
      <c r="D69" s="2">
        <v>0</v>
      </c>
      <c r="E69" s="863"/>
      <c r="F69" s="2"/>
      <c r="G69" s="83" t="str">
        <f t="shared" ref="G69:G74" si="35">IF(D69=0,"0.00%",(H69-D69)/D69)</f>
        <v>0.00%</v>
      </c>
      <c r="H69" s="3">
        <f>+D69</f>
        <v>0</v>
      </c>
      <c r="I69" s="928" t="s">
        <v>174</v>
      </c>
      <c r="J69" s="61"/>
      <c r="K69" s="83" t="str">
        <f>IF(H69=0,"0.00%",(L69-H69)/H69)</f>
        <v>0.00%</v>
      </c>
      <c r="L69" s="3">
        <f>+H69</f>
        <v>0</v>
      </c>
      <c r="M69" s="928" t="s">
        <v>174</v>
      </c>
      <c r="O69" s="83" t="str">
        <f>IF(L69=0,"0.00%",(P69-L69)/L69)</f>
        <v>0.00%</v>
      </c>
      <c r="P69" s="3">
        <f>+L69</f>
        <v>0</v>
      </c>
      <c r="Q69" s="928" t="s">
        <v>174</v>
      </c>
      <c r="S69" s="83" t="str">
        <f>IF(P69=0,"0.00%",(T69-P69)/P69)</f>
        <v>0.00%</v>
      </c>
      <c r="T69" s="3">
        <f>+P69</f>
        <v>0</v>
      </c>
      <c r="U69" s="105" t="s">
        <v>174</v>
      </c>
      <c r="W69" s="83" t="str">
        <f t="shared" ref="W69:W82" si="36">IF(T69=0,"0.00%",(X69-T69)/T69)</f>
        <v>0.00%</v>
      </c>
      <c r="X69" s="2">
        <f>ROUND(T69*(LEFT(Y69,5)+1),0)</f>
        <v>0</v>
      </c>
      <c r="Y69" s="81" t="str">
        <f>TEXT('MYP Assumptions'!I75,"0.00%")&amp;", CPI"</f>
        <v>2.73%, CPI</v>
      </c>
      <c r="AA69" s="83" t="str">
        <f t="shared" ref="AA69:AA82" si="37">IF(X69=0,"0.00%",(AB69-X69)/X69)</f>
        <v>0.00%</v>
      </c>
      <c r="AB69" s="2">
        <f>ROUND(X69*(LEFT(AC69,5)+1),0)</f>
        <v>0</v>
      </c>
      <c r="AC69" s="81" t="str">
        <f>TEXT('MYP Assumptions'!J75,"0.00%")&amp;", CPI"</f>
        <v>2.73%, CPI</v>
      </c>
    </row>
    <row r="70" spans="1:29" hidden="1" x14ac:dyDescent="0.25">
      <c r="A70" s="152"/>
      <c r="B70" s="939"/>
      <c r="D70" s="2">
        <v>0</v>
      </c>
      <c r="E70" s="863"/>
      <c r="F70" s="2"/>
      <c r="G70" s="83" t="str">
        <f t="shared" si="35"/>
        <v>0.00%</v>
      </c>
      <c r="H70" s="2">
        <f>ROUND(D70*(LEFT(I70,5)+1),0)</f>
        <v>0</v>
      </c>
      <c r="I70" s="854" t="str">
        <f>TEXT('MYP Assumptions'!E75,"0.00%")&amp;", CPI"</f>
        <v>3.42%, CPI</v>
      </c>
      <c r="J70" s="66"/>
      <c r="K70" s="83" t="str">
        <f t="shared" ref="K70:K82" si="38">IF(H70=0,"0.00%",(L70-H70)/H70)</f>
        <v>0.00%</v>
      </c>
      <c r="L70" s="2">
        <f t="shared" ref="L70:L81" si="39">ROUND(H70*(LEFT(M70,5)+1),0)</f>
        <v>0</v>
      </c>
      <c r="M70" s="854" t="str">
        <f>TEXT('MYP Assumptions'!F75,"0.00%")&amp;", CPI"</f>
        <v>3.35%, CPI</v>
      </c>
      <c r="O70" s="83" t="str">
        <f t="shared" ref="O70:O82" si="40">IF(L70=0,"0.00%",(P70-L70)/L70)</f>
        <v>0.00%</v>
      </c>
      <c r="P70" s="2">
        <f t="shared" ref="P70:P81" si="41">ROUND(L70*(LEFT(Q70,5)+1),0)</f>
        <v>0</v>
      </c>
      <c r="Q70" s="854" t="str">
        <f>TEXT('MYP Assumptions'!G75,"0.00%")&amp;", CPI"</f>
        <v>3.02%, CPI</v>
      </c>
      <c r="S70" s="83" t="str">
        <f t="shared" ref="S70:S82" si="42">IF(P70=0,"0.00%",(T70-P70)/P70)</f>
        <v>0.00%</v>
      </c>
      <c r="T70" s="2">
        <f t="shared" ref="T70:T81" si="43">ROUND(P70*(LEFT(U70,5)+1),0)</f>
        <v>0</v>
      </c>
      <c r="U70" s="81" t="str">
        <f>TEXT('MYP Assumptions'!H75,"0.00%")&amp;", CPI"</f>
        <v>2.73%, CPI</v>
      </c>
      <c r="W70" s="83" t="str">
        <f t="shared" si="36"/>
        <v>0.00%</v>
      </c>
      <c r="X70" s="2">
        <f t="shared" ref="X70:X81" si="44">ROUND(T70*(LEFT(Y70,5)+1),0)</f>
        <v>0</v>
      </c>
      <c r="Y70" s="81" t="str">
        <f>TEXT('MYP Assumptions'!I75,"0.00%")&amp;", CPI"</f>
        <v>2.73%, CPI</v>
      </c>
      <c r="AA70" s="83" t="str">
        <f t="shared" si="37"/>
        <v>0.00%</v>
      </c>
      <c r="AB70" s="2">
        <f t="shared" ref="AB70:AB81" si="45">ROUND(X70*(LEFT(AC70,5)+1),0)</f>
        <v>0</v>
      </c>
      <c r="AC70" s="81" t="str">
        <f>TEXT('MYP Assumptions'!J75,"0.00%")&amp;", CPI"</f>
        <v>2.73%, CPI</v>
      </c>
    </row>
    <row r="71" spans="1:29" hidden="1" x14ac:dyDescent="0.25">
      <c r="A71" s="152"/>
      <c r="B71" s="939"/>
      <c r="D71" s="2">
        <v>0</v>
      </c>
      <c r="E71" s="863"/>
      <c r="F71" s="2"/>
      <c r="G71" s="83" t="str">
        <f t="shared" si="35"/>
        <v>0.00%</v>
      </c>
      <c r="H71" s="2">
        <f t="shared" ref="H71:H76" si="46">ROUND(D71*(LEFT(I71,5)+1),0)</f>
        <v>0</v>
      </c>
      <c r="I71" s="854" t="str">
        <f>TEXT('MYP Assumptions'!E75,"0.00%")&amp;", CPI"</f>
        <v>3.42%, CPI</v>
      </c>
      <c r="J71" s="66"/>
      <c r="K71" s="83" t="str">
        <f t="shared" si="38"/>
        <v>0.00%</v>
      </c>
      <c r="L71" s="2">
        <f t="shared" si="39"/>
        <v>0</v>
      </c>
      <c r="M71" s="854" t="str">
        <f>TEXT('MYP Assumptions'!F75,"0.00%")&amp;", CPI"</f>
        <v>3.35%, CPI</v>
      </c>
      <c r="O71" s="83" t="str">
        <f t="shared" si="40"/>
        <v>0.00%</v>
      </c>
      <c r="P71" s="2">
        <f t="shared" si="41"/>
        <v>0</v>
      </c>
      <c r="Q71" s="854" t="str">
        <f>TEXT('MYP Assumptions'!G75,"0.00%")&amp;", CPI"</f>
        <v>3.02%, CPI</v>
      </c>
      <c r="S71" s="83" t="str">
        <f t="shared" si="42"/>
        <v>0.00%</v>
      </c>
      <c r="T71" s="2">
        <f t="shared" si="43"/>
        <v>0</v>
      </c>
      <c r="U71" s="81" t="str">
        <f>TEXT('MYP Assumptions'!H75,"0.00%")&amp;", CPI"</f>
        <v>2.73%, CPI</v>
      </c>
      <c r="W71" s="83" t="str">
        <f t="shared" si="36"/>
        <v>0.00%</v>
      </c>
      <c r="X71" s="2">
        <f t="shared" si="44"/>
        <v>0</v>
      </c>
      <c r="Y71" s="81" t="str">
        <f>TEXT('MYP Assumptions'!I75,"0.00%")&amp;", CPI"</f>
        <v>2.73%, CPI</v>
      </c>
      <c r="AA71" s="83" t="str">
        <f t="shared" si="37"/>
        <v>0.00%</v>
      </c>
      <c r="AB71" s="2">
        <f t="shared" si="45"/>
        <v>0</v>
      </c>
      <c r="AC71" s="81" t="str">
        <f>TEXT('MYP Assumptions'!J75,"0.00%")&amp;", CPI"</f>
        <v>2.73%, CPI</v>
      </c>
    </row>
    <row r="72" spans="1:29" hidden="1" x14ac:dyDescent="0.25">
      <c r="A72" s="152"/>
      <c r="B72" s="939"/>
      <c r="D72" s="2">
        <v>0</v>
      </c>
      <c r="E72" s="863"/>
      <c r="F72" s="2"/>
      <c r="G72" s="83" t="str">
        <f t="shared" si="35"/>
        <v>0.00%</v>
      </c>
      <c r="H72" s="2">
        <f t="shared" si="46"/>
        <v>0</v>
      </c>
      <c r="I72" s="854" t="str">
        <f>TEXT('MYP Assumptions'!E75,"0.00%")&amp;", CPI"</f>
        <v>3.42%, CPI</v>
      </c>
      <c r="J72" s="66"/>
      <c r="K72" s="83" t="str">
        <f t="shared" si="38"/>
        <v>0.00%</v>
      </c>
      <c r="L72" s="2">
        <f t="shared" si="39"/>
        <v>0</v>
      </c>
      <c r="M72" s="854" t="str">
        <f>TEXT('MYP Assumptions'!F75,"0.00%")&amp;", CPI"</f>
        <v>3.35%, CPI</v>
      </c>
      <c r="O72" s="83" t="str">
        <f t="shared" si="40"/>
        <v>0.00%</v>
      </c>
      <c r="P72" s="2">
        <f t="shared" si="41"/>
        <v>0</v>
      </c>
      <c r="Q72" s="854" t="str">
        <f>TEXT('MYP Assumptions'!G75,"0.00%")&amp;", CPI"</f>
        <v>3.02%, CPI</v>
      </c>
      <c r="S72" s="83" t="str">
        <f t="shared" si="42"/>
        <v>0.00%</v>
      </c>
      <c r="T72" s="2">
        <f t="shared" si="43"/>
        <v>0</v>
      </c>
      <c r="U72" s="81" t="str">
        <f>TEXT('MYP Assumptions'!H75,"0.00%")&amp;", CPI"</f>
        <v>2.73%, CPI</v>
      </c>
      <c r="W72" s="83" t="str">
        <f t="shared" si="36"/>
        <v>0.00%</v>
      </c>
      <c r="X72" s="2">
        <f t="shared" si="44"/>
        <v>0</v>
      </c>
      <c r="Y72" s="81" t="str">
        <f>TEXT('MYP Assumptions'!I75,"0.00%")&amp;", CPI"</f>
        <v>2.73%, CPI</v>
      </c>
      <c r="AA72" s="83" t="str">
        <f t="shared" si="37"/>
        <v>0.00%</v>
      </c>
      <c r="AB72" s="2">
        <f t="shared" si="45"/>
        <v>0</v>
      </c>
      <c r="AC72" s="81" t="str">
        <f>TEXT('MYP Assumptions'!J75,"0.00%")&amp;", CPI"</f>
        <v>2.73%, CPI</v>
      </c>
    </row>
    <row r="73" spans="1:29" hidden="1" x14ac:dyDescent="0.25">
      <c r="A73" s="152"/>
      <c r="B73" s="939"/>
      <c r="D73" s="2">
        <v>0</v>
      </c>
      <c r="E73" s="863"/>
      <c r="F73" s="2"/>
      <c r="G73" s="83" t="str">
        <f t="shared" si="35"/>
        <v>0.00%</v>
      </c>
      <c r="H73" s="2">
        <f t="shared" si="46"/>
        <v>0</v>
      </c>
      <c r="I73" s="854" t="str">
        <f>TEXT('MYP Assumptions'!E75,"0.00%")&amp;", CPI"</f>
        <v>3.42%, CPI</v>
      </c>
      <c r="J73" s="66"/>
      <c r="K73" s="83" t="str">
        <f t="shared" si="38"/>
        <v>0.00%</v>
      </c>
      <c r="L73" s="2">
        <f t="shared" si="39"/>
        <v>0</v>
      </c>
      <c r="M73" s="854" t="str">
        <f>TEXT('MYP Assumptions'!F75,"0.00%")&amp;", CPI"</f>
        <v>3.35%, CPI</v>
      </c>
      <c r="O73" s="83" t="str">
        <f t="shared" si="40"/>
        <v>0.00%</v>
      </c>
      <c r="P73" s="2">
        <f t="shared" si="41"/>
        <v>0</v>
      </c>
      <c r="Q73" s="854" t="str">
        <f>TEXT('MYP Assumptions'!G75,"0.00%")&amp;", CPI"</f>
        <v>3.02%, CPI</v>
      </c>
      <c r="S73" s="83" t="str">
        <f t="shared" si="42"/>
        <v>0.00%</v>
      </c>
      <c r="T73" s="2">
        <f t="shared" si="43"/>
        <v>0</v>
      </c>
      <c r="U73" s="81" t="str">
        <f>TEXT('MYP Assumptions'!H75,"0.00%")&amp;", CPI"</f>
        <v>2.73%, CPI</v>
      </c>
      <c r="W73" s="83" t="str">
        <f t="shared" si="36"/>
        <v>0.00%</v>
      </c>
      <c r="X73" s="2">
        <f t="shared" si="44"/>
        <v>0</v>
      </c>
      <c r="Y73" s="81" t="str">
        <f>TEXT('MYP Assumptions'!I75,"0.00%")&amp;", CPI"</f>
        <v>2.73%, CPI</v>
      </c>
      <c r="AA73" s="83" t="str">
        <f t="shared" si="37"/>
        <v>0.00%</v>
      </c>
      <c r="AB73" s="2">
        <f t="shared" si="45"/>
        <v>0</v>
      </c>
      <c r="AC73" s="81" t="str">
        <f>TEXT('MYP Assumptions'!J75,"0.00%")&amp;", CPI"</f>
        <v>2.73%, CPI</v>
      </c>
    </row>
    <row r="74" spans="1:29" hidden="1" x14ac:dyDescent="0.25">
      <c r="A74" s="152"/>
      <c r="B74" s="939"/>
      <c r="D74" s="2">
        <v>0</v>
      </c>
      <c r="E74" s="863"/>
      <c r="F74" s="2"/>
      <c r="G74" s="83" t="str">
        <f t="shared" si="35"/>
        <v>0.00%</v>
      </c>
      <c r="H74" s="2">
        <f t="shared" si="46"/>
        <v>0</v>
      </c>
      <c r="I74" s="854" t="str">
        <f>TEXT('MYP Assumptions'!E75,"0.00%")&amp;", CPI"</f>
        <v>3.42%, CPI</v>
      </c>
      <c r="J74" s="66"/>
      <c r="K74" s="83" t="str">
        <f t="shared" si="38"/>
        <v>0.00%</v>
      </c>
      <c r="L74" s="2">
        <f t="shared" si="39"/>
        <v>0</v>
      </c>
      <c r="M74" s="854" t="str">
        <f>TEXT('MYP Assumptions'!F75,"0.00%")&amp;", CPI"</f>
        <v>3.35%, CPI</v>
      </c>
      <c r="O74" s="83" t="str">
        <f t="shared" si="40"/>
        <v>0.00%</v>
      </c>
      <c r="P74" s="2">
        <f t="shared" si="41"/>
        <v>0</v>
      </c>
      <c r="Q74" s="854" t="str">
        <f>TEXT('MYP Assumptions'!G75,"0.00%")&amp;", CPI"</f>
        <v>3.02%, CPI</v>
      </c>
      <c r="S74" s="83" t="str">
        <f t="shared" si="42"/>
        <v>0.00%</v>
      </c>
      <c r="T74" s="2">
        <f t="shared" si="43"/>
        <v>0</v>
      </c>
      <c r="U74" s="81" t="str">
        <f>TEXT('MYP Assumptions'!H75,"0.00%")&amp;", CPI"</f>
        <v>2.73%, CPI</v>
      </c>
      <c r="W74" s="83" t="str">
        <f t="shared" si="36"/>
        <v>0.00%</v>
      </c>
      <c r="X74" s="2">
        <f t="shared" si="44"/>
        <v>0</v>
      </c>
      <c r="Y74" s="81" t="str">
        <f>TEXT('MYP Assumptions'!I75,"0.00%")&amp;", CPI"</f>
        <v>2.73%, CPI</v>
      </c>
      <c r="AA74" s="83" t="str">
        <f t="shared" si="37"/>
        <v>0.00%</v>
      </c>
      <c r="AB74" s="2">
        <f t="shared" si="45"/>
        <v>0</v>
      </c>
      <c r="AC74" s="81" t="str">
        <f>TEXT('MYP Assumptions'!J75,"0.00%")&amp;", CPI"</f>
        <v>2.73%, CPI</v>
      </c>
    </row>
    <row r="75" spans="1:29" hidden="1" x14ac:dyDescent="0.25">
      <c r="A75" s="152"/>
      <c r="B75" s="939"/>
      <c r="D75" s="2">
        <v>0</v>
      </c>
      <c r="E75" s="863"/>
      <c r="F75" s="2"/>
      <c r="G75" s="83" t="str">
        <f>IF(D75=0,"0.00%",(H75-D75)/D75)</f>
        <v>0.00%</v>
      </c>
      <c r="H75" s="2">
        <f t="shared" si="46"/>
        <v>0</v>
      </c>
      <c r="I75" s="854" t="str">
        <f>TEXT('MYP Assumptions'!E75,"0.00%")&amp;", CPI"</f>
        <v>3.42%, CPI</v>
      </c>
      <c r="J75" s="66"/>
      <c r="K75" s="83" t="str">
        <f t="shared" si="38"/>
        <v>0.00%</v>
      </c>
      <c r="L75" s="2">
        <f t="shared" si="39"/>
        <v>0</v>
      </c>
      <c r="M75" s="854" t="str">
        <f>TEXT('MYP Assumptions'!F75,"0.00%")&amp;", CPI"</f>
        <v>3.35%, CPI</v>
      </c>
      <c r="O75" s="83" t="str">
        <f t="shared" si="40"/>
        <v>0.00%</v>
      </c>
      <c r="P75" s="2">
        <f t="shared" si="41"/>
        <v>0</v>
      </c>
      <c r="Q75" s="854" t="str">
        <f>TEXT('MYP Assumptions'!G75,"0.00%")&amp;", CPI"</f>
        <v>3.02%, CPI</v>
      </c>
      <c r="S75" s="83" t="str">
        <f t="shared" si="42"/>
        <v>0.00%</v>
      </c>
      <c r="T75" s="2">
        <f t="shared" si="43"/>
        <v>0</v>
      </c>
      <c r="U75" s="81" t="str">
        <f>TEXT('MYP Assumptions'!H75,"0.00%")&amp;", CPI"</f>
        <v>2.73%, CPI</v>
      </c>
      <c r="W75" s="83" t="str">
        <f t="shared" si="36"/>
        <v>0.00%</v>
      </c>
      <c r="X75" s="2">
        <f t="shared" si="44"/>
        <v>0</v>
      </c>
      <c r="Y75" s="81" t="str">
        <f>TEXT('MYP Assumptions'!I75,"0.00%")&amp;", CPI"</f>
        <v>2.73%, CPI</v>
      </c>
      <c r="AA75" s="83" t="str">
        <f t="shared" si="37"/>
        <v>0.00%</v>
      </c>
      <c r="AB75" s="2">
        <f t="shared" si="45"/>
        <v>0</v>
      </c>
      <c r="AC75" s="81" t="str">
        <f>TEXT('MYP Assumptions'!J75,"0.00%")&amp;", CPI"</f>
        <v>2.73%, CPI</v>
      </c>
    </row>
    <row r="76" spans="1:29" hidden="1" x14ac:dyDescent="0.25">
      <c r="A76" s="152"/>
      <c r="B76" s="939"/>
      <c r="D76" s="2">
        <v>0</v>
      </c>
      <c r="E76" s="863"/>
      <c r="F76" s="2"/>
      <c r="G76" s="83" t="str">
        <f t="shared" ref="G76:G82" si="47">IF(D76=0,"0.00%",(H76-D76)/D76)</f>
        <v>0.00%</v>
      </c>
      <c r="H76" s="2">
        <f t="shared" si="46"/>
        <v>0</v>
      </c>
      <c r="I76" s="854" t="str">
        <f>TEXT('MYP Assumptions'!E75,"0.00%")&amp;", CPI"</f>
        <v>3.42%, CPI</v>
      </c>
      <c r="J76" s="66"/>
      <c r="K76" s="83" t="str">
        <f t="shared" si="38"/>
        <v>0.00%</v>
      </c>
      <c r="L76" s="2">
        <f t="shared" si="39"/>
        <v>0</v>
      </c>
      <c r="M76" s="854" t="str">
        <f>TEXT('MYP Assumptions'!F75,"0.00%")&amp;", CPI"</f>
        <v>3.35%, CPI</v>
      </c>
      <c r="O76" s="83" t="str">
        <f t="shared" si="40"/>
        <v>0.00%</v>
      </c>
      <c r="P76" s="2">
        <f t="shared" si="41"/>
        <v>0</v>
      </c>
      <c r="Q76" s="854" t="str">
        <f>TEXT('MYP Assumptions'!G75,"0.00%")&amp;", CPI"</f>
        <v>3.02%, CPI</v>
      </c>
      <c r="S76" s="83" t="str">
        <f t="shared" si="42"/>
        <v>0.00%</v>
      </c>
      <c r="T76" s="2">
        <f t="shared" si="43"/>
        <v>0</v>
      </c>
      <c r="U76" s="81" t="str">
        <f>TEXT('MYP Assumptions'!H75,"0.00%")&amp;", CPI"</f>
        <v>2.73%, CPI</v>
      </c>
      <c r="W76" s="83" t="str">
        <f t="shared" si="36"/>
        <v>0.00%</v>
      </c>
      <c r="X76" s="2">
        <f t="shared" si="44"/>
        <v>0</v>
      </c>
      <c r="Y76" s="81" t="str">
        <f>TEXT('MYP Assumptions'!I75,"0.00%")&amp;", CPI"</f>
        <v>2.73%, CPI</v>
      </c>
      <c r="AA76" s="83" t="str">
        <f t="shared" si="37"/>
        <v>0.00%</v>
      </c>
      <c r="AB76" s="2">
        <f t="shared" si="45"/>
        <v>0</v>
      </c>
      <c r="AC76" s="81" t="str">
        <f>TEXT('MYP Assumptions'!J75,"0.00%")&amp;", CPI"</f>
        <v>2.73%, CPI</v>
      </c>
    </row>
    <row r="77" spans="1:29" hidden="1" x14ac:dyDescent="0.25">
      <c r="A77" s="152"/>
      <c r="B77" s="939"/>
      <c r="D77" s="2">
        <v>0</v>
      </c>
      <c r="E77" s="863"/>
      <c r="F77" s="2"/>
      <c r="G77" s="83" t="str">
        <f t="shared" si="47"/>
        <v>0.00%</v>
      </c>
      <c r="H77" s="2">
        <f>ROUND(D77*(LEFT(I77,5)+1),0)</f>
        <v>0</v>
      </c>
      <c r="I77" s="854" t="str">
        <f>TEXT('MYP Assumptions'!E75,"0.00%")&amp;", CPI"</f>
        <v>3.42%, CPI</v>
      </c>
      <c r="J77" s="66"/>
      <c r="K77" s="83" t="str">
        <f t="shared" si="38"/>
        <v>0.00%</v>
      </c>
      <c r="L77" s="2">
        <f t="shared" si="39"/>
        <v>0</v>
      </c>
      <c r="M77" s="854" t="str">
        <f>TEXT('MYP Assumptions'!F75,"0.00%")&amp;", CPI"</f>
        <v>3.35%, CPI</v>
      </c>
      <c r="O77" s="83" t="str">
        <f t="shared" si="40"/>
        <v>0.00%</v>
      </c>
      <c r="P77" s="2">
        <f t="shared" si="41"/>
        <v>0</v>
      </c>
      <c r="Q77" s="854" t="str">
        <f>TEXT('MYP Assumptions'!G75,"0.00%")&amp;", CPI"</f>
        <v>3.02%, CPI</v>
      </c>
      <c r="S77" s="83" t="str">
        <f t="shared" si="42"/>
        <v>0.00%</v>
      </c>
      <c r="T77" s="2">
        <f t="shared" si="43"/>
        <v>0</v>
      </c>
      <c r="U77" s="81" t="str">
        <f>TEXT('MYP Assumptions'!H75,"0.00%")&amp;", CPI"</f>
        <v>2.73%, CPI</v>
      </c>
      <c r="W77" s="83" t="str">
        <f t="shared" si="36"/>
        <v>0.00%</v>
      </c>
      <c r="X77" s="2">
        <f t="shared" si="44"/>
        <v>0</v>
      </c>
      <c r="Y77" s="81" t="str">
        <f>TEXT('MYP Assumptions'!I75,"0.00%")&amp;", CPI"</f>
        <v>2.73%, CPI</v>
      </c>
      <c r="AA77" s="83" t="str">
        <f t="shared" si="37"/>
        <v>0.00%</v>
      </c>
      <c r="AB77" s="2">
        <f t="shared" si="45"/>
        <v>0</v>
      </c>
      <c r="AC77" s="81" t="str">
        <f>TEXT('MYP Assumptions'!J75,"0.00%")&amp;", CPI"</f>
        <v>2.73%, CPI</v>
      </c>
    </row>
    <row r="78" spans="1:29" hidden="1" x14ac:dyDescent="0.25">
      <c r="A78" s="152"/>
      <c r="B78" s="939"/>
      <c r="D78" s="2">
        <v>0</v>
      </c>
      <c r="E78" s="863"/>
      <c r="F78" s="2"/>
      <c r="G78" s="83" t="str">
        <f t="shared" si="47"/>
        <v>0.00%</v>
      </c>
      <c r="H78" s="2">
        <f>ROUND(D78*(LEFT(I78,5)+1),0)</f>
        <v>0</v>
      </c>
      <c r="I78" s="854" t="str">
        <f>TEXT('MYP Assumptions'!E75,"0.00%")&amp;", CPI"</f>
        <v>3.42%, CPI</v>
      </c>
      <c r="J78" s="66"/>
      <c r="K78" s="83" t="str">
        <f t="shared" si="38"/>
        <v>0.00%</v>
      </c>
      <c r="L78" s="2">
        <f t="shared" si="39"/>
        <v>0</v>
      </c>
      <c r="M78" s="854" t="str">
        <f>TEXT('MYP Assumptions'!F75,"0.00%")&amp;", CPI"</f>
        <v>3.35%, CPI</v>
      </c>
      <c r="O78" s="83" t="str">
        <f t="shared" si="40"/>
        <v>0.00%</v>
      </c>
      <c r="P78" s="2">
        <f t="shared" si="41"/>
        <v>0</v>
      </c>
      <c r="Q78" s="854" t="str">
        <f>TEXT('MYP Assumptions'!G75,"0.00%")&amp;", CPI"</f>
        <v>3.02%, CPI</v>
      </c>
      <c r="S78" s="83" t="str">
        <f t="shared" si="42"/>
        <v>0.00%</v>
      </c>
      <c r="T78" s="2">
        <f t="shared" si="43"/>
        <v>0</v>
      </c>
      <c r="U78" s="81" t="str">
        <f>TEXT('MYP Assumptions'!H75,"0.00%")&amp;", CPI"</f>
        <v>2.73%, CPI</v>
      </c>
      <c r="W78" s="83" t="str">
        <f t="shared" si="36"/>
        <v>0.00%</v>
      </c>
      <c r="X78" s="2">
        <f t="shared" si="44"/>
        <v>0</v>
      </c>
      <c r="Y78" s="81" t="str">
        <f>TEXT('MYP Assumptions'!I75,"0.00%")&amp;", CPI"</f>
        <v>2.73%, CPI</v>
      </c>
      <c r="AA78" s="83" t="str">
        <f t="shared" si="37"/>
        <v>0.00%</v>
      </c>
      <c r="AB78" s="2">
        <f t="shared" si="45"/>
        <v>0</v>
      </c>
      <c r="AC78" s="81" t="str">
        <f>TEXT('MYP Assumptions'!J75,"0.00%")&amp;", CPI"</f>
        <v>2.73%, CPI</v>
      </c>
    </row>
    <row r="79" spans="1:29" hidden="1" x14ac:dyDescent="0.25">
      <c r="A79" s="152"/>
      <c r="B79" s="939"/>
      <c r="D79" s="2">
        <v>0</v>
      </c>
      <c r="E79" s="863"/>
      <c r="F79" s="2"/>
      <c r="G79" s="83" t="str">
        <f t="shared" si="47"/>
        <v>0.00%</v>
      </c>
      <c r="H79" s="2">
        <f>ROUND(D79*(LEFT(I79,5)+1),0)</f>
        <v>0</v>
      </c>
      <c r="I79" s="854" t="str">
        <f>TEXT('MYP Assumptions'!E75,"0.00%")&amp;", CPI"</f>
        <v>3.42%, CPI</v>
      </c>
      <c r="J79" s="66"/>
      <c r="K79" s="83" t="str">
        <f t="shared" si="38"/>
        <v>0.00%</v>
      </c>
      <c r="L79" s="2">
        <f t="shared" si="39"/>
        <v>0</v>
      </c>
      <c r="M79" s="854" t="str">
        <f>TEXT('MYP Assumptions'!F75,"0.00%")&amp;", CPI"</f>
        <v>3.35%, CPI</v>
      </c>
      <c r="O79" s="83" t="str">
        <f t="shared" si="40"/>
        <v>0.00%</v>
      </c>
      <c r="P79" s="2">
        <f t="shared" si="41"/>
        <v>0</v>
      </c>
      <c r="Q79" s="854" t="str">
        <f>TEXT('MYP Assumptions'!G75,"0.00%")&amp;", CPI"</f>
        <v>3.02%, CPI</v>
      </c>
      <c r="S79" s="83" t="str">
        <f t="shared" si="42"/>
        <v>0.00%</v>
      </c>
      <c r="T79" s="2">
        <f t="shared" si="43"/>
        <v>0</v>
      </c>
      <c r="U79" s="81" t="str">
        <f>TEXT('MYP Assumptions'!H75,"0.00%")&amp;", CPI"</f>
        <v>2.73%, CPI</v>
      </c>
      <c r="W79" s="83" t="str">
        <f t="shared" si="36"/>
        <v>0.00%</v>
      </c>
      <c r="X79" s="2">
        <f t="shared" si="44"/>
        <v>0</v>
      </c>
      <c r="Y79" s="81" t="str">
        <f>TEXT('MYP Assumptions'!I75,"0.00%")&amp;", CPI"</f>
        <v>2.73%, CPI</v>
      </c>
      <c r="AA79" s="83" t="str">
        <f t="shared" si="37"/>
        <v>0.00%</v>
      </c>
      <c r="AB79" s="2">
        <f t="shared" si="45"/>
        <v>0</v>
      </c>
      <c r="AC79" s="81" t="str">
        <f>TEXT('MYP Assumptions'!J75,"0.00%")&amp;", CPI"</f>
        <v>2.73%, CPI</v>
      </c>
    </row>
    <row r="80" spans="1:29" hidden="1" x14ac:dyDescent="0.25">
      <c r="A80" s="152"/>
      <c r="B80" s="939"/>
      <c r="D80" s="2">
        <v>0</v>
      </c>
      <c r="E80" s="863"/>
      <c r="F80" s="2"/>
      <c r="G80" s="83" t="str">
        <f t="shared" si="47"/>
        <v>0.00%</v>
      </c>
      <c r="H80" s="2">
        <f>ROUND(D80*(LEFT(I80,5)+1),0)</f>
        <v>0</v>
      </c>
      <c r="I80" s="854" t="str">
        <f>TEXT('MYP Assumptions'!E75,"0.00%")&amp;", CPI"</f>
        <v>3.42%, CPI</v>
      </c>
      <c r="J80" s="66"/>
      <c r="K80" s="83" t="str">
        <f t="shared" si="38"/>
        <v>0.00%</v>
      </c>
      <c r="L80" s="2">
        <f t="shared" si="39"/>
        <v>0</v>
      </c>
      <c r="M80" s="854" t="str">
        <f>TEXT('MYP Assumptions'!F75,"0.00%")&amp;", CPI"</f>
        <v>3.35%, CPI</v>
      </c>
      <c r="O80" s="83" t="str">
        <f t="shared" si="40"/>
        <v>0.00%</v>
      </c>
      <c r="P80" s="2">
        <f t="shared" si="41"/>
        <v>0</v>
      </c>
      <c r="Q80" s="854" t="str">
        <f>TEXT('MYP Assumptions'!G75,"0.00%")&amp;", CPI"</f>
        <v>3.02%, CPI</v>
      </c>
      <c r="S80" s="83" t="str">
        <f t="shared" si="42"/>
        <v>0.00%</v>
      </c>
      <c r="T80" s="2">
        <f t="shared" si="43"/>
        <v>0</v>
      </c>
      <c r="U80" s="81" t="str">
        <f>TEXT('MYP Assumptions'!H75,"0.00%")&amp;", CPI"</f>
        <v>2.73%, CPI</v>
      </c>
      <c r="W80" s="83" t="str">
        <f t="shared" si="36"/>
        <v>0.00%</v>
      </c>
      <c r="X80" s="2">
        <f t="shared" si="44"/>
        <v>0</v>
      </c>
      <c r="Y80" s="81" t="str">
        <f>TEXT('MYP Assumptions'!I75,"0.00%")&amp;", CPI"</f>
        <v>2.73%, CPI</v>
      </c>
      <c r="AA80" s="83" t="str">
        <f t="shared" si="37"/>
        <v>0.00%</v>
      </c>
      <c r="AB80" s="2">
        <f t="shared" si="45"/>
        <v>0</v>
      </c>
      <c r="AC80" s="81" t="str">
        <f>TEXT('MYP Assumptions'!J75,"0.00%")&amp;", CPI"</f>
        <v>2.73%, CPI</v>
      </c>
    </row>
    <row r="81" spans="1:29" hidden="1" x14ac:dyDescent="0.25">
      <c r="A81" s="152"/>
      <c r="B81" s="939"/>
      <c r="D81" s="2">
        <f>'RS 3010-ALL'!AF80</f>
        <v>0</v>
      </c>
      <c r="E81" s="863"/>
      <c r="F81" s="2"/>
      <c r="G81" s="83" t="str">
        <f t="shared" si="47"/>
        <v>0.00%</v>
      </c>
      <c r="H81" s="2">
        <f>ROUND(D81*(LEFT(I81,5)+1),0)</f>
        <v>0</v>
      </c>
      <c r="I81" s="854" t="str">
        <f>TEXT('MYP Assumptions'!E75,"0.00%")&amp;", CPI"</f>
        <v>3.42%, CPI</v>
      </c>
      <c r="J81" s="66"/>
      <c r="K81" s="83" t="str">
        <f t="shared" si="38"/>
        <v>0.00%</v>
      </c>
      <c r="L81" s="2">
        <f t="shared" si="39"/>
        <v>0</v>
      </c>
      <c r="M81" s="854" t="str">
        <f>TEXT('MYP Assumptions'!F75,"0.00%")&amp;", CPI"</f>
        <v>3.35%, CPI</v>
      </c>
      <c r="O81" s="83" t="str">
        <f t="shared" si="40"/>
        <v>0.00%</v>
      </c>
      <c r="P81" s="2">
        <f t="shared" si="41"/>
        <v>0</v>
      </c>
      <c r="Q81" s="854" t="str">
        <f>TEXT('MYP Assumptions'!G75,"0.00%")&amp;", CPI"</f>
        <v>3.02%, CPI</v>
      </c>
      <c r="S81" s="83" t="str">
        <f t="shared" si="42"/>
        <v>0.00%</v>
      </c>
      <c r="T81" s="2">
        <f t="shared" si="43"/>
        <v>0</v>
      </c>
      <c r="U81" s="81" t="str">
        <f>TEXT('MYP Assumptions'!H75,"0.00%")&amp;", CPI"</f>
        <v>2.73%, CPI</v>
      </c>
      <c r="W81" s="83" t="str">
        <f t="shared" si="36"/>
        <v>0.00%</v>
      </c>
      <c r="X81" s="2">
        <f t="shared" si="44"/>
        <v>0</v>
      </c>
      <c r="Y81" s="81" t="str">
        <f>TEXT('MYP Assumptions'!I75,"0.00%")&amp;", CPI"</f>
        <v>2.73%, CPI</v>
      </c>
      <c r="AA81" s="83" t="str">
        <f t="shared" si="37"/>
        <v>0.00%</v>
      </c>
      <c r="AB81" s="2">
        <f t="shared" si="45"/>
        <v>0</v>
      </c>
      <c r="AC81" s="81" t="str">
        <f>TEXT('MYP Assumptions'!J75,"0.00%")&amp;", CPI"</f>
        <v>2.73%, CPI</v>
      </c>
    </row>
    <row r="82" spans="1:29" hidden="1" x14ac:dyDescent="0.25">
      <c r="A82" s="153"/>
      <c r="D82" s="8">
        <f>SUM(D69:D81)</f>
        <v>0</v>
      </c>
      <c r="E82" s="863"/>
      <c r="F82" s="2"/>
      <c r="G82" s="83" t="str">
        <f t="shared" si="47"/>
        <v>0.00%</v>
      </c>
      <c r="H82" s="8">
        <f>SUM(H69:H81)</f>
        <v>0</v>
      </c>
      <c r="I82" s="872"/>
      <c r="J82" s="29"/>
      <c r="K82" s="83" t="str">
        <f t="shared" si="38"/>
        <v>0.00%</v>
      </c>
      <c r="L82" s="8">
        <f>SUM(L69:L81)</f>
        <v>0</v>
      </c>
      <c r="M82" s="948"/>
      <c r="O82" s="83" t="str">
        <f t="shared" si="40"/>
        <v>0.00%</v>
      </c>
      <c r="P82" s="8">
        <f>SUM(P69:P81)</f>
        <v>0</v>
      </c>
      <c r="Q82" s="948"/>
      <c r="S82" s="83" t="str">
        <f t="shared" si="42"/>
        <v>0.00%</v>
      </c>
      <c r="T82" s="8">
        <f>SUM(T69:T81)</f>
        <v>0</v>
      </c>
      <c r="U82" s="73"/>
      <c r="W82" s="83" t="str">
        <f t="shared" si="36"/>
        <v>0.00%</v>
      </c>
      <c r="X82" s="8">
        <f>SUM(X69:X81)</f>
        <v>0</v>
      </c>
      <c r="Y82" s="73"/>
      <c r="AA82" s="83" t="str">
        <f t="shared" si="37"/>
        <v>0.00%</v>
      </c>
      <c r="AB82" s="8">
        <f>SUM(AB69:AB81)</f>
        <v>0</v>
      </c>
      <c r="AC82" s="73"/>
    </row>
    <row r="83" spans="1:29" x14ac:dyDescent="0.25">
      <c r="A83" s="152"/>
      <c r="B83" s="936"/>
      <c r="E83" s="863"/>
      <c r="F83" s="2"/>
      <c r="G83" s="83"/>
      <c r="H83" s="2"/>
      <c r="I83" s="871"/>
      <c r="J83" s="66"/>
      <c r="L83" s="2"/>
      <c r="M83" s="948"/>
      <c r="Q83" s="948"/>
      <c r="T83" s="2"/>
      <c r="U83" s="73"/>
      <c r="X83" s="2"/>
      <c r="Y83" s="73"/>
      <c r="AB83" s="2"/>
      <c r="AC83" s="73"/>
    </row>
    <row r="84" spans="1:29" x14ac:dyDescent="0.25">
      <c r="A84" s="152"/>
      <c r="E84" s="863"/>
      <c r="F84" s="2"/>
      <c r="H84" s="2"/>
      <c r="I84" s="871"/>
      <c r="J84" s="66"/>
      <c r="L84" s="2"/>
      <c r="M84" s="948"/>
      <c r="Q84" s="948"/>
      <c r="T84" s="2"/>
      <c r="U84" s="73"/>
      <c r="X84" s="2"/>
      <c r="Y84" s="73"/>
      <c r="AB84" s="2"/>
      <c r="AC84" s="73"/>
    </row>
    <row r="85" spans="1:29" x14ac:dyDescent="0.25">
      <c r="A85" s="153"/>
      <c r="B85" s="936" t="s">
        <v>0</v>
      </c>
      <c r="D85" s="8">
        <f>SUM(D82,D66,D55,D13)</f>
        <v>0</v>
      </c>
      <c r="E85" s="863"/>
      <c r="F85" s="2"/>
      <c r="G85" s="83" t="str">
        <f>IF(D85=0,"0.00%",(H85-D85)/D85)</f>
        <v>0.00%</v>
      </c>
      <c r="H85" s="8">
        <f>SUM(H82,H66,H55,H13)</f>
        <v>7934</v>
      </c>
      <c r="I85" s="872"/>
      <c r="J85" s="29"/>
      <c r="K85" s="83">
        <f>IF(H85=0,"0.00%",(L85-H85)/H85)</f>
        <v>-1</v>
      </c>
      <c r="L85" s="8">
        <f>SUM(L82,L66,L55,L13)</f>
        <v>0</v>
      </c>
      <c r="M85" s="948"/>
      <c r="O85" s="83" t="str">
        <f>IF(L85=0,"0.00%",(P85-L85)/L85)</f>
        <v>0.00%</v>
      </c>
      <c r="P85" s="8">
        <f>SUM(P82,P66,P55,P13)</f>
        <v>0</v>
      </c>
      <c r="Q85" s="948"/>
      <c r="S85" s="83" t="str">
        <f>IF(P85=0,"0.00%",(T85-P85)/P85)</f>
        <v>0.00%</v>
      </c>
      <c r="T85" s="8">
        <f>SUM(T82,T66,T55,T13)</f>
        <v>0</v>
      </c>
      <c r="U85" s="73"/>
      <c r="W85" s="83" t="str">
        <f>IF(T85=0,"0.00%",(X85-T85)/T85)</f>
        <v>0.00%</v>
      </c>
      <c r="X85" s="8">
        <f>SUM(X82,X66,X55,X13)</f>
        <v>0</v>
      </c>
      <c r="Y85" s="73"/>
      <c r="AA85" s="83" t="str">
        <f>IF(X85=0,"0.00%",(AB85-X85)/X85)</f>
        <v>0.00%</v>
      </c>
      <c r="AB85" s="8">
        <f>SUM(AB82,AB66,AB55,AB13)</f>
        <v>0</v>
      </c>
      <c r="AC85" s="73"/>
    </row>
    <row r="86" spans="1:29" x14ac:dyDescent="0.25">
      <c r="A86" s="152"/>
      <c r="E86" s="863"/>
      <c r="F86" s="2"/>
      <c r="H86" s="2"/>
      <c r="I86" s="871"/>
      <c r="J86" s="66"/>
      <c r="L86" s="2"/>
      <c r="M86" s="948"/>
      <c r="Q86" s="948"/>
      <c r="T86" s="2"/>
      <c r="U86" s="73"/>
      <c r="X86" s="2"/>
      <c r="Y86" s="73"/>
      <c r="AB86" s="2"/>
      <c r="AC86" s="73"/>
    </row>
    <row r="87" spans="1:29" x14ac:dyDescent="0.25">
      <c r="A87" s="152"/>
      <c r="B87" s="936" t="s">
        <v>138</v>
      </c>
      <c r="D87" s="3">
        <f>D11-D85</f>
        <v>0</v>
      </c>
      <c r="G87" s="83" t="str">
        <f>IF(D87=0,"0.00%",(H87-D87)/D87)</f>
        <v>0.00%</v>
      </c>
      <c r="H87" s="3">
        <f>H11-H85</f>
        <v>0</v>
      </c>
      <c r="I87" s="871"/>
      <c r="J87" s="66"/>
      <c r="K87" s="83" t="str">
        <f>IF(H87=0,"0.00%",(L87-H87)/H87)</f>
        <v>0.00%</v>
      </c>
      <c r="L87" s="3">
        <f>L11-L85</f>
        <v>0</v>
      </c>
      <c r="M87" s="948"/>
      <c r="O87" s="83" t="str">
        <f>IF(L87=0,"0.00%",(P87-L87)/L87)</f>
        <v>0.00%</v>
      </c>
      <c r="P87" s="3">
        <f>P11-P85</f>
        <v>0</v>
      </c>
      <c r="Q87" s="948"/>
      <c r="S87" s="83" t="str">
        <f>IF(P87=0,"0.00%",(T87-P87)/P87)</f>
        <v>0.00%</v>
      </c>
      <c r="T87" s="3">
        <f>T11-T85</f>
        <v>0</v>
      </c>
      <c r="U87" s="73"/>
      <c r="W87" s="83" t="str">
        <f>IF(T87=0,"0.00%",(X87-T87)/T87)</f>
        <v>0.00%</v>
      </c>
      <c r="X87" s="3">
        <f>X11-X85</f>
        <v>0</v>
      </c>
      <c r="Y87" s="73"/>
      <c r="AA87" s="83" t="str">
        <f>IF(X87=0,"0.00%",(AB87-X87)/X87)</f>
        <v>0.00%</v>
      </c>
      <c r="AB87" s="3">
        <f>AB11-AB85</f>
        <v>0</v>
      </c>
      <c r="AC87" s="73"/>
    </row>
    <row r="88" spans="1:29" x14ac:dyDescent="0.25">
      <c r="B88" s="936"/>
      <c r="C88" s="930"/>
      <c r="D88" s="3"/>
      <c r="H88" s="3"/>
      <c r="I88" s="871"/>
      <c r="J88" s="66"/>
      <c r="L88" s="3"/>
      <c r="M88" s="948"/>
      <c r="P88" s="3"/>
      <c r="Q88" s="948"/>
      <c r="T88" s="44"/>
      <c r="U88" s="73"/>
      <c r="X88" s="44"/>
      <c r="Y88" s="73"/>
      <c r="AB88" s="44"/>
      <c r="AC88" s="73"/>
    </row>
    <row r="89" spans="1:29" x14ac:dyDescent="0.25">
      <c r="B89" s="936" t="s">
        <v>136</v>
      </c>
      <c r="C89" s="932"/>
      <c r="D89" s="3">
        <f>D7+D87</f>
        <v>0</v>
      </c>
      <c r="G89" s="83" t="str">
        <f>IF(D89=0,"0.00%",(H89-D89)/D89)</f>
        <v>0.00%</v>
      </c>
      <c r="H89" s="3">
        <f>H7+H87</f>
        <v>0</v>
      </c>
      <c r="I89" s="871"/>
      <c r="J89" s="66"/>
      <c r="K89" s="83" t="str">
        <f>IF(H89=0,"0.00%",(L89-H89)/H89)</f>
        <v>0.00%</v>
      </c>
      <c r="L89" s="3">
        <f>L7+L87</f>
        <v>0</v>
      </c>
      <c r="M89" s="948"/>
      <c r="O89" s="83" t="str">
        <f>IF(L89=0,"0.00%",(P89-L89)/L89)</f>
        <v>0.00%</v>
      </c>
      <c r="P89" s="3">
        <f>P7+P87</f>
        <v>0</v>
      </c>
      <c r="Q89" s="948"/>
      <c r="S89" s="83" t="str">
        <f>IF(P89=0,"0.00%",(T89-P89)/P89)</f>
        <v>0.00%</v>
      </c>
      <c r="T89" s="49">
        <f>T7+T87</f>
        <v>0</v>
      </c>
      <c r="U89" s="73"/>
      <c r="W89" s="83" t="str">
        <f>IF(T89=0,"0.00%",(X89-T89)/T89)</f>
        <v>0.00%</v>
      </c>
      <c r="X89" s="49">
        <f>X7+X87</f>
        <v>0</v>
      </c>
      <c r="Y89" s="73"/>
      <c r="AA89" s="83" t="str">
        <f>IF(X89=0,"0.00%",(AB89-X89)/X89)</f>
        <v>0.00%</v>
      </c>
      <c r="AB89" s="49">
        <f>AB7+AB87</f>
        <v>0</v>
      </c>
      <c r="AC89" s="73"/>
    </row>
    <row r="90" spans="1:29" x14ac:dyDescent="0.25">
      <c r="C90" s="873"/>
      <c r="G90" s="374"/>
      <c r="H90" s="5"/>
      <c r="I90" s="872"/>
      <c r="J90" s="29"/>
      <c r="L90" s="5"/>
      <c r="M90" s="948"/>
      <c r="P90" s="5"/>
      <c r="Q90" s="948"/>
      <c r="T90" s="5"/>
      <c r="U90" s="73"/>
      <c r="X90" s="5"/>
      <c r="Y90" s="73"/>
      <c r="AB90" s="5"/>
      <c r="AC90" s="73"/>
    </row>
    <row r="91" spans="1:29" x14ac:dyDescent="0.25">
      <c r="C91" s="868"/>
      <c r="G91" s="374"/>
      <c r="H91" s="36"/>
      <c r="I91" s="871"/>
      <c r="J91" s="66"/>
      <c r="L91" s="2"/>
      <c r="M91" s="948"/>
      <c r="Q91" s="948"/>
      <c r="T91" s="2"/>
      <c r="U91" s="73"/>
      <c r="X91" s="2"/>
      <c r="Y91" s="73"/>
      <c r="AB91" s="2"/>
      <c r="AC91" s="73"/>
    </row>
    <row r="92" spans="1:29" x14ac:dyDescent="0.25">
      <c r="C92" s="868"/>
      <c r="G92" s="374"/>
      <c r="H92" s="36"/>
      <c r="I92" s="871"/>
      <c r="J92" s="66"/>
      <c r="L92" s="2"/>
      <c r="M92" s="948"/>
      <c r="Q92" s="948"/>
      <c r="T92" s="2"/>
      <c r="U92" s="73"/>
      <c r="X92" s="2"/>
      <c r="Y92" s="73"/>
      <c r="AB92" s="2"/>
      <c r="AC92" s="73"/>
    </row>
    <row r="93" spans="1:29" x14ac:dyDescent="0.25">
      <c r="C93" s="868"/>
      <c r="G93" s="374"/>
      <c r="H93" s="36"/>
      <c r="I93" s="871"/>
      <c r="J93" s="66"/>
      <c r="L93" s="2"/>
      <c r="M93" s="948"/>
      <c r="Q93" s="948"/>
      <c r="T93" s="2"/>
      <c r="U93" s="73"/>
      <c r="X93" s="2"/>
      <c r="Y93" s="73"/>
      <c r="AB93" s="2"/>
      <c r="AC93" s="73"/>
    </row>
    <row r="94" spans="1:29" x14ac:dyDescent="0.25">
      <c r="C94" s="868"/>
      <c r="G94" s="374"/>
      <c r="H94" s="36"/>
      <c r="I94" s="871"/>
      <c r="J94" s="66"/>
      <c r="L94" s="2"/>
      <c r="M94" s="948"/>
      <c r="Q94" s="948"/>
      <c r="T94" s="2"/>
      <c r="U94" s="73"/>
      <c r="X94" s="2"/>
      <c r="Y94" s="73"/>
      <c r="AB94" s="2"/>
      <c r="AC94" s="73"/>
    </row>
    <row r="95" spans="1:29" s="137" customFormat="1" ht="11.25" x14ac:dyDescent="0.2">
      <c r="A95" s="156"/>
      <c r="B95" s="942"/>
      <c r="C95" s="943" t="s">
        <v>223</v>
      </c>
      <c r="D95" s="134">
        <f>+D82+D66+D53+D41+D30</f>
        <v>0</v>
      </c>
      <c r="E95" s="865"/>
      <c r="G95" s="133" t="s">
        <v>223</v>
      </c>
      <c r="H95" s="134">
        <f>+H82+H66+H53+H41+H30</f>
        <v>7934</v>
      </c>
      <c r="I95" s="874"/>
      <c r="J95" s="135"/>
      <c r="K95" s="133" t="s">
        <v>223</v>
      </c>
      <c r="L95" s="134">
        <f>+L82+L66+L53+L41+L30</f>
        <v>0</v>
      </c>
      <c r="M95" s="951"/>
      <c r="O95" s="133" t="s">
        <v>223</v>
      </c>
      <c r="P95" s="134">
        <f>+P82+P66+P53+P41+P30</f>
        <v>0</v>
      </c>
      <c r="Q95" s="951"/>
      <c r="R95" s="139"/>
      <c r="S95" s="133" t="s">
        <v>223</v>
      </c>
      <c r="T95" s="134">
        <f>+T82+T66+T53+T41+T30</f>
        <v>0</v>
      </c>
      <c r="U95" s="138"/>
      <c r="W95" s="133" t="s">
        <v>223</v>
      </c>
      <c r="X95" s="134">
        <f>+X82+X66+X53+X41+X30</f>
        <v>0</v>
      </c>
      <c r="Y95" s="138"/>
      <c r="AA95" s="133" t="s">
        <v>223</v>
      </c>
      <c r="AB95" s="134">
        <f>+AB82+AB66+AB53+AB41+AB30</f>
        <v>0</v>
      </c>
      <c r="AC95" s="138"/>
    </row>
    <row r="96" spans="1:29" s="137" customFormat="1" ht="11.25" x14ac:dyDescent="0.2">
      <c r="A96" s="158"/>
      <c r="B96" s="942"/>
      <c r="C96" s="944" t="s">
        <v>224</v>
      </c>
      <c r="D96" s="142">
        <f>+D13</f>
        <v>0</v>
      </c>
      <c r="E96" s="866"/>
      <c r="F96" s="144"/>
      <c r="G96" s="375" t="s">
        <v>224</v>
      </c>
      <c r="H96" s="142">
        <f>+H13</f>
        <v>0</v>
      </c>
      <c r="I96" s="875"/>
      <c r="J96" s="143"/>
      <c r="K96" s="375" t="s">
        <v>224</v>
      </c>
      <c r="L96" s="142">
        <f>+L13</f>
        <v>0</v>
      </c>
      <c r="M96" s="951"/>
      <c r="O96" s="375" t="s">
        <v>224</v>
      </c>
      <c r="P96" s="142">
        <f>+P13</f>
        <v>0</v>
      </c>
      <c r="Q96" s="865"/>
      <c r="R96" s="139"/>
      <c r="S96" s="141" t="s">
        <v>224</v>
      </c>
      <c r="T96" s="142">
        <f>+T13</f>
        <v>0</v>
      </c>
      <c r="W96" s="141" t="s">
        <v>224</v>
      </c>
      <c r="X96" s="142">
        <f>+X13</f>
        <v>0</v>
      </c>
      <c r="AA96" s="141" t="s">
        <v>224</v>
      </c>
      <c r="AB96" s="142">
        <f>+AB13</f>
        <v>0</v>
      </c>
    </row>
    <row r="97" spans="1:28" s="137" customFormat="1" ht="11.25" x14ac:dyDescent="0.2">
      <c r="A97" s="158"/>
      <c r="B97" s="942"/>
      <c r="C97" s="944"/>
      <c r="D97" s="145">
        <f>+D95+D96</f>
        <v>0</v>
      </c>
      <c r="E97" s="866"/>
      <c r="F97" s="144"/>
      <c r="G97" s="375"/>
      <c r="H97" s="145">
        <f>+H95+H96</f>
        <v>7934</v>
      </c>
      <c r="I97" s="875"/>
      <c r="J97" s="143"/>
      <c r="K97" s="375"/>
      <c r="L97" s="145">
        <f>+L95+L96</f>
        <v>0</v>
      </c>
      <c r="M97" s="865"/>
      <c r="O97" s="375"/>
      <c r="P97" s="145">
        <f>+P95+P96</f>
        <v>0</v>
      </c>
      <c r="Q97" s="865"/>
      <c r="R97" s="139"/>
      <c r="S97" s="141"/>
      <c r="T97" s="145">
        <f>+T95+T96</f>
        <v>0</v>
      </c>
      <c r="W97" s="141"/>
      <c r="X97" s="145">
        <f>+X95+X96</f>
        <v>0</v>
      </c>
      <c r="AA97" s="141"/>
      <c r="AB97" s="145">
        <f>+AB95+AB96</f>
        <v>0</v>
      </c>
    </row>
    <row r="98" spans="1:28" ht="15" customHeight="1" x14ac:dyDescent="0.25">
      <c r="A98" s="152"/>
      <c r="B98" s="945"/>
      <c r="C98" s="945"/>
      <c r="D98" s="5">
        <f>+D85-D97</f>
        <v>0</v>
      </c>
      <c r="E98" s="863"/>
      <c r="F98" s="2"/>
      <c r="G98" s="376"/>
      <c r="H98" s="5">
        <f>+H85-H97</f>
        <v>0</v>
      </c>
      <c r="K98" s="376"/>
      <c r="L98" s="5">
        <f>+L85-L97</f>
        <v>0</v>
      </c>
      <c r="O98" s="376"/>
      <c r="P98" s="5">
        <f>+P85-P97</f>
        <v>0</v>
      </c>
      <c r="S98" s="103"/>
      <c r="T98" s="5">
        <f>+T85-T97</f>
        <v>0</v>
      </c>
      <c r="W98" s="103"/>
      <c r="X98" s="5">
        <f>+X85-X97</f>
        <v>0</v>
      </c>
      <c r="AA98" s="103"/>
      <c r="AB98" s="5">
        <f>+AB85-AB97</f>
        <v>0</v>
      </c>
    </row>
    <row r="99" spans="1:28" x14ac:dyDescent="0.25">
      <c r="A99" s="152"/>
      <c r="B99" s="945"/>
      <c r="C99" s="945"/>
      <c r="D99" s="36"/>
      <c r="E99" s="863"/>
      <c r="F99" s="2"/>
    </row>
    <row r="100" spans="1:28" x14ac:dyDescent="0.25">
      <c r="A100" s="152"/>
      <c r="B100" s="932"/>
      <c r="C100" s="868"/>
      <c r="D100" s="25"/>
      <c r="E100" s="863"/>
      <c r="F100" s="2"/>
    </row>
    <row r="101" spans="1:28" x14ac:dyDescent="0.25">
      <c r="B101" s="932"/>
      <c r="C101" s="868"/>
      <c r="D101" s="36"/>
    </row>
    <row r="102" spans="1:28" x14ac:dyDescent="0.25">
      <c r="B102" s="932"/>
      <c r="C102" s="868"/>
      <c r="D102" s="36"/>
    </row>
    <row r="103" spans="1:28" ht="15" customHeight="1" x14ac:dyDescent="0.25">
      <c r="B103" s="932"/>
      <c r="C103" s="868"/>
      <c r="D103" s="36"/>
    </row>
    <row r="104" spans="1:28" x14ac:dyDescent="0.25">
      <c r="B104" s="932"/>
      <c r="C104" s="868"/>
      <c r="D104" s="36"/>
    </row>
    <row r="105" spans="1:28" x14ac:dyDescent="0.25">
      <c r="B105" s="932"/>
      <c r="C105" s="868"/>
      <c r="D105" s="36"/>
    </row>
    <row r="106" spans="1:28" ht="15" customHeight="1" x14ac:dyDescent="0.25">
      <c r="B106" s="2209"/>
      <c r="C106" s="2209"/>
      <c r="D106" s="36"/>
    </row>
    <row r="107" spans="1:28" x14ac:dyDescent="0.25">
      <c r="B107" s="2209"/>
      <c r="C107" s="2209"/>
      <c r="D107" s="36"/>
    </row>
    <row r="108" spans="1:28" x14ac:dyDescent="0.25">
      <c r="B108" s="932"/>
      <c r="C108" s="868"/>
      <c r="D108" s="6"/>
    </row>
    <row r="109" spans="1:28" x14ac:dyDescent="0.25">
      <c r="B109" s="932"/>
      <c r="C109" s="868"/>
      <c r="D109" s="36"/>
    </row>
    <row r="110" spans="1:28" x14ac:dyDescent="0.25">
      <c r="B110" s="932"/>
      <c r="C110" s="868"/>
      <c r="D110" s="36"/>
    </row>
    <row r="111" spans="1:28" ht="28.5" customHeight="1" x14ac:dyDescent="0.25">
      <c r="B111" s="932"/>
      <c r="C111" s="868"/>
      <c r="D111" s="25"/>
    </row>
    <row r="112" spans="1:28" x14ac:dyDescent="0.25">
      <c r="B112" s="932"/>
      <c r="C112" s="868"/>
      <c r="D112" s="36"/>
    </row>
    <row r="113" spans="2:4" x14ac:dyDescent="0.25">
      <c r="B113" s="932"/>
      <c r="C113" s="868"/>
      <c r="D113" s="36"/>
    </row>
    <row r="114" spans="2:4" x14ac:dyDescent="0.25">
      <c r="B114" s="932"/>
      <c r="C114" s="868"/>
      <c r="D114" s="36"/>
    </row>
    <row r="115" spans="2:4" x14ac:dyDescent="0.25">
      <c r="B115" s="932"/>
      <c r="C115" s="868"/>
      <c r="D115" s="36"/>
    </row>
    <row r="116" spans="2:4" x14ac:dyDescent="0.25">
      <c r="B116" s="932"/>
      <c r="C116" s="868"/>
      <c r="D116" s="36"/>
    </row>
    <row r="117" spans="2:4" x14ac:dyDescent="0.25">
      <c r="B117" s="932"/>
      <c r="C117" s="868"/>
      <c r="D117" s="36"/>
    </row>
    <row r="118" spans="2:4" x14ac:dyDescent="0.25">
      <c r="B118" s="932"/>
      <c r="C118" s="868"/>
      <c r="D118" s="36"/>
    </row>
    <row r="119" spans="2:4" x14ac:dyDescent="0.25">
      <c r="B119" s="932"/>
      <c r="C119" s="868"/>
      <c r="D119" s="36"/>
    </row>
    <row r="120" spans="2:4" x14ac:dyDescent="0.25">
      <c r="B120" s="932"/>
      <c r="C120" s="868"/>
      <c r="D120" s="36"/>
    </row>
    <row r="121" spans="2:4" x14ac:dyDescent="0.25">
      <c r="B121" s="932"/>
      <c r="C121" s="868"/>
      <c r="D121" s="36"/>
    </row>
    <row r="122" spans="2:4" x14ac:dyDescent="0.25">
      <c r="B122" s="932"/>
      <c r="C122" s="868"/>
      <c r="D122" s="36"/>
    </row>
    <row r="123" spans="2:4" x14ac:dyDescent="0.25">
      <c r="B123" s="932"/>
      <c r="C123" s="868"/>
      <c r="D123" s="36"/>
    </row>
    <row r="124" spans="2:4" x14ac:dyDescent="0.25">
      <c r="B124" s="932"/>
      <c r="C124" s="868"/>
      <c r="D124" s="36"/>
    </row>
    <row r="125" spans="2:4" x14ac:dyDescent="0.25">
      <c r="B125" s="932"/>
      <c r="C125" s="868"/>
      <c r="D125" s="36"/>
    </row>
    <row r="126" spans="2:4" x14ac:dyDescent="0.25">
      <c r="B126" s="932"/>
      <c r="C126" s="868"/>
      <c r="D126" s="36"/>
    </row>
  </sheetData>
  <sheetProtection password="B79F" sheet="1" objects="1" scenarios="1"/>
  <mergeCells count="1">
    <mergeCell ref="B106:C107"/>
  </mergeCells>
  <pageMargins left="0.25" right="0.25" top="0.5" bottom="0.5" header="0.25" footer="0.25"/>
  <pageSetup paperSize="5" scale="72" orientation="portrait" r:id="rId1"/>
  <headerFooter>
    <oddHeader>&amp;L&amp;F</oddHeader>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AC126"/>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1.7109375" style="146" customWidth="1"/>
    <col min="2" max="2" width="8.5703125" style="930" customWidth="1"/>
    <col min="3" max="3" width="18.42578125" style="857" customWidth="1"/>
    <col min="4" max="4" width="16" style="2" customWidth="1"/>
    <col min="5" max="5" width="17.7109375" style="857" hidden="1" customWidth="1"/>
    <col min="6" max="6" width="6" style="39" customWidth="1"/>
    <col min="7" max="7" width="9.42578125" style="52" bestFit="1" customWidth="1"/>
    <col min="8" max="8" width="13.85546875" style="122" bestFit="1" customWidth="1"/>
    <col min="9" max="9" width="26" style="868" hidden="1" customWidth="1"/>
    <col min="10" max="10" width="5.7109375" style="59" customWidth="1"/>
    <col min="11" max="11" width="11.85546875" style="377" bestFit="1" customWidth="1"/>
    <col min="12" max="12" width="14" style="123" bestFit="1" customWidth="1"/>
    <col min="13" max="13" width="26" style="857" hidden="1" customWidth="1"/>
    <col min="14" max="14" width="5.7109375" style="39" customWidth="1"/>
    <col min="15" max="15" width="9.42578125" style="377" bestFit="1" customWidth="1"/>
    <col min="16" max="16" width="14" style="2" bestFit="1" customWidth="1"/>
    <col min="17" max="17" width="24.85546875" style="857"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930" t="s">
        <v>61</v>
      </c>
      <c r="C1" s="931" t="s">
        <v>855</v>
      </c>
      <c r="D1" s="1044"/>
      <c r="E1" s="855"/>
      <c r="F1" s="98"/>
      <c r="G1" s="369"/>
      <c r="H1" s="1045"/>
      <c r="I1" s="855"/>
      <c r="K1" s="382"/>
      <c r="L1" s="122"/>
      <c r="M1" s="855"/>
      <c r="N1" s="51"/>
      <c r="O1" s="382"/>
      <c r="P1" s="122"/>
      <c r="Q1" s="855"/>
      <c r="T1" s="86">
        <v>0</v>
      </c>
      <c r="U1" s="98"/>
      <c r="X1" s="86">
        <v>0</v>
      </c>
      <c r="Y1" s="98"/>
      <c r="AB1" s="86">
        <v>0</v>
      </c>
      <c r="AC1" s="98"/>
    </row>
    <row r="2" spans="1:29" ht="17.25" x14ac:dyDescent="0.4">
      <c r="B2" s="932" t="s">
        <v>59</v>
      </c>
      <c r="C2" s="933">
        <v>9222</v>
      </c>
      <c r="D2" s="1045"/>
      <c r="E2" s="855"/>
      <c r="F2" s="98"/>
      <c r="G2" s="1863"/>
      <c r="H2" s="1045"/>
      <c r="I2" s="855"/>
      <c r="K2" s="382"/>
      <c r="L2" s="87"/>
      <c r="M2" s="855"/>
      <c r="N2" s="51"/>
      <c r="O2" s="382"/>
      <c r="P2" s="87"/>
      <c r="Q2" s="855"/>
      <c r="T2" s="87">
        <v>0</v>
      </c>
      <c r="U2" s="98"/>
      <c r="X2" s="87">
        <v>0</v>
      </c>
      <c r="Y2" s="98"/>
      <c r="AB2" s="87">
        <v>0</v>
      </c>
      <c r="AC2" s="98"/>
    </row>
    <row r="3" spans="1:29" x14ac:dyDescent="0.25">
      <c r="D3" s="1046"/>
      <c r="E3" s="867"/>
      <c r="F3" s="1047"/>
      <c r="G3" s="1864"/>
      <c r="H3" s="1046"/>
      <c r="I3" s="867"/>
      <c r="K3" s="382"/>
      <c r="L3" s="122"/>
      <c r="M3" s="868"/>
      <c r="N3" s="51"/>
      <c r="O3" s="382"/>
      <c r="P3" s="122"/>
      <c r="Q3" s="868"/>
      <c r="T3" s="86">
        <f>SUM(T1:T2)</f>
        <v>0</v>
      </c>
      <c r="U3" s="51"/>
      <c r="X3" s="86">
        <f>SUM(X1:X2)</f>
        <v>0</v>
      </c>
      <c r="Y3" s="51"/>
      <c r="AB3" s="86">
        <f>SUM(AB1:AB2)</f>
        <v>0</v>
      </c>
      <c r="AC3" s="51"/>
    </row>
    <row r="4" spans="1:29" x14ac:dyDescent="0.25">
      <c r="D4" s="36"/>
      <c r="E4" s="868"/>
      <c r="F4" s="51"/>
      <c r="G4" s="374"/>
      <c r="K4" s="382"/>
      <c r="L4" s="122"/>
      <c r="M4" s="868"/>
      <c r="N4" s="51"/>
      <c r="O4" s="382"/>
      <c r="P4" s="122"/>
      <c r="Q4" s="868"/>
      <c r="T4" s="86"/>
      <c r="U4" s="51"/>
      <c r="X4" s="86"/>
      <c r="Y4" s="51"/>
      <c r="AB4" s="86"/>
      <c r="AC4" s="51"/>
    </row>
    <row r="5" spans="1:29" ht="15.75" x14ac:dyDescent="0.25">
      <c r="B5" s="934" t="s">
        <v>56</v>
      </c>
      <c r="P5" s="123"/>
      <c r="T5" s="73"/>
      <c r="X5" s="73"/>
      <c r="AB5" s="73"/>
    </row>
    <row r="6" spans="1:29" s="89" customFormat="1" ht="15.75" x14ac:dyDescent="0.25">
      <c r="A6" s="147"/>
      <c r="B6" s="935"/>
      <c r="C6" s="935"/>
      <c r="D6" s="1018" t="s">
        <v>55</v>
      </c>
      <c r="E6" s="858"/>
      <c r="G6" s="371"/>
      <c r="H6" s="324" t="str">
        <f>LEFT(D6,4)+1&amp;"-"&amp;RIGHT(D6,4)+1</f>
        <v>2017-2018</v>
      </c>
      <c r="I6" s="869"/>
      <c r="J6" s="93"/>
      <c r="K6" s="378"/>
      <c r="L6" s="124" t="str">
        <f>LEFT(H6,4)+1&amp;"-"&amp;RIGHT(H6,4)+1</f>
        <v>2018-2019</v>
      </c>
      <c r="M6" s="946"/>
      <c r="N6" s="96"/>
      <c r="O6" s="381"/>
      <c r="P6" s="124" t="str">
        <f>LEFT(L6,4)+1&amp;"-"&amp;RIGHT(L6,4)+1</f>
        <v>2019-2020</v>
      </c>
      <c r="Q6" s="94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936" t="s">
        <v>54</v>
      </c>
      <c r="D7" s="2">
        <v>0</v>
      </c>
      <c r="E7" s="928"/>
      <c r="H7" s="2">
        <f>D89</f>
        <v>0</v>
      </c>
      <c r="I7" s="928"/>
      <c r="J7" s="60"/>
      <c r="L7" s="2">
        <f>H89</f>
        <v>0</v>
      </c>
      <c r="M7" s="928"/>
      <c r="P7" s="2">
        <f>L89</f>
        <v>0</v>
      </c>
      <c r="Q7" s="928"/>
      <c r="T7" s="2">
        <f>P89</f>
        <v>0</v>
      </c>
      <c r="U7" s="105"/>
      <c r="X7" s="2">
        <f>T89</f>
        <v>0</v>
      </c>
      <c r="Y7" s="105"/>
      <c r="AB7" s="2">
        <f>X89</f>
        <v>0</v>
      </c>
      <c r="AC7" s="105"/>
    </row>
    <row r="8" spans="1:29" x14ac:dyDescent="0.25">
      <c r="E8" s="928"/>
      <c r="H8" s="2"/>
      <c r="I8" s="928"/>
      <c r="L8" s="2"/>
      <c r="M8" s="928"/>
      <c r="Q8" s="928"/>
      <c r="U8" s="105"/>
      <c r="Y8" s="105"/>
      <c r="AC8" s="105"/>
    </row>
    <row r="9" spans="1:29" x14ac:dyDescent="0.25">
      <c r="B9" s="930" t="s">
        <v>52</v>
      </c>
      <c r="C9" s="857" t="s">
        <v>684</v>
      </c>
      <c r="D9" s="2">
        <v>0</v>
      </c>
      <c r="E9" s="928"/>
      <c r="G9" s="83" t="str">
        <f>IF(D9=0,"0.00%",(H9-D9)/D9)</f>
        <v>0.00%</v>
      </c>
      <c r="H9" s="3">
        <v>8623</v>
      </c>
      <c r="I9" s="928" t="s">
        <v>174</v>
      </c>
      <c r="J9" s="61"/>
      <c r="K9" s="83">
        <f>IF(H9=0,"0.00%",(L9-H9)/H9)</f>
        <v>-1</v>
      </c>
      <c r="L9" s="3">
        <v>0</v>
      </c>
      <c r="M9" s="928" t="s">
        <v>174</v>
      </c>
      <c r="O9" s="83" t="str">
        <f>IF(L9=0,"0.00%",(P9-L9)/L9)</f>
        <v>0.00%</v>
      </c>
      <c r="P9" s="3">
        <f>+L9</f>
        <v>0</v>
      </c>
      <c r="Q9" s="928" t="s">
        <v>174</v>
      </c>
      <c r="S9" s="83" t="str">
        <f>IF(P9=0,"0.00%",(T9-P9)/P9)</f>
        <v>0.00%</v>
      </c>
      <c r="T9" s="3">
        <f>+P9</f>
        <v>0</v>
      </c>
      <c r="U9" s="105" t="s">
        <v>174</v>
      </c>
      <c r="W9" s="83" t="str">
        <f>IF(T9=0,"0.00%",(X9-T9)/T9)</f>
        <v>0.00%</v>
      </c>
      <c r="X9" s="3">
        <f>X3</f>
        <v>0</v>
      </c>
      <c r="Y9" s="105"/>
      <c r="AA9" s="83" t="str">
        <f>IF(X9=0,"0.00%",(AB9-X9)/X9)</f>
        <v>0.00%</v>
      </c>
      <c r="AB9" s="3">
        <f>AB3</f>
        <v>0</v>
      </c>
      <c r="AC9" s="105"/>
    </row>
    <row r="10" spans="1:29" x14ac:dyDescent="0.25">
      <c r="D10" s="2">
        <v>0</v>
      </c>
      <c r="E10" s="928"/>
      <c r="G10" s="83" t="str">
        <f t="shared" ref="G10:G15" si="0">IF(D10=0,"0.00%",(H10-D10)/D10)</f>
        <v>0.00%</v>
      </c>
      <c r="H10" s="3">
        <v>0</v>
      </c>
      <c r="I10" s="928"/>
      <c r="J10" s="61"/>
      <c r="K10" s="83" t="str">
        <f>IF(H10=0,"0.00%",(L10-H10)/H10)</f>
        <v>0.00%</v>
      </c>
      <c r="L10" s="3">
        <f>-H2</f>
        <v>0</v>
      </c>
      <c r="M10" s="928"/>
      <c r="O10" s="83" t="str">
        <f>IF(L10=0,"0.00%",(P10-L10)/L10)</f>
        <v>0.00%</v>
      </c>
      <c r="P10" s="3">
        <f>-L2</f>
        <v>0</v>
      </c>
      <c r="Q10" s="928"/>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936" t="s">
        <v>137</v>
      </c>
      <c r="D11" s="8">
        <f>SUM(D9:D10)</f>
        <v>0</v>
      </c>
      <c r="E11" s="928"/>
      <c r="G11" s="83" t="str">
        <f t="shared" si="0"/>
        <v>0.00%</v>
      </c>
      <c r="H11" s="8">
        <f>SUM(H9:H10)</f>
        <v>8623</v>
      </c>
      <c r="I11" s="928"/>
      <c r="J11" s="62"/>
      <c r="K11" s="83">
        <f>IF(H11=0,"0.00%",(L11-H11)/H11)</f>
        <v>-1</v>
      </c>
      <c r="L11" s="8">
        <f>SUM(L9:L10)</f>
        <v>0</v>
      </c>
      <c r="M11" s="928"/>
      <c r="O11" s="83" t="str">
        <f>IF(L11=0,"0.00%",(P11-L11)/L11)</f>
        <v>0.00%</v>
      </c>
      <c r="P11" s="8">
        <f>SUM(P9:P10)</f>
        <v>0</v>
      </c>
      <c r="Q11" s="928"/>
      <c r="S11" s="83" t="str">
        <f>IF(P11=0,"0.00%",(T11-P11)/P11)</f>
        <v>0.00%</v>
      </c>
      <c r="T11" s="78">
        <f>SUM(T9:T10)</f>
        <v>0</v>
      </c>
      <c r="U11" s="105"/>
      <c r="W11" s="83" t="str">
        <f>IF(T11=0,"0.00%",(X11-T11)/T11)</f>
        <v>0.00%</v>
      </c>
      <c r="X11" s="78">
        <f>SUM(X9:X10)</f>
        <v>0</v>
      </c>
      <c r="Y11" s="105"/>
      <c r="AA11" s="83" t="str">
        <f>IF(X11=0,"0.00%",(AB11-X11)/X11)</f>
        <v>0.00%</v>
      </c>
      <c r="AB11" s="78">
        <f>SUM(AB9:AB10)</f>
        <v>0</v>
      </c>
      <c r="AC11" s="105"/>
    </row>
    <row r="12" spans="1:29" x14ac:dyDescent="0.25">
      <c r="E12" s="928"/>
      <c r="H12" s="3"/>
      <c r="I12" s="928"/>
      <c r="J12" s="63"/>
      <c r="K12" s="52"/>
      <c r="L12" s="3"/>
      <c r="M12" s="928"/>
      <c r="O12" s="52"/>
      <c r="P12" s="3"/>
      <c r="Q12" s="928"/>
      <c r="S12" s="46"/>
      <c r="T12" s="44"/>
      <c r="U12" s="105"/>
      <c r="W12" s="46"/>
      <c r="X12" s="44"/>
      <c r="Y12" s="105"/>
      <c r="AA12" s="46"/>
      <c r="AB12" s="44"/>
      <c r="AC12" s="105"/>
    </row>
    <row r="13" spans="1:29" x14ac:dyDescent="0.25">
      <c r="B13" s="937"/>
      <c r="C13" s="938" t="s">
        <v>64</v>
      </c>
      <c r="D13" s="9">
        <f>ROUND(D11-(D11/(1+B13)),0)</f>
        <v>0</v>
      </c>
      <c r="E13" s="928"/>
      <c r="G13" s="83" t="str">
        <f t="shared" si="0"/>
        <v>0.00%</v>
      </c>
      <c r="H13" s="9">
        <f>ROUND(H11-(H11/(1+B13)),0)</f>
        <v>0</v>
      </c>
      <c r="I13" s="928"/>
      <c r="J13" s="64"/>
      <c r="K13" s="83" t="str">
        <f>IF(H13=0,"0.00%",(L13-H13)/H13)</f>
        <v>0.00%</v>
      </c>
      <c r="L13" s="9">
        <f>ROUND(L11-(L11/(1+B13)),0)</f>
        <v>0</v>
      </c>
      <c r="M13" s="928"/>
      <c r="O13" s="83" t="str">
        <f>IF(L13=0,"0.00%",(P13-L13)/L13)</f>
        <v>0.00%</v>
      </c>
      <c r="P13" s="9">
        <f>ROUND(P11-(P11/(1+B13)),0)</f>
        <v>0</v>
      </c>
      <c r="Q13" s="928"/>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928"/>
      <c r="H14" s="3"/>
      <c r="I14" s="928"/>
      <c r="J14" s="63"/>
      <c r="K14" s="52"/>
      <c r="L14" s="3"/>
      <c r="M14" s="928"/>
      <c r="O14" s="52"/>
      <c r="P14" s="3"/>
      <c r="Q14" s="928"/>
      <c r="S14" s="46"/>
      <c r="T14" s="44"/>
      <c r="U14" s="105"/>
      <c r="W14" s="46"/>
      <c r="X14" s="44"/>
      <c r="Y14" s="105"/>
      <c r="AA14" s="46"/>
      <c r="AB14" s="44"/>
      <c r="AC14" s="105"/>
    </row>
    <row r="15" spans="1:29" x14ac:dyDescent="0.25">
      <c r="B15" s="936" t="s">
        <v>50</v>
      </c>
      <c r="D15" s="10">
        <f>D11-D13</f>
        <v>0</v>
      </c>
      <c r="E15" s="928"/>
      <c r="G15" s="83" t="str">
        <f t="shared" si="0"/>
        <v>0.00%</v>
      </c>
      <c r="H15" s="9">
        <f>H11-H13</f>
        <v>8623</v>
      </c>
      <c r="I15" s="928"/>
      <c r="J15" s="62"/>
      <c r="K15" s="83">
        <f>IF(H15=0,"0.00%",(L15-H15)/H15)</f>
        <v>-1</v>
      </c>
      <c r="L15" s="9">
        <f>L11-L13</f>
        <v>0</v>
      </c>
      <c r="M15" s="928"/>
      <c r="O15" s="83" t="str">
        <f>IF(L15=0,"0.00%",(P15-L15)/L15)</f>
        <v>0.00%</v>
      </c>
      <c r="P15" s="9">
        <f>P11-P13</f>
        <v>0</v>
      </c>
      <c r="Q15" s="928"/>
      <c r="S15" s="83" t="str">
        <f>IF(P15=0,"0.00%",(T15-P15)/P15)</f>
        <v>0.00%</v>
      </c>
      <c r="T15" s="19">
        <f>T11-T13</f>
        <v>0</v>
      </c>
      <c r="U15" s="105"/>
      <c r="W15" s="83" t="str">
        <f>IF(T15=0,"0.00%",(X15-T15)/T15)</f>
        <v>0.00%</v>
      </c>
      <c r="X15" s="19">
        <f>X11-X13</f>
        <v>0</v>
      </c>
      <c r="Y15" s="105"/>
      <c r="AA15" s="83" t="str">
        <f>IF(X15=0,"0.00%",(AB15-X15)/X15)</f>
        <v>0.00%</v>
      </c>
      <c r="AB15" s="19">
        <f>AB11-AB13</f>
        <v>0</v>
      </c>
      <c r="AC15" s="105"/>
    </row>
    <row r="16" spans="1:29" x14ac:dyDescent="0.25">
      <c r="E16" s="928"/>
      <c r="H16" s="3"/>
      <c r="I16" s="928"/>
      <c r="J16" s="62"/>
      <c r="L16" s="3"/>
      <c r="M16" s="928"/>
      <c r="P16" s="3"/>
      <c r="Q16" s="928"/>
      <c r="T16" s="49"/>
      <c r="U16" s="105"/>
      <c r="X16" s="49"/>
      <c r="Y16" s="105"/>
      <c r="AB16" s="49"/>
      <c r="AC16" s="105"/>
    </row>
    <row r="17" spans="1:29" x14ac:dyDescent="0.25">
      <c r="C17" s="930"/>
      <c r="E17" s="928"/>
      <c r="H17" s="3"/>
      <c r="I17" s="928"/>
      <c r="J17" s="63"/>
      <c r="L17" s="3"/>
      <c r="M17" s="928"/>
      <c r="P17" s="3"/>
      <c r="Q17" s="928"/>
      <c r="T17" s="44"/>
      <c r="U17" s="105"/>
      <c r="X17" s="44"/>
      <c r="Y17" s="105"/>
      <c r="AB17" s="44"/>
      <c r="AC17" s="105"/>
    </row>
    <row r="18" spans="1:29" x14ac:dyDescent="0.25">
      <c r="A18" s="148"/>
      <c r="D18" s="29" t="s">
        <v>826</v>
      </c>
      <c r="E18" s="929"/>
      <c r="F18" s="32"/>
      <c r="H18" s="29" t="s">
        <v>177</v>
      </c>
      <c r="I18" s="929"/>
      <c r="J18" s="65"/>
      <c r="M18" s="929"/>
      <c r="Q18" s="929"/>
      <c r="U18" s="106"/>
      <c r="Y18" s="106"/>
      <c r="AC18" s="106"/>
    </row>
    <row r="19" spans="1:29" ht="17.25" x14ac:dyDescent="0.4">
      <c r="A19" s="149"/>
      <c r="D19" s="35" t="s">
        <v>827</v>
      </c>
      <c r="E19" s="860"/>
      <c r="F19" s="34"/>
      <c r="H19" s="35" t="s">
        <v>48</v>
      </c>
      <c r="I19" s="870">
        <v>0.02</v>
      </c>
      <c r="J19" s="29"/>
      <c r="L19" s="14" t="s">
        <v>48</v>
      </c>
      <c r="M19" s="870">
        <v>0.02</v>
      </c>
      <c r="P19" s="14" t="s">
        <v>48</v>
      </c>
      <c r="Q19" s="870">
        <v>0.02</v>
      </c>
      <c r="T19" s="14" t="s">
        <v>48</v>
      </c>
      <c r="U19" s="104">
        <v>0.02</v>
      </c>
      <c r="X19" s="14" t="s">
        <v>48</v>
      </c>
      <c r="Y19" s="104">
        <v>0.02</v>
      </c>
      <c r="AB19" s="14" t="s">
        <v>48</v>
      </c>
      <c r="AC19" s="104">
        <v>0.02</v>
      </c>
    </row>
    <row r="20" spans="1:29" s="13" customFormat="1" hidden="1" x14ac:dyDescent="0.25">
      <c r="A20" s="150"/>
      <c r="B20" s="936" t="s">
        <v>46</v>
      </c>
      <c r="C20" s="938"/>
      <c r="D20" s="10"/>
      <c r="E20" s="861"/>
      <c r="F20" s="10"/>
      <c r="G20" s="372"/>
      <c r="H20" s="10"/>
      <c r="I20" s="864"/>
      <c r="J20" s="57"/>
      <c r="K20" s="379"/>
      <c r="L20" s="10"/>
      <c r="M20" s="947"/>
      <c r="O20" s="379"/>
      <c r="P20" s="10"/>
      <c r="Q20" s="947"/>
      <c r="R20" s="111"/>
      <c r="T20" s="10"/>
      <c r="U20" s="74"/>
      <c r="X20" s="10"/>
      <c r="Y20" s="74"/>
      <c r="AB20" s="10"/>
      <c r="AC20" s="74"/>
    </row>
    <row r="21" spans="1:29" hidden="1" x14ac:dyDescent="0.25">
      <c r="A21" s="151"/>
      <c r="B21" s="939"/>
      <c r="D21" s="2">
        <v>0</v>
      </c>
      <c r="E21" s="863"/>
      <c r="F21" s="2"/>
      <c r="G21" s="83" t="str">
        <f t="shared" ref="G21:G30" si="1">IF(D21=0,"0.00%",(H21-D21)/D21)</f>
        <v>0.00%</v>
      </c>
      <c r="H21" s="2">
        <f t="shared" ref="H21:H27" si="2">ROUND(D21*(1+$I$19),0)</f>
        <v>0</v>
      </c>
      <c r="I21" s="854" t="str">
        <f t="shared" ref="I21:I28" si="3">TEXT($I$19,"0.0%")&amp;" = Est. S &amp; C"</f>
        <v>2.0% = Est. S &amp; C</v>
      </c>
      <c r="J21" s="66"/>
      <c r="K21" s="83" t="str">
        <f t="shared" ref="K21:K27" si="4">IF(H21=0,"0.00%",(L21-H21)/H21)</f>
        <v>0.00%</v>
      </c>
      <c r="L21" s="2">
        <f>ROUND(H21*(1+M19),0)</f>
        <v>0</v>
      </c>
      <c r="M21" s="871" t="str">
        <f>TEXT(M19,"0.0%")&amp;" = Est. S &amp; C"</f>
        <v>2.0% = Est. S &amp; C</v>
      </c>
      <c r="O21" s="83" t="str">
        <f t="shared" ref="O21:O27" si="5">IF(L21=0,"0.00%",(P21-L21)/L21)</f>
        <v>0.00%</v>
      </c>
      <c r="P21" s="2">
        <f>ROUND(L21*(1+Q19),0)</f>
        <v>0</v>
      </c>
      <c r="Q21" s="871"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2"/>
      <c r="B22" s="939"/>
      <c r="D22" s="2">
        <v>0</v>
      </c>
      <c r="E22" s="863"/>
      <c r="F22" s="2"/>
      <c r="G22" s="83" t="str">
        <f t="shared" si="1"/>
        <v>0.00%</v>
      </c>
      <c r="H22" s="2">
        <f t="shared" si="2"/>
        <v>0</v>
      </c>
      <c r="I22" s="871" t="str">
        <f t="shared" si="3"/>
        <v>2.0% = Est. S &amp; C</v>
      </c>
      <c r="J22" s="66"/>
      <c r="K22" s="83" t="str">
        <f t="shared" si="4"/>
        <v>0.00%</v>
      </c>
      <c r="L22" s="2">
        <f>ROUND(H22*(1+M19),0)</f>
        <v>0</v>
      </c>
      <c r="M22" s="871" t="str">
        <f>TEXT(M19,"0.0%")&amp;" = Est. S &amp; C"</f>
        <v>2.0% = Est. S &amp; C</v>
      </c>
      <c r="O22" s="83" t="str">
        <f t="shared" si="5"/>
        <v>0.00%</v>
      </c>
      <c r="P22" s="2">
        <f>ROUND(L22*(1+Q19),0)</f>
        <v>0</v>
      </c>
      <c r="Q22" s="871"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2"/>
      <c r="B23" s="939"/>
      <c r="D23" s="2">
        <v>0</v>
      </c>
      <c r="E23" s="863"/>
      <c r="F23" s="2"/>
      <c r="G23" s="83" t="str">
        <f t="shared" si="1"/>
        <v>0.00%</v>
      </c>
      <c r="H23" s="2">
        <f t="shared" si="2"/>
        <v>0</v>
      </c>
      <c r="I23" s="871" t="str">
        <f t="shared" si="3"/>
        <v>2.0% = Est. S &amp; C</v>
      </c>
      <c r="J23" s="66"/>
      <c r="K23" s="83" t="str">
        <f t="shared" si="4"/>
        <v>0.00%</v>
      </c>
      <c r="L23" s="2">
        <f>ROUND(H23*(1+M19),0)</f>
        <v>0</v>
      </c>
      <c r="M23" s="871" t="str">
        <f>TEXT(M19,"0.0%")&amp;" = Est. S &amp; C"</f>
        <v>2.0% = Est. S &amp; C</v>
      </c>
      <c r="O23" s="83" t="str">
        <f t="shared" si="5"/>
        <v>0.00%</v>
      </c>
      <c r="P23" s="2">
        <f>ROUND(L23*(1+Q19),0)</f>
        <v>0</v>
      </c>
      <c r="Q23" s="871"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2"/>
      <c r="B24" s="939"/>
      <c r="D24" s="2">
        <v>0</v>
      </c>
      <c r="E24" s="863"/>
      <c r="F24" s="2"/>
      <c r="G24" s="83" t="str">
        <f t="shared" si="1"/>
        <v>0.00%</v>
      </c>
      <c r="H24" s="2">
        <f t="shared" si="2"/>
        <v>0</v>
      </c>
      <c r="I24" s="871" t="str">
        <f t="shared" si="3"/>
        <v>2.0% = Est. S &amp; C</v>
      </c>
      <c r="J24" s="66"/>
      <c r="K24" s="83" t="str">
        <f t="shared" si="4"/>
        <v>0.00%</v>
      </c>
      <c r="L24" s="2">
        <f>ROUND(H24*(1+M19),0)</f>
        <v>0</v>
      </c>
      <c r="M24" s="871" t="str">
        <f>TEXT(M19,"0.0%")&amp;" = Est. S &amp; C"</f>
        <v>2.0% = Est. S &amp; C</v>
      </c>
      <c r="O24" s="83" t="str">
        <f t="shared" si="5"/>
        <v>0.00%</v>
      </c>
      <c r="P24" s="2">
        <f>ROUND(L24*(1+Q19),0)</f>
        <v>0</v>
      </c>
      <c r="Q24" s="871"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2"/>
      <c r="B25" s="939"/>
      <c r="D25" s="2">
        <v>0</v>
      </c>
      <c r="E25" s="863"/>
      <c r="F25" s="2"/>
      <c r="G25" s="83" t="str">
        <f t="shared" si="1"/>
        <v>0.00%</v>
      </c>
      <c r="H25" s="2">
        <f t="shared" si="2"/>
        <v>0</v>
      </c>
      <c r="I25" s="871" t="str">
        <f t="shared" si="3"/>
        <v>2.0% = Est. S &amp; C</v>
      </c>
      <c r="J25" s="66"/>
      <c r="K25" s="83" t="str">
        <f t="shared" si="4"/>
        <v>0.00%</v>
      </c>
      <c r="L25" s="2">
        <f>ROUND(H25*(1+M19),0)</f>
        <v>0</v>
      </c>
      <c r="M25" s="871" t="str">
        <f>TEXT(M19,"0.0%")&amp;" = Est. S &amp; C"</f>
        <v>2.0% = Est. S &amp; C</v>
      </c>
      <c r="O25" s="83" t="str">
        <f t="shared" si="5"/>
        <v>0.00%</v>
      </c>
      <c r="P25" s="2">
        <f>ROUND(L25*(1+Q19),0)</f>
        <v>0</v>
      </c>
      <c r="Q25" s="871"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2"/>
      <c r="B26" s="939"/>
      <c r="D26" s="2">
        <v>0</v>
      </c>
      <c r="E26" s="863"/>
      <c r="F26" s="2"/>
      <c r="G26" s="83" t="str">
        <f t="shared" si="1"/>
        <v>0.00%</v>
      </c>
      <c r="H26" s="2">
        <f t="shared" si="2"/>
        <v>0</v>
      </c>
      <c r="I26" s="871" t="str">
        <f t="shared" si="3"/>
        <v>2.0% = Est. S &amp; C</v>
      </c>
      <c r="J26" s="66"/>
      <c r="K26" s="83" t="str">
        <f t="shared" si="4"/>
        <v>0.00%</v>
      </c>
      <c r="L26" s="2">
        <f>ROUND(H26*(1+M19),0)</f>
        <v>0</v>
      </c>
      <c r="M26" s="382" t="str">
        <f>TEXT(M19,"0.0%")&amp;" = Est. S &amp; C"</f>
        <v>2.0% = Est. S &amp; C</v>
      </c>
      <c r="O26" s="83" t="str">
        <f t="shared" si="5"/>
        <v>0.00%</v>
      </c>
      <c r="P26" s="2">
        <f>ROUND(L26*(1+Q19),0)</f>
        <v>0</v>
      </c>
      <c r="Q26" s="871"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2"/>
      <c r="B27" s="939"/>
      <c r="D27" s="2">
        <v>0</v>
      </c>
      <c r="E27" s="863"/>
      <c r="F27" s="2"/>
      <c r="G27" s="83" t="str">
        <f t="shared" si="1"/>
        <v>0.00%</v>
      </c>
      <c r="H27" s="2">
        <f t="shared" si="2"/>
        <v>0</v>
      </c>
      <c r="I27" s="871" t="str">
        <f t="shared" si="3"/>
        <v>2.0% = Est. S &amp; C</v>
      </c>
      <c r="J27" s="66"/>
      <c r="K27" s="83" t="str">
        <f t="shared" si="4"/>
        <v>0.00%</v>
      </c>
      <c r="L27" s="2">
        <f>ROUND(H27*(1+M19),0)</f>
        <v>0</v>
      </c>
      <c r="M27" s="871" t="str">
        <f>TEXT(M19,"0.0%")&amp;" = Est. S &amp; C"</f>
        <v>2.0% = Est. S &amp; C</v>
      </c>
      <c r="O27" s="83" t="str">
        <f t="shared" si="5"/>
        <v>0.00%</v>
      </c>
      <c r="P27" s="2">
        <f>ROUND(L27*(1+Q19),0)</f>
        <v>0</v>
      </c>
      <c r="Q27" s="871"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2"/>
      <c r="B28" s="939"/>
      <c r="D28" s="2">
        <v>0</v>
      </c>
      <c r="E28" s="863"/>
      <c r="F28" s="2"/>
      <c r="G28" s="83" t="str">
        <f>IF(D28=0,"0.00%",(H28-D28)/D28)</f>
        <v>0.00%</v>
      </c>
      <c r="H28" s="2">
        <f>ROUND(D28*(1+$I$19),0)</f>
        <v>0</v>
      </c>
      <c r="I28" s="871" t="str">
        <f t="shared" si="3"/>
        <v>2.0% = Est. S &amp; C</v>
      </c>
      <c r="J28" s="66"/>
      <c r="K28" s="83" t="str">
        <f>IF(H28=0,"0.00%",(L28-H28)/H28)</f>
        <v>0.00%</v>
      </c>
      <c r="L28" s="2">
        <f>ROUND(H28*(1+M20),0)</f>
        <v>0</v>
      </c>
      <c r="M28" s="871" t="str">
        <f>TEXT(M20,"0.0%")&amp;" = Est. S &amp; C"</f>
        <v>0.0% = Est. S &amp; C</v>
      </c>
      <c r="O28" s="83" t="str">
        <f>IF(L28=0,"0.00%",(P28-L28)/L28)</f>
        <v>0.00%</v>
      </c>
      <c r="P28" s="2">
        <f>ROUND(L28*(1+Q20),0)</f>
        <v>0</v>
      </c>
      <c r="Q28" s="871"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939"/>
      <c r="E29" s="863"/>
      <c r="F29" s="2"/>
      <c r="G29" s="83"/>
      <c r="H29" s="2"/>
      <c r="I29" s="871"/>
      <c r="J29" s="66"/>
      <c r="L29" s="2"/>
      <c r="M29" s="948"/>
      <c r="Q29" s="948"/>
      <c r="T29" s="2"/>
      <c r="U29" s="73"/>
      <c r="X29" s="2"/>
      <c r="Y29" s="73"/>
      <c r="AB29" s="2"/>
      <c r="AC29" s="73"/>
    </row>
    <row r="30" spans="1:29" hidden="1" x14ac:dyDescent="0.25">
      <c r="A30" s="153"/>
      <c r="B30" s="939"/>
      <c r="D30" s="8">
        <f>SUM(D21:D29)</f>
        <v>0</v>
      </c>
      <c r="E30" s="863"/>
      <c r="F30" s="2"/>
      <c r="G30" s="83" t="str">
        <f t="shared" si="1"/>
        <v>0.00%</v>
      </c>
      <c r="H30" s="8">
        <f>SUM(H21:H29)</f>
        <v>0</v>
      </c>
      <c r="I30" s="872"/>
      <c r="J30" s="29"/>
      <c r="K30" s="83" t="str">
        <f>IF(H30=0,"0.00%",(L30-H30)/H30)</f>
        <v>0.00%</v>
      </c>
      <c r="L30" s="8">
        <f>SUM(L21:L29)</f>
        <v>0</v>
      </c>
      <c r="M30" s="948"/>
      <c r="O30" s="83" t="str">
        <f>IF(L30=0,"0.00%",(P30-L30)/L30)</f>
        <v>0.00%</v>
      </c>
      <c r="P30" s="8">
        <f>SUM(P21:P29)</f>
        <v>0</v>
      </c>
      <c r="Q30" s="948"/>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2"/>
      <c r="E31" s="863"/>
      <c r="F31" s="2"/>
      <c r="H31" s="2"/>
      <c r="I31" s="854"/>
      <c r="J31" s="66"/>
      <c r="L31" s="2"/>
      <c r="M31" s="949"/>
      <c r="Q31" s="949"/>
      <c r="T31" s="2"/>
      <c r="U31" s="73"/>
      <c r="X31" s="2"/>
      <c r="Y31" s="73"/>
      <c r="AB31" s="2"/>
      <c r="AC31" s="73"/>
    </row>
    <row r="32" spans="1:29" s="4" customFormat="1" hidden="1" x14ac:dyDescent="0.25">
      <c r="A32" s="150"/>
      <c r="B32" s="940" t="s">
        <v>35</v>
      </c>
      <c r="C32" s="873"/>
      <c r="D32" s="6"/>
      <c r="E32" s="864"/>
      <c r="F32" s="6"/>
      <c r="G32" s="373"/>
      <c r="H32" s="6"/>
      <c r="I32" s="864"/>
      <c r="J32" s="57"/>
      <c r="K32" s="380"/>
      <c r="L32" s="6"/>
      <c r="M32" s="950"/>
      <c r="O32" s="380"/>
      <c r="P32" s="6"/>
      <c r="Q32" s="950"/>
      <c r="R32" s="111"/>
      <c r="T32" s="6"/>
      <c r="U32" s="71"/>
      <c r="X32" s="6"/>
      <c r="Y32" s="71"/>
      <c r="AB32" s="6"/>
      <c r="AC32" s="71"/>
    </row>
    <row r="33" spans="1:29" hidden="1" x14ac:dyDescent="0.25">
      <c r="A33" s="152"/>
      <c r="B33" s="939"/>
      <c r="D33" s="2">
        <v>0</v>
      </c>
      <c r="E33" s="863"/>
      <c r="F33" s="2"/>
      <c r="G33" s="83" t="str">
        <f t="shared" ref="G33:G39" si="9">IF(D33=0,"0.00%",(H33-D33)/D33)</f>
        <v>0.00%</v>
      </c>
      <c r="H33" s="2">
        <f t="shared" ref="H33:H39" si="10">ROUND(D33*(1+$I$19),0)</f>
        <v>0</v>
      </c>
      <c r="I33" s="871" t="str">
        <f t="shared" ref="I33:I39" si="11">TEXT($I$19,"0.0%")&amp;" = Est. S &amp; C"</f>
        <v>2.0% = Est. S &amp; C</v>
      </c>
      <c r="J33" s="66"/>
      <c r="K33" s="83" t="str">
        <f t="shared" ref="K33:K39" si="12">IF(H33=0,"0.00%",(L33-H33)/H33)</f>
        <v>0.00%</v>
      </c>
      <c r="L33" s="2">
        <f>ROUND(H33*(1+M19),0)</f>
        <v>0</v>
      </c>
      <c r="M33" s="871" t="str">
        <f>TEXT(M19,"0.0%")&amp;" = Est. S &amp; C"</f>
        <v>2.0% = Est. S &amp; C</v>
      </c>
      <c r="O33" s="83" t="str">
        <f t="shared" ref="O33:O39" si="13">IF(L33=0,"0.00%",(P33-L33)/L33)</f>
        <v>0.00%</v>
      </c>
      <c r="P33" s="2">
        <f>ROUND(L33*(1+Q19),0)</f>
        <v>0</v>
      </c>
      <c r="Q33" s="871"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2"/>
      <c r="B34" s="939"/>
      <c r="D34" s="2">
        <v>0</v>
      </c>
      <c r="E34" s="863"/>
      <c r="F34" s="2"/>
      <c r="G34" s="83" t="str">
        <f t="shared" si="9"/>
        <v>0.00%</v>
      </c>
      <c r="H34" s="2">
        <f t="shared" si="10"/>
        <v>0</v>
      </c>
      <c r="I34" s="871" t="str">
        <f t="shared" si="11"/>
        <v>2.0% = Est. S &amp; C</v>
      </c>
      <c r="J34" s="66"/>
      <c r="K34" s="83" t="str">
        <f t="shared" si="12"/>
        <v>0.00%</v>
      </c>
      <c r="L34" s="2">
        <f>ROUND(H34*(1+M19),0)</f>
        <v>0</v>
      </c>
      <c r="M34" s="871" t="str">
        <f>TEXT(M19,"0.0%")&amp;" = Est. S &amp; C"</f>
        <v>2.0% = Est. S &amp; C</v>
      </c>
      <c r="O34" s="83" t="str">
        <f t="shared" si="13"/>
        <v>0.00%</v>
      </c>
      <c r="P34" s="2">
        <f>ROUND(L34*(1+Q19),0)</f>
        <v>0</v>
      </c>
      <c r="Q34" s="871"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2"/>
      <c r="B35" s="939"/>
      <c r="D35" s="2">
        <v>0</v>
      </c>
      <c r="E35" s="863"/>
      <c r="F35" s="2"/>
      <c r="G35" s="83" t="str">
        <f t="shared" si="9"/>
        <v>0.00%</v>
      </c>
      <c r="H35" s="2">
        <f t="shared" si="10"/>
        <v>0</v>
      </c>
      <c r="I35" s="871" t="str">
        <f t="shared" si="11"/>
        <v>2.0% = Est. S &amp; C</v>
      </c>
      <c r="J35" s="66"/>
      <c r="K35" s="83" t="str">
        <f t="shared" si="12"/>
        <v>0.00%</v>
      </c>
      <c r="L35" s="2">
        <f>ROUND(H35*(1+M19),0)</f>
        <v>0</v>
      </c>
      <c r="M35" s="871" t="str">
        <f>TEXT(M19,"0.0%")&amp;" = Est. S &amp; C"</f>
        <v>2.0% = Est. S &amp; C</v>
      </c>
      <c r="O35" s="83" t="str">
        <f t="shared" si="13"/>
        <v>0.00%</v>
      </c>
      <c r="P35" s="2">
        <f>ROUND(L35*(1+Q19),0)</f>
        <v>0</v>
      </c>
      <c r="Q35" s="871"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2"/>
      <c r="B36" s="939"/>
      <c r="D36" s="2">
        <v>0</v>
      </c>
      <c r="E36" s="863"/>
      <c r="F36" s="2"/>
      <c r="G36" s="83" t="str">
        <f t="shared" si="9"/>
        <v>0.00%</v>
      </c>
      <c r="H36" s="2">
        <f t="shared" si="10"/>
        <v>0</v>
      </c>
      <c r="I36" s="871" t="str">
        <f t="shared" si="11"/>
        <v>2.0% = Est. S &amp; C</v>
      </c>
      <c r="J36" s="66"/>
      <c r="K36" s="83" t="str">
        <f t="shared" si="12"/>
        <v>0.00%</v>
      </c>
      <c r="L36" s="2">
        <f>ROUND(H36*(1+M19),0)</f>
        <v>0</v>
      </c>
      <c r="M36" s="871" t="str">
        <f>TEXT(M19,"0.0%")&amp;" = Est. S &amp; C"</f>
        <v>2.0% = Est. S &amp; C</v>
      </c>
      <c r="O36" s="83" t="str">
        <f t="shared" si="13"/>
        <v>0.00%</v>
      </c>
      <c r="P36" s="2">
        <f>ROUND(L36*(1+Q19),0)</f>
        <v>0</v>
      </c>
      <c r="Q36" s="871"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2"/>
      <c r="B37" s="939"/>
      <c r="D37" s="2">
        <v>0</v>
      </c>
      <c r="E37" s="863"/>
      <c r="F37" s="2"/>
      <c r="G37" s="83" t="str">
        <f t="shared" si="9"/>
        <v>0.00%</v>
      </c>
      <c r="H37" s="2">
        <f t="shared" si="10"/>
        <v>0</v>
      </c>
      <c r="I37" s="871" t="str">
        <f t="shared" si="11"/>
        <v>2.0% = Est. S &amp; C</v>
      </c>
      <c r="J37" s="66"/>
      <c r="K37" s="83" t="str">
        <f t="shared" si="12"/>
        <v>0.00%</v>
      </c>
      <c r="L37" s="2">
        <f>ROUND(H37*(1+M19),0)</f>
        <v>0</v>
      </c>
      <c r="M37" s="871" t="str">
        <f>TEXT(M19,"0.0%")&amp;" = Est. S &amp; C"</f>
        <v>2.0% = Est. S &amp; C</v>
      </c>
      <c r="O37" s="83" t="str">
        <f t="shared" si="13"/>
        <v>0.00%</v>
      </c>
      <c r="P37" s="2">
        <f>ROUND(L37*(1+Q19),0)</f>
        <v>0</v>
      </c>
      <c r="Q37" s="871"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2"/>
      <c r="B38" s="939"/>
      <c r="D38" s="2">
        <v>0</v>
      </c>
      <c r="E38" s="863"/>
      <c r="F38" s="2"/>
      <c r="G38" s="83" t="str">
        <f t="shared" si="9"/>
        <v>0.00%</v>
      </c>
      <c r="H38" s="2">
        <f t="shared" si="10"/>
        <v>0</v>
      </c>
      <c r="I38" s="871" t="str">
        <f t="shared" si="11"/>
        <v>2.0% = Est. S &amp; C</v>
      </c>
      <c r="J38" s="66"/>
      <c r="K38" s="83" t="str">
        <f t="shared" si="12"/>
        <v>0.00%</v>
      </c>
      <c r="L38" s="2">
        <f>ROUND(H38*(1+M19),0)</f>
        <v>0</v>
      </c>
      <c r="M38" s="871" t="str">
        <f>TEXT(M19,"0.0%")&amp;" = Est. S &amp; C"</f>
        <v>2.0% = Est. S &amp; C</v>
      </c>
      <c r="O38" s="83" t="str">
        <f t="shared" si="13"/>
        <v>0.00%</v>
      </c>
      <c r="P38" s="2">
        <f>ROUND(L38*(1+Q19),0)</f>
        <v>0</v>
      </c>
      <c r="Q38" s="871"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2"/>
      <c r="B39" s="939"/>
      <c r="D39" s="2">
        <v>0</v>
      </c>
      <c r="E39" s="863"/>
      <c r="F39" s="2"/>
      <c r="G39" s="83" t="str">
        <f t="shared" si="9"/>
        <v>0.00%</v>
      </c>
      <c r="H39" s="2">
        <f t="shared" si="10"/>
        <v>0</v>
      </c>
      <c r="I39" s="871" t="str">
        <f t="shared" si="11"/>
        <v>2.0% = Est. S &amp; C</v>
      </c>
      <c r="J39" s="66"/>
      <c r="K39" s="83" t="str">
        <f t="shared" si="12"/>
        <v>0.00%</v>
      </c>
      <c r="L39" s="2">
        <f>ROUND(H39*(1+M19),0)</f>
        <v>0</v>
      </c>
      <c r="M39" s="871" t="str">
        <f>TEXT(M19,"0.0%")&amp;" = Est. S &amp; C"</f>
        <v>2.0% = Est. S &amp; C</v>
      </c>
      <c r="O39" s="83" t="str">
        <f t="shared" si="13"/>
        <v>0.00%</v>
      </c>
      <c r="P39" s="2">
        <f>ROUND(L39*(1+Q19),0)</f>
        <v>0</v>
      </c>
      <c r="Q39" s="871"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2"/>
      <c r="B40" s="939"/>
      <c r="E40" s="863"/>
      <c r="F40" s="2"/>
      <c r="H40" s="2"/>
      <c r="I40" s="871"/>
      <c r="J40" s="66"/>
      <c r="L40" s="2"/>
      <c r="M40" s="948"/>
      <c r="Q40" s="948"/>
      <c r="T40" s="2"/>
      <c r="U40" s="73"/>
      <c r="X40" s="2"/>
      <c r="Y40" s="73"/>
      <c r="AB40" s="2"/>
      <c r="AC40" s="73"/>
    </row>
    <row r="41" spans="1:29" hidden="1" x14ac:dyDescent="0.25">
      <c r="A41" s="153"/>
      <c r="B41" s="939"/>
      <c r="D41" s="8">
        <f>SUM(D33:D40)</f>
        <v>0</v>
      </c>
      <c r="E41" s="863"/>
      <c r="F41" s="2"/>
      <c r="G41" s="83" t="str">
        <f>IF(D41=0,"0.00%",(H41-D41)/D41)</f>
        <v>0.00%</v>
      </c>
      <c r="H41" s="8">
        <f>SUM(H33:H40)</f>
        <v>0</v>
      </c>
      <c r="I41" s="872"/>
      <c r="J41" s="29"/>
      <c r="K41" s="83" t="str">
        <f>IF(H41=0,"0.00%",(L41-H41)/H41)</f>
        <v>0.00%</v>
      </c>
      <c r="L41" s="8">
        <f>SUM(L33:L40)</f>
        <v>0</v>
      </c>
      <c r="M41" s="948"/>
      <c r="O41" s="83" t="str">
        <f>IF(L41=0,"0.00%",(P41-L41)/L41)</f>
        <v>0.00%</v>
      </c>
      <c r="P41" s="8">
        <f>SUM(P33:P40)</f>
        <v>0</v>
      </c>
      <c r="Q41" s="948"/>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52"/>
      <c r="B42" s="930" t="s">
        <v>28</v>
      </c>
      <c r="E42" s="863"/>
      <c r="F42" s="2"/>
      <c r="H42" s="2"/>
      <c r="I42" s="871"/>
      <c r="J42" s="66"/>
      <c r="L42" s="2"/>
      <c r="M42" s="948"/>
      <c r="Q42" s="948"/>
      <c r="T42" s="2"/>
      <c r="U42" s="73"/>
      <c r="X42" s="2"/>
      <c r="Y42" s="73"/>
      <c r="AB42" s="2"/>
      <c r="AC42" s="73"/>
    </row>
    <row r="43" spans="1:29" hidden="1" x14ac:dyDescent="0.25">
      <c r="A43" s="154"/>
      <c r="B43" s="936" t="s">
        <v>27</v>
      </c>
      <c r="E43" s="863"/>
      <c r="F43" s="2"/>
      <c r="H43" s="2"/>
      <c r="I43" s="871"/>
      <c r="J43" s="66"/>
      <c r="L43" s="2"/>
      <c r="M43" s="948"/>
      <c r="Q43" s="948"/>
      <c r="T43" s="2"/>
      <c r="U43" s="73"/>
      <c r="X43" s="2"/>
      <c r="Y43" s="73"/>
      <c r="AB43" s="2"/>
      <c r="AC43" s="73"/>
    </row>
    <row r="44" spans="1:29" hidden="1" x14ac:dyDescent="0.25">
      <c r="A44" s="152"/>
      <c r="B44" s="939" t="s">
        <v>83</v>
      </c>
      <c r="C44" s="857" t="s">
        <v>76</v>
      </c>
      <c r="D44" s="2">
        <v>0</v>
      </c>
      <c r="E44" s="854" t="str">
        <f>TEXT('MYP Assumptions'!$D$55,"0.00%")&amp;", STRS rate"</f>
        <v>12.58%, STRS rate</v>
      </c>
      <c r="F44" s="2"/>
      <c r="G44" s="83" t="str">
        <f t="shared" ref="G44:G53" si="17">IF(D44=0,"0.00%",(H44-D44)/D44)</f>
        <v>0.00%</v>
      </c>
      <c r="H44" s="2">
        <f>ROUND(H30*LEFT(I44,6),0)</f>
        <v>0</v>
      </c>
      <c r="I44" s="854" t="str">
        <f>TEXT('MYP Assumptions'!E55,"0.00%")&amp;", projected STRS rate"</f>
        <v>14.43%, projected STRS rate</v>
      </c>
      <c r="J44" s="66"/>
      <c r="K44" s="83" t="str">
        <f t="shared" ref="K44:K53" si="18">IF(H44=0,"0.00%",(L44-H44)/H44)</f>
        <v>0.00%</v>
      </c>
      <c r="L44" s="2">
        <f>ROUND(L30*LEFT(M44,6),0)</f>
        <v>0</v>
      </c>
      <c r="M44" s="854" t="str">
        <f>TEXT('MYP Assumptions'!F55,"0.00%")&amp;", projected STRS rate"</f>
        <v>16.28%, projected STRS rate</v>
      </c>
      <c r="O44" s="83" t="str">
        <f t="shared" ref="O44:O53" si="19">IF(L44=0,"0.00%",(P44-L44)/L44)</f>
        <v>0.00%</v>
      </c>
      <c r="P44" s="2">
        <f>ROUND(P30*LEFT(Q44,6),0)</f>
        <v>0</v>
      </c>
      <c r="Q44" s="854" t="str">
        <f>TEXT('MYP Assumptions'!G55,"0.00%")&amp;", projected STRS rate"</f>
        <v>18.13%, projected STRS rate</v>
      </c>
      <c r="S44" s="83" t="str">
        <f t="shared" ref="S44:S53" si="20">IF(P44=0,"0.00%",(T44-P44)/P44)</f>
        <v>0.00%</v>
      </c>
      <c r="T44" s="2">
        <f>ROUND(T30*LEFT(U44,6),0)</f>
        <v>0</v>
      </c>
      <c r="U44" s="81" t="str">
        <f>TEXT('MYP Assumptions'!H55,"0.00%")&amp;", projected STRS rate"</f>
        <v>19.10%, projected STRS rate</v>
      </c>
      <c r="W44" s="83" t="str">
        <f t="shared" ref="W44:W53" si="21">IF(T44=0,"0.00%",(X44-T44)/T44)</f>
        <v>0.00%</v>
      </c>
      <c r="X44" s="2">
        <f>ROUND(X30*LEFT(Y44,6),0)</f>
        <v>0</v>
      </c>
      <c r="Y44" s="81" t="str">
        <f>TEXT('MYP Assumptions'!I55,"0.00%")&amp;", projected STRS rate"</f>
        <v>19.10%, projected STRS rate</v>
      </c>
      <c r="AA44" s="83" t="str">
        <f t="shared" ref="AA44:AA53" si="22">IF(X44=0,"0.00%",(AB44-X44)/X44)</f>
        <v>0.00%</v>
      </c>
      <c r="AB44" s="2">
        <f>ROUND(AB30*LEFT(AC44,6),0)</f>
        <v>0</v>
      </c>
      <c r="AC44" s="81" t="str">
        <f>TEXT('MYP Assumptions'!J55,"0.00%")&amp;", projected STRS rate"</f>
        <v>19.10%, projected STRS rate</v>
      </c>
    </row>
    <row r="45" spans="1:29" hidden="1" x14ac:dyDescent="0.25">
      <c r="A45" s="152"/>
      <c r="B45" s="939" t="s">
        <v>84</v>
      </c>
      <c r="C45" s="857" t="s">
        <v>77</v>
      </c>
      <c r="D45" s="2">
        <v>0</v>
      </c>
      <c r="E45" s="854" t="str">
        <f>TEXT('MYP Assumptions'!$D$56,"0.00%")&amp;", PERS rate"</f>
        <v>13.89%, PERS rate</v>
      </c>
      <c r="F45" s="2"/>
      <c r="G45" s="83" t="str">
        <f t="shared" si="17"/>
        <v>0.00%</v>
      </c>
      <c r="H45" s="2">
        <f>ROUND(H41*LEFT(I45,6),0)</f>
        <v>0</v>
      </c>
      <c r="I45" s="854" t="str">
        <f>TEXT('MYP Assumptions'!E56,"0.00%")&amp;", projected PERS rate"</f>
        <v>15.53%, projected PERS rate</v>
      </c>
      <c r="J45" s="66"/>
      <c r="K45" s="83" t="str">
        <f t="shared" si="18"/>
        <v>0.00%</v>
      </c>
      <c r="L45" s="2">
        <f>ROUND(L41*LEFT(M45,6),0)</f>
        <v>0</v>
      </c>
      <c r="M45" s="854" t="str">
        <f>TEXT('MYP Assumptions'!F56,"0.00%")&amp;", projected PERS rate"</f>
        <v>18.10%, projected PERS rate</v>
      </c>
      <c r="O45" s="83" t="str">
        <f t="shared" si="19"/>
        <v>0.00%</v>
      </c>
      <c r="P45" s="2">
        <f>ROUND(P41*LEFT(Q45,6),0)</f>
        <v>0</v>
      </c>
      <c r="Q45" s="854" t="str">
        <f>TEXT('MYP Assumptions'!G56,"0.00%")&amp;", projected PERS rate"</f>
        <v>20.80%, projected PERS rate</v>
      </c>
      <c r="S45" s="83" t="str">
        <f t="shared" si="20"/>
        <v>0.00%</v>
      </c>
      <c r="T45" s="2">
        <f>ROUND(T41*LEFT(U45,6),0)</f>
        <v>0</v>
      </c>
      <c r="U45" s="81" t="str">
        <f>TEXT('MYP Assumptions'!H56,"0.00%")&amp;", projected PERS rate"</f>
        <v>23.80%, projected PERS rate</v>
      </c>
      <c r="W45" s="83" t="str">
        <f t="shared" si="21"/>
        <v>0.00%</v>
      </c>
      <c r="X45" s="2">
        <f>ROUND(X41*LEFT(Y45,6),0)</f>
        <v>0</v>
      </c>
      <c r="Y45" s="81" t="str">
        <f>TEXT('MYP Assumptions'!I56,"0.00%")&amp;", projected PERS rate"</f>
        <v>25.20%, projected PERS rate</v>
      </c>
      <c r="AA45" s="83" t="str">
        <f t="shared" si="22"/>
        <v>0.00%</v>
      </c>
      <c r="AB45" s="2">
        <f>ROUND(AB41*LEFT(AC45,6),0)</f>
        <v>0</v>
      </c>
      <c r="AC45" s="81" t="str">
        <f>TEXT('MYP Assumptions'!J56,"0.00%")&amp;", projected PERS rate"</f>
        <v>26.10%, projected PERS rate</v>
      </c>
    </row>
    <row r="46" spans="1:29" hidden="1" x14ac:dyDescent="0.25">
      <c r="A46" s="152"/>
      <c r="B46" s="939" t="s">
        <v>85</v>
      </c>
      <c r="C46" s="857" t="s">
        <v>78</v>
      </c>
      <c r="D46" s="2">
        <v>0</v>
      </c>
      <c r="E46" s="854" t="str">
        <f>TEXT('MYP Assumptions'!$D$57,"0.00%")&amp;", SS rate"</f>
        <v>6.20%, SS rate</v>
      </c>
      <c r="F46" s="2"/>
      <c r="G46" s="83" t="str">
        <f t="shared" si="17"/>
        <v>0.00%</v>
      </c>
      <c r="H46" s="2">
        <f>ROUND(H41*LEFT(I46,5),0)</f>
        <v>0</v>
      </c>
      <c r="I46" s="854" t="str">
        <f>TEXT('MYP Assumptions'!E57,"0.00%")&amp;", no rate change"</f>
        <v>6.20%, no rate change</v>
      </c>
      <c r="J46" s="66"/>
      <c r="K46" s="83" t="str">
        <f t="shared" si="18"/>
        <v>0.00%</v>
      </c>
      <c r="L46" s="2">
        <f>ROUND(L41*LEFT(M46,5),0)</f>
        <v>0</v>
      </c>
      <c r="M46" s="854" t="str">
        <f>TEXT('MYP Assumptions'!F57,"0.00%")&amp;", no rate change"</f>
        <v>6.20%, no rate change</v>
      </c>
      <c r="O46" s="83" t="str">
        <f t="shared" si="19"/>
        <v>0.00%</v>
      </c>
      <c r="P46" s="2">
        <f>ROUND(P41*LEFT(Q46,5),0)</f>
        <v>0</v>
      </c>
      <c r="Q46" s="854" t="str">
        <f>TEXT('MYP Assumptions'!G57,"0.00%")&amp;", no rate change"</f>
        <v>6.20%, no rate change</v>
      </c>
      <c r="S46" s="83" t="str">
        <f t="shared" si="20"/>
        <v>0.00%</v>
      </c>
      <c r="T46" s="2">
        <f>ROUND(T41*LEFT(U46,5),0)</f>
        <v>0</v>
      </c>
      <c r="U46" s="81" t="str">
        <f>TEXT('MYP Assumptions'!H57,"0.00%")&amp;", no rate change"</f>
        <v>6.20%, no rate change</v>
      </c>
      <c r="W46" s="83" t="str">
        <f t="shared" si="21"/>
        <v>0.00%</v>
      </c>
      <c r="X46" s="2">
        <f>ROUND(X41*LEFT(Y46,5),0)</f>
        <v>0</v>
      </c>
      <c r="Y46" s="81" t="str">
        <f>TEXT('MYP Assumptions'!I57,"0.00%")&amp;", no rate change"</f>
        <v>6.20%, no rate change</v>
      </c>
      <c r="AA46" s="83" t="str">
        <f t="shared" si="22"/>
        <v>0.00%</v>
      </c>
      <c r="AB46" s="2">
        <f>ROUND(AB41*LEFT(AC46,5),0)</f>
        <v>0</v>
      </c>
      <c r="AC46" s="81" t="str">
        <f>TEXT('MYP Assumptions'!J57,"0.00%")&amp;", no rate change"</f>
        <v>6.20%, no rate change</v>
      </c>
    </row>
    <row r="47" spans="1:29" hidden="1" x14ac:dyDescent="0.25">
      <c r="A47" s="152"/>
      <c r="B47" s="939" t="s">
        <v>86</v>
      </c>
      <c r="C47" s="857" t="s">
        <v>79</v>
      </c>
      <c r="D47" s="2">
        <v>0</v>
      </c>
      <c r="E47" s="854" t="str">
        <f>TEXT('MYP Assumptions'!$D$58,"0.00%")&amp;", Medicare rate"</f>
        <v>1.45%, Medicare rate</v>
      </c>
      <c r="F47" s="2"/>
      <c r="G47" s="83" t="str">
        <f t="shared" si="17"/>
        <v>0.00%</v>
      </c>
      <c r="H47" s="2">
        <f>ROUND((H41+H30)*LEFT(I47,5),0)</f>
        <v>0</v>
      </c>
      <c r="I47" s="854" t="str">
        <f>TEXT('MYP Assumptions'!E58,"0.00%")&amp;", no rate change"</f>
        <v>1.45%, no rate change</v>
      </c>
      <c r="J47" s="66"/>
      <c r="K47" s="83" t="str">
        <f t="shared" si="18"/>
        <v>0.00%</v>
      </c>
      <c r="L47" s="2">
        <f>ROUND((L41+L30)*LEFT(M47,5),0)</f>
        <v>0</v>
      </c>
      <c r="M47" s="854" t="str">
        <f>TEXT('MYP Assumptions'!F58,"0.00%")&amp;", no rate change"</f>
        <v>1.45%, no rate change</v>
      </c>
      <c r="O47" s="83" t="str">
        <f t="shared" si="19"/>
        <v>0.00%</v>
      </c>
      <c r="P47" s="2">
        <f>ROUND((P41+P30)*LEFT(Q47,5),0)</f>
        <v>0</v>
      </c>
      <c r="Q47" s="854" t="str">
        <f>TEXT('MYP Assumptions'!G58,"0.00%")&amp;", no rate change"</f>
        <v>1.45%, no rate change</v>
      </c>
      <c r="S47" s="83" t="str">
        <f t="shared" si="20"/>
        <v>0.00%</v>
      </c>
      <c r="T47" s="2">
        <f>ROUND((T41+T30)*LEFT(U47,5),0)</f>
        <v>0</v>
      </c>
      <c r="U47" s="81" t="str">
        <f>TEXT('MYP Assumptions'!H58,"0.00%")&amp;", no rate change"</f>
        <v>1.45%, no rate change</v>
      </c>
      <c r="W47" s="83" t="str">
        <f t="shared" si="21"/>
        <v>0.00%</v>
      </c>
      <c r="X47" s="2">
        <f>ROUND((X41+X30)*LEFT(Y47,5),0)</f>
        <v>0</v>
      </c>
      <c r="Y47" s="81" t="str">
        <f>TEXT('MYP Assumptions'!I58,"0.00%")&amp;", no rate change"</f>
        <v>1.45%, no rate change</v>
      </c>
      <c r="AA47" s="83" t="str">
        <f t="shared" si="22"/>
        <v>0.00%</v>
      </c>
      <c r="AB47" s="2">
        <f>ROUND((AB41+AB30)*LEFT(AC47,5),0)</f>
        <v>0</v>
      </c>
      <c r="AC47" s="81" t="str">
        <f>TEXT('MYP Assumptions'!J58,"0.00%")&amp;", no rate change"</f>
        <v>1.45%, no rate change</v>
      </c>
    </row>
    <row r="48" spans="1:29" hidden="1" x14ac:dyDescent="0.25">
      <c r="A48" s="152"/>
      <c r="B48" s="939" t="s">
        <v>87</v>
      </c>
      <c r="C48" s="857" t="s">
        <v>80</v>
      </c>
      <c r="D48" s="2">
        <v>0</v>
      </c>
      <c r="E48" s="854"/>
      <c r="F48" s="2"/>
      <c r="G48" s="83" t="str">
        <f t="shared" si="17"/>
        <v>0.00%</v>
      </c>
      <c r="H48" s="2">
        <f>ROUND((D48)*(LEFT(I48,5)+1),0)</f>
        <v>0</v>
      </c>
      <c r="I48" s="854" t="str">
        <f>TEXT('MYP Assumptions'!$M$65,"0.00%")&amp;", projected increase"</f>
        <v>7.00%, projected increase</v>
      </c>
      <c r="J48" s="66"/>
      <c r="K48" s="83" t="str">
        <f t="shared" si="18"/>
        <v>0.00%</v>
      </c>
      <c r="L48" s="2">
        <f>ROUND((H48)*(LEFT(M48,5)+1),0)</f>
        <v>0</v>
      </c>
      <c r="M48" s="854" t="str">
        <f>TEXT('MYP Assumptions'!$M$65,"0.00%")&amp;", projected increase"</f>
        <v>7.00%, projected increase</v>
      </c>
      <c r="O48" s="83" t="str">
        <f t="shared" si="19"/>
        <v>0.00%</v>
      </c>
      <c r="P48" s="2">
        <f>ROUND((L48)*(LEFT(Q48,5)+1),0)</f>
        <v>0</v>
      </c>
      <c r="Q48" s="854" t="str">
        <f>TEXT('MYP Assumptions'!$M$65,"0.00%")&amp;", projected increase"</f>
        <v>7.00%, projected increase</v>
      </c>
      <c r="S48" s="83" t="str">
        <f t="shared" si="20"/>
        <v>0.00%</v>
      </c>
      <c r="T48" s="2">
        <f>ROUND((P48)*(LEFT(U48,5)+1),0)</f>
        <v>0</v>
      </c>
      <c r="U48" s="81" t="str">
        <f>TEXT('MYP Assumptions'!$M$65,"0.00%")&amp;", projected increase"</f>
        <v>7.00%, projected increase</v>
      </c>
      <c r="W48" s="83" t="str">
        <f t="shared" si="21"/>
        <v>0.00%</v>
      </c>
      <c r="X48" s="2">
        <f>ROUND((T48)*(LEFT(Y48,5)+1),0)</f>
        <v>0</v>
      </c>
      <c r="Y48" s="81" t="str">
        <f>TEXT('MYP Assumptions'!$M$65,"0.00%")&amp;", projected increase"</f>
        <v>7.00%, projected increase</v>
      </c>
      <c r="AA48" s="83" t="str">
        <f t="shared" si="22"/>
        <v>0.00%</v>
      </c>
      <c r="AB48" s="2">
        <f>ROUND((X48)*(LEFT(AC48,5)+1),0)</f>
        <v>0</v>
      </c>
      <c r="AC48" s="81" t="str">
        <f>TEXT('MYP Assumptions'!$M$65,"0.00%")&amp;", projected increase"</f>
        <v>7.00%, projected increase</v>
      </c>
    </row>
    <row r="49" spans="1:29" hidden="1" x14ac:dyDescent="0.25">
      <c r="A49" s="152"/>
      <c r="B49" s="939" t="s">
        <v>88</v>
      </c>
      <c r="C49" s="857" t="s">
        <v>81</v>
      </c>
      <c r="D49" s="2">
        <v>0</v>
      </c>
      <c r="E49" s="854" t="str">
        <f>TEXT('MYP Assumptions'!$D$59,"0.00%")&amp;", SUI rate"</f>
        <v>0.05%, SUI rate</v>
      </c>
      <c r="F49" s="2"/>
      <c r="G49" s="83" t="str">
        <f t="shared" si="17"/>
        <v>0.00%</v>
      </c>
      <c r="H49" s="2">
        <f>ROUND((H41+H30)*LEFT(I49,5),0)</f>
        <v>0</v>
      </c>
      <c r="I49" s="854" t="str">
        <f>TEXT('MYP Assumptions'!E59,"0.00%")&amp;", no rate change"</f>
        <v>0.05%, no rate change</v>
      </c>
      <c r="J49" s="66"/>
      <c r="K49" s="83" t="str">
        <f t="shared" si="18"/>
        <v>0.00%</v>
      </c>
      <c r="L49" s="2">
        <f>ROUND((L41+L30)*LEFT(M49,5),0)</f>
        <v>0</v>
      </c>
      <c r="M49" s="854" t="str">
        <f>TEXT('MYP Assumptions'!F59,"0.00%")&amp;", no rate change"</f>
        <v>0.05%, no rate change</v>
      </c>
      <c r="O49" s="83" t="str">
        <f t="shared" si="19"/>
        <v>0.00%</v>
      </c>
      <c r="P49" s="2">
        <f>ROUND((P41+P30)*LEFT(Q49,5),0)</f>
        <v>0</v>
      </c>
      <c r="Q49" s="854" t="str">
        <f>TEXT('MYP Assumptions'!G59,"0.00%")&amp;", no rate change"</f>
        <v>0.05%, no rate change</v>
      </c>
      <c r="S49" s="83" t="str">
        <f t="shared" si="20"/>
        <v>0.00%</v>
      </c>
      <c r="T49" s="2">
        <f>ROUND((T41+T30)*LEFT(U49,5),0)</f>
        <v>0</v>
      </c>
      <c r="U49" s="81" t="str">
        <f>TEXT('MYP Assumptions'!H59,"0.00%")&amp;", no rate change"</f>
        <v>0.05%, no rate change</v>
      </c>
      <c r="W49" s="83" t="str">
        <f t="shared" si="21"/>
        <v>0.00%</v>
      </c>
      <c r="X49" s="2">
        <f>ROUND((X41+X30)*LEFT(Y49,5),0)</f>
        <v>0</v>
      </c>
      <c r="Y49" s="81" t="str">
        <f>TEXT('MYP Assumptions'!I59,"0.00%")&amp;", no rate change"</f>
        <v>0.05%, no rate change</v>
      </c>
      <c r="AA49" s="83" t="str">
        <f t="shared" si="22"/>
        <v>0.00%</v>
      </c>
      <c r="AB49" s="2">
        <f>ROUND((AB41+AB30)*LEFT(AC49,5),0)</f>
        <v>0</v>
      </c>
      <c r="AC49" s="81" t="str">
        <f>TEXT('MYP Assumptions'!J59,"0.00%")&amp;", no rate change"</f>
        <v>0.05%, no rate change</v>
      </c>
    </row>
    <row r="50" spans="1:29" hidden="1" x14ac:dyDescent="0.25">
      <c r="A50" s="152"/>
      <c r="B50" s="939" t="s">
        <v>89</v>
      </c>
      <c r="C50" s="857" t="s">
        <v>82</v>
      </c>
      <c r="D50" s="2">
        <v>0</v>
      </c>
      <c r="E50" s="854" t="str">
        <f>TEXT('MYP Assumptions'!$D$60,"0.00%")&amp;", W/C rate"</f>
        <v>1.10%, W/C rate</v>
      </c>
      <c r="F50" s="2"/>
      <c r="G50" s="83" t="str">
        <f t="shared" si="17"/>
        <v>0.00%</v>
      </c>
      <c r="H50" s="2">
        <f>ROUND((H41+H30)*LEFT(I50,5),0)</f>
        <v>0</v>
      </c>
      <c r="I50" s="854" t="str">
        <f>TEXT('MYP Assumptions'!E60,"0.00%")&amp;", no rate change"</f>
        <v>0.80%, no rate change</v>
      </c>
      <c r="J50" s="66"/>
      <c r="K50" s="83" t="str">
        <f t="shared" si="18"/>
        <v>0.00%</v>
      </c>
      <c r="L50" s="2">
        <f>ROUND((L41+L30)*LEFT(M50,5),0)</f>
        <v>0</v>
      </c>
      <c r="M50" s="854" t="str">
        <f>TEXT('MYP Assumptions'!F60,"0.00%")&amp;", no rate change"</f>
        <v>0.80%, no rate change</v>
      </c>
      <c r="O50" s="83" t="str">
        <f t="shared" si="19"/>
        <v>0.00%</v>
      </c>
      <c r="P50" s="2">
        <f>ROUND((P41+P30)*LEFT(Q50,5),0)</f>
        <v>0</v>
      </c>
      <c r="Q50" s="854" t="str">
        <f>TEXT('MYP Assumptions'!G60,"0.00%")&amp;", no rate change"</f>
        <v>0.80%, no rate change</v>
      </c>
      <c r="S50" s="83" t="str">
        <f t="shared" si="20"/>
        <v>0.00%</v>
      </c>
      <c r="T50" s="2">
        <f>ROUND((T41+T30)*LEFT(U50,5),0)</f>
        <v>0</v>
      </c>
      <c r="U50" s="81" t="str">
        <f>TEXT('MYP Assumptions'!H60,"0.00%")&amp;", no rate change"</f>
        <v>0.80%, no rate change</v>
      </c>
      <c r="W50" s="83" t="str">
        <f t="shared" si="21"/>
        <v>0.00%</v>
      </c>
      <c r="X50" s="2">
        <f>ROUND((X41+X30)*LEFT(Y50,5),0)</f>
        <v>0</v>
      </c>
      <c r="Y50" s="81" t="str">
        <f>TEXT('MYP Assumptions'!I60,"0.00%")&amp;", no rate change"</f>
        <v>0.80%, no rate change</v>
      </c>
      <c r="AA50" s="83" t="str">
        <f t="shared" si="22"/>
        <v>0.00%</v>
      </c>
      <c r="AB50" s="2">
        <f>ROUND((AB41+AB30)*LEFT(AC50,5),0)</f>
        <v>0</v>
      </c>
      <c r="AC50" s="81" t="str">
        <f>TEXT('MYP Assumptions'!J60,"0.00%")&amp;", no rate change"</f>
        <v>0.80%, no rate change</v>
      </c>
    </row>
    <row r="51" spans="1:29" hidden="1" x14ac:dyDescent="0.25">
      <c r="A51" s="152"/>
      <c r="B51" s="939" t="s">
        <v>90</v>
      </c>
      <c r="C51" s="857" t="s">
        <v>92</v>
      </c>
      <c r="D51" s="2">
        <v>0</v>
      </c>
      <c r="E51" s="863"/>
      <c r="F51" s="2"/>
      <c r="G51" s="83" t="str">
        <f t="shared" si="17"/>
        <v>0.00%</v>
      </c>
      <c r="H51" s="2">
        <f>D51</f>
        <v>0</v>
      </c>
      <c r="I51" s="854" t="s">
        <v>166</v>
      </c>
      <c r="J51" s="66"/>
      <c r="K51" s="83" t="str">
        <f t="shared" si="18"/>
        <v>0.00%</v>
      </c>
      <c r="L51" s="2">
        <f>H51</f>
        <v>0</v>
      </c>
      <c r="M51" s="854" t="s">
        <v>166</v>
      </c>
      <c r="O51" s="83" t="str">
        <f t="shared" si="19"/>
        <v>0.00%</v>
      </c>
      <c r="P51" s="2">
        <f>L51</f>
        <v>0</v>
      </c>
      <c r="Q51" s="854" t="s">
        <v>166</v>
      </c>
      <c r="S51" s="83" t="str">
        <f t="shared" si="20"/>
        <v>0.00%</v>
      </c>
      <c r="T51" s="2">
        <f>P51</f>
        <v>0</v>
      </c>
      <c r="U51" s="81" t="s">
        <v>166</v>
      </c>
      <c r="W51" s="83" t="str">
        <f t="shared" si="21"/>
        <v>0.00%</v>
      </c>
      <c r="X51" s="2">
        <f>T51</f>
        <v>0</v>
      </c>
      <c r="Y51" s="81" t="s">
        <v>166</v>
      </c>
      <c r="AA51" s="83" t="str">
        <f t="shared" si="22"/>
        <v>0.00%</v>
      </c>
      <c r="AB51" s="2">
        <f>X51</f>
        <v>0</v>
      </c>
      <c r="AC51" s="81" t="s">
        <v>166</v>
      </c>
    </row>
    <row r="52" spans="1:29" hidden="1" x14ac:dyDescent="0.25">
      <c r="A52" s="152"/>
      <c r="B52" s="939" t="s">
        <v>91</v>
      </c>
      <c r="C52" s="857" t="s">
        <v>93</v>
      </c>
      <c r="D52" s="2">
        <v>0</v>
      </c>
      <c r="E52" s="863"/>
      <c r="F52" s="2"/>
      <c r="G52" s="83" t="str">
        <f t="shared" si="17"/>
        <v>0.00%</v>
      </c>
      <c r="H52" s="2">
        <f>D52</f>
        <v>0</v>
      </c>
      <c r="I52" s="854" t="s">
        <v>166</v>
      </c>
      <c r="J52" s="66"/>
      <c r="K52" s="83" t="str">
        <f t="shared" si="18"/>
        <v>0.00%</v>
      </c>
      <c r="L52" s="2">
        <f>H52</f>
        <v>0</v>
      </c>
      <c r="M52" s="854" t="s">
        <v>166</v>
      </c>
      <c r="O52" s="83" t="str">
        <f t="shared" si="19"/>
        <v>0.00%</v>
      </c>
      <c r="P52" s="2">
        <f>L52</f>
        <v>0</v>
      </c>
      <c r="Q52" s="854" t="s">
        <v>166</v>
      </c>
      <c r="S52" s="83" t="str">
        <f t="shared" si="20"/>
        <v>0.00%</v>
      </c>
      <c r="T52" s="2">
        <f>P52</f>
        <v>0</v>
      </c>
      <c r="U52" s="81" t="s">
        <v>166</v>
      </c>
      <c r="W52" s="83" t="str">
        <f t="shared" si="21"/>
        <v>0.00%</v>
      </c>
      <c r="X52" s="2">
        <f>T52</f>
        <v>0</v>
      </c>
      <c r="Y52" s="81" t="s">
        <v>166</v>
      </c>
      <c r="AA52" s="83" t="str">
        <f t="shared" si="22"/>
        <v>0.00%</v>
      </c>
      <c r="AB52" s="2">
        <f>X52</f>
        <v>0</v>
      </c>
      <c r="AC52" s="81" t="s">
        <v>166</v>
      </c>
    </row>
    <row r="53" spans="1:29" hidden="1" x14ac:dyDescent="0.25">
      <c r="A53" s="153"/>
      <c r="B53" s="939"/>
      <c r="D53" s="8">
        <f>SUM(D44:D52)</f>
        <v>0</v>
      </c>
      <c r="E53" s="863"/>
      <c r="F53" s="2"/>
      <c r="G53" s="83" t="str">
        <f t="shared" si="17"/>
        <v>0.00%</v>
      </c>
      <c r="H53" s="8">
        <f>SUM(H44:H52)</f>
        <v>0</v>
      </c>
      <c r="I53" s="872"/>
      <c r="J53" s="29"/>
      <c r="K53" s="83" t="str">
        <f t="shared" si="18"/>
        <v>0.00%</v>
      </c>
      <c r="L53" s="8">
        <f>SUM(L44:L52)</f>
        <v>0</v>
      </c>
      <c r="M53" s="948"/>
      <c r="O53" s="83" t="str">
        <f t="shared" si="19"/>
        <v>0.00%</v>
      </c>
      <c r="P53" s="8">
        <f>SUM(P44:P52)</f>
        <v>0</v>
      </c>
      <c r="Q53" s="948"/>
      <c r="S53" s="83" t="str">
        <f t="shared" si="20"/>
        <v>0.00%</v>
      </c>
      <c r="T53" s="8">
        <f>SUM(T44:T52)</f>
        <v>0</v>
      </c>
      <c r="U53" s="73"/>
      <c r="W53" s="83" t="str">
        <f t="shared" si="21"/>
        <v>0.00%</v>
      </c>
      <c r="X53" s="8">
        <f>SUM(X44:X52)</f>
        <v>0</v>
      </c>
      <c r="Y53" s="73"/>
      <c r="AA53" s="83" t="str">
        <f t="shared" si="22"/>
        <v>0.00%</v>
      </c>
      <c r="AB53" s="8">
        <f>SUM(AB44:AB52)</f>
        <v>0</v>
      </c>
      <c r="AC53" s="73"/>
    </row>
    <row r="54" spans="1:29" hidden="1" x14ac:dyDescent="0.25">
      <c r="A54" s="154"/>
      <c r="B54" s="939"/>
      <c r="E54" s="863"/>
      <c r="F54" s="2"/>
      <c r="H54" s="2"/>
      <c r="I54" s="871"/>
      <c r="J54" s="66"/>
      <c r="L54" s="2"/>
      <c r="M54" s="948"/>
      <c r="Q54" s="948"/>
      <c r="T54" s="2"/>
      <c r="U54" s="73"/>
      <c r="X54" s="2"/>
      <c r="Y54" s="73"/>
      <c r="AB54" s="2"/>
      <c r="AC54" s="73"/>
    </row>
    <row r="55" spans="1:29" hidden="1" x14ac:dyDescent="0.25">
      <c r="A55" s="153"/>
      <c r="B55" s="936" t="s">
        <v>26</v>
      </c>
      <c r="D55" s="8">
        <f>SUM(D53,D41,D30)</f>
        <v>0</v>
      </c>
      <c r="E55" s="863"/>
      <c r="F55" s="2"/>
      <c r="G55" s="83" t="str">
        <f>IF(D55=0,"0.00%",(H55-D55)/D55)</f>
        <v>0.00%</v>
      </c>
      <c r="H55" s="8">
        <f>SUM(H53,H41,H30)</f>
        <v>0</v>
      </c>
      <c r="I55" s="872"/>
      <c r="J55" s="29"/>
      <c r="K55" s="83" t="str">
        <f>IF(H55=0,"0.00%",(L55-H55)/H55)</f>
        <v>0.00%</v>
      </c>
      <c r="L55" s="8">
        <f>SUM(L53,L41,L30)</f>
        <v>0</v>
      </c>
      <c r="M55" s="948"/>
      <c r="O55" s="83" t="str">
        <f>IF(L55=0,"0.00%",(P55-L55)/L55)</f>
        <v>0.00%</v>
      </c>
      <c r="P55" s="8">
        <f>SUM(P53,P41,P30)</f>
        <v>0</v>
      </c>
      <c r="Q55" s="948"/>
      <c r="S55" s="83" t="str">
        <f>IF(P55=0,"0.00%",(T55-P55)/P55)</f>
        <v>0.00%</v>
      </c>
      <c r="T55" s="8">
        <f>SUM(T53,T41,T30)</f>
        <v>0</v>
      </c>
      <c r="U55" s="73"/>
      <c r="W55" s="83" t="str">
        <f>IF(T55=0,"0.00%",(X55-T55)/T55)</f>
        <v>0.00%</v>
      </c>
      <c r="X55" s="8">
        <f>SUM(X53,X41,X30)</f>
        <v>0</v>
      </c>
      <c r="Y55" s="73"/>
      <c r="AA55" s="83" t="str">
        <f>IF(X55=0,"0.00%",(AB55-X55)/X55)</f>
        <v>0.00%</v>
      </c>
      <c r="AB55" s="8">
        <f>SUM(AB53,AB41,AB30)</f>
        <v>0</v>
      </c>
      <c r="AC55" s="73"/>
    </row>
    <row r="56" spans="1:29" hidden="1" x14ac:dyDescent="0.25">
      <c r="A56" s="155"/>
      <c r="E56" s="863"/>
      <c r="F56" s="2"/>
      <c r="H56" s="2"/>
      <c r="I56" s="871"/>
      <c r="J56" s="66"/>
      <c r="L56" s="2"/>
      <c r="M56" s="948"/>
      <c r="Q56" s="948"/>
      <c r="T56" s="2"/>
      <c r="U56" s="73"/>
      <c r="X56" s="2"/>
      <c r="Y56" s="73"/>
      <c r="AB56" s="2"/>
      <c r="AC56" s="73"/>
    </row>
    <row r="57" spans="1:29" hidden="1" x14ac:dyDescent="0.25">
      <c r="A57" s="152"/>
      <c r="E57" s="863"/>
      <c r="F57" s="2"/>
      <c r="H57" s="2"/>
      <c r="I57" s="871"/>
      <c r="J57" s="66"/>
      <c r="L57" s="2"/>
      <c r="M57" s="948"/>
      <c r="Q57" s="948"/>
      <c r="T57" s="2"/>
      <c r="U57" s="73"/>
      <c r="X57" s="2"/>
      <c r="Y57" s="73"/>
      <c r="AB57" s="2"/>
      <c r="AC57" s="73"/>
    </row>
    <row r="58" spans="1:29" x14ac:dyDescent="0.25">
      <c r="A58" s="155"/>
      <c r="B58" s="940" t="s">
        <v>25</v>
      </c>
      <c r="C58" s="873"/>
      <c r="E58" s="863"/>
      <c r="F58" s="2"/>
      <c r="H58" s="2"/>
      <c r="I58" s="871"/>
      <c r="J58" s="66"/>
      <c r="L58" s="2"/>
      <c r="M58" s="948"/>
      <c r="Q58" s="948"/>
      <c r="T58" s="2"/>
      <c r="U58" s="73"/>
      <c r="X58" s="2"/>
      <c r="Y58" s="73"/>
      <c r="AB58" s="2"/>
      <c r="AC58" s="73"/>
    </row>
    <row r="59" spans="1:29" x14ac:dyDescent="0.25">
      <c r="A59" s="152"/>
      <c r="B59" s="939">
        <v>4310</v>
      </c>
      <c r="C59" s="857" t="s">
        <v>325</v>
      </c>
      <c r="D59" s="2">
        <v>0</v>
      </c>
      <c r="E59" s="863"/>
      <c r="F59" s="2"/>
      <c r="G59" s="83" t="str">
        <f t="shared" ref="G59:G66" si="23">IF(D59=0,"0.00%",(H59-D59)/D59)</f>
        <v>0.00%</v>
      </c>
      <c r="H59" s="3">
        <v>8623</v>
      </c>
      <c r="I59" s="928" t="s">
        <v>174</v>
      </c>
      <c r="J59" s="61"/>
      <c r="K59" s="83">
        <f>IF(H59=0,"0.00%",(L59-H59)/H59)</f>
        <v>-1</v>
      </c>
      <c r="L59" s="3">
        <v>0</v>
      </c>
      <c r="M59" s="928" t="s">
        <v>174</v>
      </c>
      <c r="O59" s="83" t="str">
        <f>IF(L59=0,"0.00%",(P59-L59)/L59)</f>
        <v>0.00%</v>
      </c>
      <c r="P59" s="3">
        <f>+L59</f>
        <v>0</v>
      </c>
      <c r="Q59" s="928" t="s">
        <v>174</v>
      </c>
      <c r="S59" s="83" t="str">
        <f>IF(P59=0,"0.00%",(T59-P59)/P59)</f>
        <v>0.00%</v>
      </c>
      <c r="T59" s="3">
        <f>+P59</f>
        <v>0</v>
      </c>
      <c r="U59" s="105" t="s">
        <v>174</v>
      </c>
      <c r="W59" s="83" t="str">
        <f t="shared" ref="W59:W66" si="24">IF(T59=0,"0.00%",(X59-T59)/T59)</f>
        <v>0.00%</v>
      </c>
      <c r="X59" s="2">
        <f>ROUND(T59*(LEFT(Y59,5)+1),0)</f>
        <v>0</v>
      </c>
      <c r="Y59" s="81" t="str">
        <f>TEXT('MYP Assumptions'!I75,"0.00%")&amp;", CPI"</f>
        <v>2.73%, CPI</v>
      </c>
      <c r="AA59" s="83" t="str">
        <f t="shared" ref="AA59:AA66" si="25">IF(X59=0,"0.00%",(AB59-X59)/X59)</f>
        <v>0.00%</v>
      </c>
      <c r="AB59" s="2">
        <f>ROUND(X59*(LEFT(AC59,5)+1),0)</f>
        <v>0</v>
      </c>
      <c r="AC59" s="81" t="str">
        <f>TEXT('MYP Assumptions'!J75,"0.00%")&amp;", CPI"</f>
        <v>2.73%, CPI</v>
      </c>
    </row>
    <row r="60" spans="1:29" hidden="1" x14ac:dyDescent="0.25">
      <c r="A60" s="152"/>
      <c r="B60" s="939"/>
      <c r="D60" s="2">
        <v>0</v>
      </c>
      <c r="E60" s="863"/>
      <c r="F60" s="2"/>
      <c r="G60" s="83" t="str">
        <f t="shared" si="23"/>
        <v>0.00%</v>
      </c>
      <c r="H60" s="2">
        <f t="shared" ref="H60:H65" si="26">ROUND(D60*(LEFT(I60,5)+1),0)</f>
        <v>0</v>
      </c>
      <c r="I60" s="854" t="str">
        <f>TEXT('MYP Assumptions'!E75,"0.00%")&amp;", CPI"</f>
        <v>3.42%, CPI</v>
      </c>
      <c r="J60" s="66"/>
      <c r="K60" s="83" t="str">
        <f t="shared" ref="K60:K66" si="27">IF(H60=0,"0.00%",(L60-H60)/H60)</f>
        <v>0.00%</v>
      </c>
      <c r="L60" s="2">
        <f t="shared" ref="L60:L65" si="28">ROUND(H60*(LEFT(M60,5)+1),0)</f>
        <v>0</v>
      </c>
      <c r="M60" s="854" t="str">
        <f>TEXT('MYP Assumptions'!F75,"0.00%")&amp;", CPI"</f>
        <v>3.35%, CPI</v>
      </c>
      <c r="O60" s="83" t="str">
        <f t="shared" ref="O60:O66" si="29">IF(L60=0,"0.00%",(P60-L60)/L60)</f>
        <v>0.00%</v>
      </c>
      <c r="P60" s="2">
        <f t="shared" ref="P60:P65" si="30">ROUND(L60*(LEFT(Q60,5)+1),0)</f>
        <v>0</v>
      </c>
      <c r="Q60" s="854" t="str">
        <f>TEXT('MYP Assumptions'!G75,"0.00%")&amp;", CPI"</f>
        <v>3.02%, CPI</v>
      </c>
      <c r="S60" s="83" t="str">
        <f t="shared" ref="S60:S66" si="31">IF(P60=0,"0.00%",(T60-P60)/P60)</f>
        <v>0.00%</v>
      </c>
      <c r="T60" s="2">
        <f t="shared" ref="T60:T65" si="32">ROUND(P60*(LEFT(U60,5)+1),0)</f>
        <v>0</v>
      </c>
      <c r="U60" s="81" t="str">
        <f>TEXT('MYP Assumptions'!H75,"0.00%")&amp;", CPI"</f>
        <v>2.73%, CPI</v>
      </c>
      <c r="W60" s="83" t="str">
        <f t="shared" si="24"/>
        <v>0.00%</v>
      </c>
      <c r="X60" s="2">
        <f t="shared" ref="X60:X65" si="33">ROUND(T60*(LEFT(Y60,5)+1),0)</f>
        <v>0</v>
      </c>
      <c r="Y60" s="81" t="str">
        <f>TEXT('MYP Assumptions'!I75,"0.00%")&amp;", CPI"</f>
        <v>2.73%, CPI</v>
      </c>
      <c r="AA60" s="83" t="str">
        <f t="shared" si="25"/>
        <v>0.00%</v>
      </c>
      <c r="AB60" s="2">
        <f t="shared" ref="AB60:AB65" si="34">ROUND(X60*(LEFT(AC60,5)+1),0)</f>
        <v>0</v>
      </c>
      <c r="AC60" s="81" t="str">
        <f>TEXT('MYP Assumptions'!J75,"0.00%")&amp;", CPI"</f>
        <v>2.73%, CPI</v>
      </c>
    </row>
    <row r="61" spans="1:29" hidden="1" x14ac:dyDescent="0.25">
      <c r="A61" s="152"/>
      <c r="B61" s="939"/>
      <c r="D61" s="2">
        <v>0</v>
      </c>
      <c r="E61" s="863"/>
      <c r="F61" s="2"/>
      <c r="G61" s="83" t="str">
        <f t="shared" si="23"/>
        <v>0.00%</v>
      </c>
      <c r="H61" s="2">
        <f t="shared" si="26"/>
        <v>0</v>
      </c>
      <c r="I61" s="854" t="str">
        <f>TEXT('MYP Assumptions'!E75,"0.00%")&amp;", CPI"</f>
        <v>3.42%, CPI</v>
      </c>
      <c r="J61" s="66"/>
      <c r="K61" s="83" t="str">
        <f t="shared" si="27"/>
        <v>0.00%</v>
      </c>
      <c r="L61" s="2">
        <f t="shared" si="28"/>
        <v>0</v>
      </c>
      <c r="M61" s="854" t="str">
        <f>TEXT('MYP Assumptions'!F75,"0.00%")&amp;", CPI"</f>
        <v>3.35%, CPI</v>
      </c>
      <c r="O61" s="83" t="str">
        <f t="shared" si="29"/>
        <v>0.00%</v>
      </c>
      <c r="P61" s="2">
        <f t="shared" si="30"/>
        <v>0</v>
      </c>
      <c r="Q61" s="854" t="str">
        <f>TEXT('MYP Assumptions'!G75,"0.00%")&amp;", CPI"</f>
        <v>3.02%, CPI</v>
      </c>
      <c r="S61" s="83" t="str">
        <f t="shared" si="31"/>
        <v>0.00%</v>
      </c>
      <c r="T61" s="2">
        <f t="shared" si="32"/>
        <v>0</v>
      </c>
      <c r="U61" s="81" t="str">
        <f>TEXT('MYP Assumptions'!H75,"0.00%")&amp;", CPI"</f>
        <v>2.73%, CPI</v>
      </c>
      <c r="W61" s="83" t="str">
        <f t="shared" si="24"/>
        <v>0.00%</v>
      </c>
      <c r="X61" s="2">
        <f t="shared" si="33"/>
        <v>0</v>
      </c>
      <c r="Y61" s="81" t="str">
        <f>TEXT('MYP Assumptions'!I75,"0.00%")&amp;", CPI"</f>
        <v>2.73%, CPI</v>
      </c>
      <c r="AA61" s="83" t="str">
        <f t="shared" si="25"/>
        <v>0.00%</v>
      </c>
      <c r="AB61" s="2">
        <f t="shared" si="34"/>
        <v>0</v>
      </c>
      <c r="AC61" s="81" t="str">
        <f>TEXT('MYP Assumptions'!J75,"0.00%")&amp;", CPI"</f>
        <v>2.73%, CPI</v>
      </c>
    </row>
    <row r="62" spans="1:29" hidden="1" x14ac:dyDescent="0.25">
      <c r="A62" s="152"/>
      <c r="B62" s="939"/>
      <c r="D62" s="2">
        <v>0</v>
      </c>
      <c r="E62" s="863"/>
      <c r="F62" s="2"/>
      <c r="G62" s="83" t="str">
        <f t="shared" si="23"/>
        <v>0.00%</v>
      </c>
      <c r="H62" s="2">
        <f t="shared" si="26"/>
        <v>0</v>
      </c>
      <c r="I62" s="854" t="str">
        <f>TEXT('MYP Assumptions'!E75,"0.00%")&amp;", CPI"</f>
        <v>3.42%, CPI</v>
      </c>
      <c r="J62" s="66"/>
      <c r="K62" s="83" t="str">
        <f t="shared" si="27"/>
        <v>0.00%</v>
      </c>
      <c r="L62" s="2">
        <f t="shared" si="28"/>
        <v>0</v>
      </c>
      <c r="M62" s="854" t="str">
        <f>TEXT('MYP Assumptions'!F75,"0.00%")&amp;", CPI"</f>
        <v>3.35%, CPI</v>
      </c>
      <c r="O62" s="83" t="str">
        <f t="shared" si="29"/>
        <v>0.00%</v>
      </c>
      <c r="P62" s="2">
        <f t="shared" si="30"/>
        <v>0</v>
      </c>
      <c r="Q62" s="854" t="str">
        <f>TEXT('MYP Assumptions'!G75,"0.00%")&amp;", CPI"</f>
        <v>3.02%, CPI</v>
      </c>
      <c r="S62" s="83" t="str">
        <f t="shared" si="31"/>
        <v>0.00%</v>
      </c>
      <c r="T62" s="2">
        <f t="shared" si="32"/>
        <v>0</v>
      </c>
      <c r="U62" s="81" t="str">
        <f>TEXT('MYP Assumptions'!H75,"0.00%")&amp;", CPI"</f>
        <v>2.73%, CPI</v>
      </c>
      <c r="W62" s="83" t="str">
        <f t="shared" si="24"/>
        <v>0.00%</v>
      </c>
      <c r="X62" s="2">
        <f t="shared" si="33"/>
        <v>0</v>
      </c>
      <c r="Y62" s="81" t="str">
        <f>TEXT('MYP Assumptions'!I75,"0.00%")&amp;", CPI"</f>
        <v>2.73%, CPI</v>
      </c>
      <c r="AA62" s="83" t="str">
        <f t="shared" si="25"/>
        <v>0.00%</v>
      </c>
      <c r="AB62" s="2">
        <f t="shared" si="34"/>
        <v>0</v>
      </c>
      <c r="AC62" s="81" t="str">
        <f>TEXT('MYP Assumptions'!J75,"0.00%")&amp;", CPI"</f>
        <v>2.73%, CPI</v>
      </c>
    </row>
    <row r="63" spans="1:29" hidden="1" x14ac:dyDescent="0.25">
      <c r="A63" s="152"/>
      <c r="B63" s="939"/>
      <c r="D63" s="2">
        <v>0</v>
      </c>
      <c r="E63" s="863"/>
      <c r="F63" s="2"/>
      <c r="G63" s="83" t="str">
        <f t="shared" si="23"/>
        <v>0.00%</v>
      </c>
      <c r="H63" s="2">
        <f t="shared" si="26"/>
        <v>0</v>
      </c>
      <c r="I63" s="854" t="str">
        <f>TEXT('MYP Assumptions'!E75,"0.00%")&amp;", CPI"</f>
        <v>3.42%, CPI</v>
      </c>
      <c r="J63" s="66"/>
      <c r="K63" s="83" t="str">
        <f t="shared" si="27"/>
        <v>0.00%</v>
      </c>
      <c r="L63" s="2">
        <f t="shared" si="28"/>
        <v>0</v>
      </c>
      <c r="M63" s="854" t="str">
        <f>TEXT('MYP Assumptions'!F75,"0.00%")&amp;", CPI"</f>
        <v>3.35%, CPI</v>
      </c>
      <c r="O63" s="83" t="str">
        <f t="shared" si="29"/>
        <v>0.00%</v>
      </c>
      <c r="P63" s="2">
        <f t="shared" si="30"/>
        <v>0</v>
      </c>
      <c r="Q63" s="854" t="str">
        <f>TEXT('MYP Assumptions'!G75,"0.00%")&amp;", CPI"</f>
        <v>3.02%, CPI</v>
      </c>
      <c r="S63" s="83" t="str">
        <f t="shared" si="31"/>
        <v>0.00%</v>
      </c>
      <c r="T63" s="2">
        <f t="shared" si="32"/>
        <v>0</v>
      </c>
      <c r="U63" s="81" t="str">
        <f>TEXT('MYP Assumptions'!H75,"0.00%")&amp;", CPI"</f>
        <v>2.73%, CPI</v>
      </c>
      <c r="W63" s="83" t="str">
        <f t="shared" si="24"/>
        <v>0.00%</v>
      </c>
      <c r="X63" s="2">
        <f t="shared" si="33"/>
        <v>0</v>
      </c>
      <c r="Y63" s="81" t="str">
        <f>TEXT('MYP Assumptions'!I75,"0.00%")&amp;", CPI"</f>
        <v>2.73%, CPI</v>
      </c>
      <c r="AA63" s="83" t="str">
        <f t="shared" si="25"/>
        <v>0.00%</v>
      </c>
      <c r="AB63" s="2">
        <f t="shared" si="34"/>
        <v>0</v>
      </c>
      <c r="AC63" s="81" t="str">
        <f>TEXT('MYP Assumptions'!J75,"0.00%")&amp;", CPI"</f>
        <v>2.73%, CPI</v>
      </c>
    </row>
    <row r="64" spans="1:29" hidden="1" x14ac:dyDescent="0.25">
      <c r="A64" s="152"/>
      <c r="B64" s="939"/>
      <c r="D64" s="2">
        <v>0</v>
      </c>
      <c r="E64" s="863"/>
      <c r="F64" s="2"/>
      <c r="G64" s="83" t="str">
        <f t="shared" si="23"/>
        <v>0.00%</v>
      </c>
      <c r="H64" s="2">
        <f t="shared" si="26"/>
        <v>0</v>
      </c>
      <c r="I64" s="854" t="str">
        <f>TEXT('MYP Assumptions'!E75,"0.00%")&amp;", CPI"</f>
        <v>3.42%, CPI</v>
      </c>
      <c r="J64" s="66"/>
      <c r="K64" s="83" t="str">
        <f t="shared" si="27"/>
        <v>0.00%</v>
      </c>
      <c r="L64" s="2">
        <f t="shared" si="28"/>
        <v>0</v>
      </c>
      <c r="M64" s="854" t="str">
        <f>TEXT('MYP Assumptions'!F75,"0.00%")&amp;", CPI"</f>
        <v>3.35%, CPI</v>
      </c>
      <c r="O64" s="83" t="str">
        <f t="shared" si="29"/>
        <v>0.00%</v>
      </c>
      <c r="P64" s="2">
        <f t="shared" si="30"/>
        <v>0</v>
      </c>
      <c r="Q64" s="854" t="str">
        <f>TEXT('MYP Assumptions'!G75,"0.00%")&amp;", CPI"</f>
        <v>3.02%, CPI</v>
      </c>
      <c r="S64" s="83" t="str">
        <f t="shared" si="31"/>
        <v>0.00%</v>
      </c>
      <c r="T64" s="2">
        <f t="shared" si="32"/>
        <v>0</v>
      </c>
      <c r="U64" s="81" t="str">
        <f>TEXT('MYP Assumptions'!H75,"0.00%")&amp;", CPI"</f>
        <v>2.73%, CPI</v>
      </c>
      <c r="W64" s="83" t="str">
        <f t="shared" si="24"/>
        <v>0.00%</v>
      </c>
      <c r="X64" s="2">
        <f t="shared" si="33"/>
        <v>0</v>
      </c>
      <c r="Y64" s="81" t="str">
        <f>TEXT('MYP Assumptions'!I75,"0.00%")&amp;", CPI"</f>
        <v>2.73%, CPI</v>
      </c>
      <c r="AA64" s="83" t="str">
        <f t="shared" si="25"/>
        <v>0.00%</v>
      </c>
      <c r="AB64" s="2">
        <f t="shared" si="34"/>
        <v>0</v>
      </c>
      <c r="AC64" s="81" t="str">
        <f>TEXT('MYP Assumptions'!J75,"0.00%")&amp;", CPI"</f>
        <v>2.73%, CPI</v>
      </c>
    </row>
    <row r="65" spans="1:29" hidden="1" x14ac:dyDescent="0.25">
      <c r="A65" s="152"/>
      <c r="B65" s="939"/>
      <c r="C65" s="941"/>
      <c r="D65" s="2">
        <v>0</v>
      </c>
      <c r="E65" s="863"/>
      <c r="F65" s="2"/>
      <c r="G65" s="83" t="str">
        <f t="shared" si="23"/>
        <v>0.00%</v>
      </c>
      <c r="H65" s="2">
        <f t="shared" si="26"/>
        <v>0</v>
      </c>
      <c r="I65" s="854" t="str">
        <f>TEXT('MYP Assumptions'!E75,"0.00%")&amp;", CPI"</f>
        <v>3.42%, CPI</v>
      </c>
      <c r="J65" s="66"/>
      <c r="K65" s="83" t="str">
        <f t="shared" si="27"/>
        <v>0.00%</v>
      </c>
      <c r="L65" s="2">
        <f t="shared" si="28"/>
        <v>0</v>
      </c>
      <c r="M65" s="854" t="str">
        <f>TEXT('MYP Assumptions'!F75,"0.00%")&amp;", CPI"</f>
        <v>3.35%, CPI</v>
      </c>
      <c r="O65" s="83" t="str">
        <f t="shared" si="29"/>
        <v>0.00%</v>
      </c>
      <c r="P65" s="2">
        <f t="shared" si="30"/>
        <v>0</v>
      </c>
      <c r="Q65" s="854" t="str">
        <f>TEXT('MYP Assumptions'!G75,"0.00%")&amp;", CPI"</f>
        <v>3.02%, CPI</v>
      </c>
      <c r="S65" s="83" t="str">
        <f t="shared" si="31"/>
        <v>0.00%</v>
      </c>
      <c r="T65" s="2">
        <f t="shared" si="32"/>
        <v>0</v>
      </c>
      <c r="U65" s="81" t="str">
        <f>TEXT('MYP Assumptions'!H75,"0.00%")&amp;", CPI"</f>
        <v>2.73%, CPI</v>
      </c>
      <c r="W65" s="83" t="str">
        <f t="shared" si="24"/>
        <v>0.00%</v>
      </c>
      <c r="X65" s="2">
        <f t="shared" si="33"/>
        <v>0</v>
      </c>
      <c r="Y65" s="81" t="str">
        <f>TEXT('MYP Assumptions'!I75,"0.00%")&amp;", CPI"</f>
        <v>2.73%, CPI</v>
      </c>
      <c r="AA65" s="83" t="str">
        <f t="shared" si="25"/>
        <v>0.00%</v>
      </c>
      <c r="AB65" s="2">
        <f t="shared" si="34"/>
        <v>0</v>
      </c>
      <c r="AC65" s="81" t="str">
        <f>TEXT('MYP Assumptions'!J75,"0.00%")&amp;", CPI"</f>
        <v>2.73%, CPI</v>
      </c>
    </row>
    <row r="66" spans="1:29" x14ac:dyDescent="0.25">
      <c r="A66" s="153"/>
      <c r="B66" s="857"/>
      <c r="D66" s="8">
        <f>SUM(D59:D65)</f>
        <v>0</v>
      </c>
      <c r="E66" s="863"/>
      <c r="F66" s="2"/>
      <c r="G66" s="83" t="str">
        <f t="shared" si="23"/>
        <v>0.00%</v>
      </c>
      <c r="H66" s="8">
        <f>SUM(H59:H65)</f>
        <v>8623</v>
      </c>
      <c r="I66" s="872"/>
      <c r="J66" s="29"/>
      <c r="K66" s="83">
        <f t="shared" si="27"/>
        <v>-1</v>
      </c>
      <c r="L66" s="8">
        <f>SUM(L59:L65)</f>
        <v>0</v>
      </c>
      <c r="M66" s="948"/>
      <c r="O66" s="83" t="str">
        <f t="shared" si="29"/>
        <v>0.00%</v>
      </c>
      <c r="P66" s="8">
        <f>SUM(P59:P65)</f>
        <v>0</v>
      </c>
      <c r="Q66" s="948"/>
      <c r="S66" s="83" t="str">
        <f t="shared" si="31"/>
        <v>0.00%</v>
      </c>
      <c r="T66" s="8">
        <f>SUM(T59:T65)</f>
        <v>0</v>
      </c>
      <c r="U66" s="73"/>
      <c r="W66" s="83" t="str">
        <f t="shared" si="24"/>
        <v>0.00%</v>
      </c>
      <c r="X66" s="8">
        <f>SUM(X59:X65)</f>
        <v>0</v>
      </c>
      <c r="Y66" s="73"/>
      <c r="AA66" s="83" t="str">
        <f t="shared" si="25"/>
        <v>0.00%</v>
      </c>
      <c r="AB66" s="8">
        <f>SUM(AB59:AB65)</f>
        <v>0</v>
      </c>
      <c r="AC66" s="73"/>
    </row>
    <row r="67" spans="1:29" hidden="1" x14ac:dyDescent="0.25">
      <c r="A67" s="152"/>
      <c r="E67" s="863"/>
      <c r="F67" s="2"/>
      <c r="H67" s="2"/>
      <c r="I67" s="871"/>
      <c r="J67" s="66"/>
      <c r="L67" s="2"/>
      <c r="M67" s="948"/>
      <c r="Q67" s="948"/>
      <c r="T67" s="2"/>
      <c r="U67" s="73"/>
      <c r="X67" s="2"/>
      <c r="Y67" s="73"/>
      <c r="AB67" s="2"/>
      <c r="AC67" s="73"/>
    </row>
    <row r="68" spans="1:29" s="4" customFormat="1" hidden="1" x14ac:dyDescent="0.25">
      <c r="A68" s="150"/>
      <c r="B68" s="936" t="s">
        <v>16</v>
      </c>
      <c r="C68" s="873"/>
      <c r="D68" s="6"/>
      <c r="E68" s="864"/>
      <c r="F68" s="6"/>
      <c r="G68" s="373"/>
      <c r="H68" s="6"/>
      <c r="I68" s="873"/>
      <c r="J68" s="58"/>
      <c r="K68" s="380"/>
      <c r="L68" s="6"/>
      <c r="M68" s="950"/>
      <c r="O68" s="380"/>
      <c r="P68" s="6"/>
      <c r="Q68" s="950"/>
      <c r="R68" s="111"/>
      <c r="U68" s="71"/>
      <c r="Y68" s="71"/>
      <c r="AC68" s="71"/>
    </row>
    <row r="69" spans="1:29" hidden="1" x14ac:dyDescent="0.25">
      <c r="A69" s="152"/>
      <c r="B69" s="939">
        <v>5813</v>
      </c>
      <c r="C69" s="857" t="s">
        <v>6</v>
      </c>
      <c r="D69" s="2">
        <v>0</v>
      </c>
      <c r="E69" s="863"/>
      <c r="F69" s="2"/>
      <c r="G69" s="83" t="str">
        <f t="shared" ref="G69:G74" si="35">IF(D69=0,"0.00%",(H69-D69)/D69)</f>
        <v>0.00%</v>
      </c>
      <c r="H69" s="3">
        <f>+D69</f>
        <v>0</v>
      </c>
      <c r="I69" s="928" t="s">
        <v>174</v>
      </c>
      <c r="J69" s="61"/>
      <c r="K69" s="83" t="str">
        <f>IF(H69=0,"0.00%",(L69-H69)/H69)</f>
        <v>0.00%</v>
      </c>
      <c r="L69" s="3">
        <f>+H69</f>
        <v>0</v>
      </c>
      <c r="M69" s="928" t="s">
        <v>174</v>
      </c>
      <c r="O69" s="83" t="str">
        <f>IF(L69=0,"0.00%",(P69-L69)/L69)</f>
        <v>0.00%</v>
      </c>
      <c r="P69" s="3">
        <f>+L69</f>
        <v>0</v>
      </c>
      <c r="Q69" s="928" t="s">
        <v>174</v>
      </c>
      <c r="S69" s="83" t="str">
        <f>IF(P69=0,"0.00%",(T69-P69)/P69)</f>
        <v>0.00%</v>
      </c>
      <c r="T69" s="3">
        <f>+P69</f>
        <v>0</v>
      </c>
      <c r="U69" s="105" t="s">
        <v>174</v>
      </c>
      <c r="W69" s="83" t="str">
        <f t="shared" ref="W69:W82" si="36">IF(T69=0,"0.00%",(X69-T69)/T69)</f>
        <v>0.00%</v>
      </c>
      <c r="X69" s="2">
        <f>ROUND(T69*(LEFT(Y69,5)+1),0)</f>
        <v>0</v>
      </c>
      <c r="Y69" s="81" t="str">
        <f>TEXT('MYP Assumptions'!I75,"0.00%")&amp;", CPI"</f>
        <v>2.73%, CPI</v>
      </c>
      <c r="AA69" s="83" t="str">
        <f t="shared" ref="AA69:AA82" si="37">IF(X69=0,"0.00%",(AB69-X69)/X69)</f>
        <v>0.00%</v>
      </c>
      <c r="AB69" s="2">
        <f>ROUND(X69*(LEFT(AC69,5)+1),0)</f>
        <v>0</v>
      </c>
      <c r="AC69" s="81" t="str">
        <f>TEXT('MYP Assumptions'!J75,"0.00%")&amp;", CPI"</f>
        <v>2.73%, CPI</v>
      </c>
    </row>
    <row r="70" spans="1:29" hidden="1" x14ac:dyDescent="0.25">
      <c r="A70" s="152"/>
      <c r="B70" s="939"/>
      <c r="D70" s="2">
        <v>0</v>
      </c>
      <c r="E70" s="863"/>
      <c r="F70" s="2"/>
      <c r="G70" s="83" t="str">
        <f t="shared" si="35"/>
        <v>0.00%</v>
      </c>
      <c r="H70" s="2">
        <f>ROUND(D70*(LEFT(I70,5)+1),0)</f>
        <v>0</v>
      </c>
      <c r="I70" s="854" t="str">
        <f>TEXT('MYP Assumptions'!E75,"0.00%")&amp;", CPI"</f>
        <v>3.42%, CPI</v>
      </c>
      <c r="J70" s="66"/>
      <c r="K70" s="83" t="str">
        <f t="shared" ref="K70:K82" si="38">IF(H70=0,"0.00%",(L70-H70)/H70)</f>
        <v>0.00%</v>
      </c>
      <c r="L70" s="2">
        <f t="shared" ref="L70:L81" si="39">ROUND(H70*(LEFT(M70,5)+1),0)</f>
        <v>0</v>
      </c>
      <c r="M70" s="854" t="str">
        <f>TEXT('MYP Assumptions'!F75,"0.00%")&amp;", CPI"</f>
        <v>3.35%, CPI</v>
      </c>
      <c r="O70" s="83" t="str">
        <f t="shared" ref="O70:O82" si="40">IF(L70=0,"0.00%",(P70-L70)/L70)</f>
        <v>0.00%</v>
      </c>
      <c r="P70" s="2">
        <f t="shared" ref="P70:P81" si="41">ROUND(L70*(LEFT(Q70,5)+1),0)</f>
        <v>0</v>
      </c>
      <c r="Q70" s="854" t="str">
        <f>TEXT('MYP Assumptions'!G75,"0.00%")&amp;", CPI"</f>
        <v>3.02%, CPI</v>
      </c>
      <c r="S70" s="83" t="str">
        <f t="shared" ref="S70:S82" si="42">IF(P70=0,"0.00%",(T70-P70)/P70)</f>
        <v>0.00%</v>
      </c>
      <c r="T70" s="2">
        <f t="shared" ref="T70:T81" si="43">ROUND(P70*(LEFT(U70,5)+1),0)</f>
        <v>0</v>
      </c>
      <c r="U70" s="81" t="str">
        <f>TEXT('MYP Assumptions'!H75,"0.00%")&amp;", CPI"</f>
        <v>2.73%, CPI</v>
      </c>
      <c r="W70" s="83" t="str">
        <f t="shared" si="36"/>
        <v>0.00%</v>
      </c>
      <c r="X70" s="2">
        <f t="shared" ref="X70:X81" si="44">ROUND(T70*(LEFT(Y70,5)+1),0)</f>
        <v>0</v>
      </c>
      <c r="Y70" s="81" t="str">
        <f>TEXT('MYP Assumptions'!I75,"0.00%")&amp;", CPI"</f>
        <v>2.73%, CPI</v>
      </c>
      <c r="AA70" s="83" t="str">
        <f t="shared" si="37"/>
        <v>0.00%</v>
      </c>
      <c r="AB70" s="2">
        <f t="shared" ref="AB70:AB81" si="45">ROUND(X70*(LEFT(AC70,5)+1),0)</f>
        <v>0</v>
      </c>
      <c r="AC70" s="81" t="str">
        <f>TEXT('MYP Assumptions'!J75,"0.00%")&amp;", CPI"</f>
        <v>2.73%, CPI</v>
      </c>
    </row>
    <row r="71" spans="1:29" hidden="1" x14ac:dyDescent="0.25">
      <c r="A71" s="152"/>
      <c r="B71" s="939"/>
      <c r="D71" s="2">
        <v>0</v>
      </c>
      <c r="E71" s="863"/>
      <c r="F71" s="2"/>
      <c r="G71" s="83" t="str">
        <f t="shared" si="35"/>
        <v>0.00%</v>
      </c>
      <c r="H71" s="2">
        <f t="shared" ref="H71:H76" si="46">ROUND(D71*(LEFT(I71,5)+1),0)</f>
        <v>0</v>
      </c>
      <c r="I71" s="854" t="str">
        <f>TEXT('MYP Assumptions'!E75,"0.00%")&amp;", CPI"</f>
        <v>3.42%, CPI</v>
      </c>
      <c r="J71" s="66"/>
      <c r="K71" s="83" t="str">
        <f t="shared" si="38"/>
        <v>0.00%</v>
      </c>
      <c r="L71" s="2">
        <f t="shared" si="39"/>
        <v>0</v>
      </c>
      <c r="M71" s="854" t="str">
        <f>TEXT('MYP Assumptions'!F75,"0.00%")&amp;", CPI"</f>
        <v>3.35%, CPI</v>
      </c>
      <c r="O71" s="83" t="str">
        <f t="shared" si="40"/>
        <v>0.00%</v>
      </c>
      <c r="P71" s="2">
        <f t="shared" si="41"/>
        <v>0</v>
      </c>
      <c r="Q71" s="854" t="str">
        <f>TEXT('MYP Assumptions'!G75,"0.00%")&amp;", CPI"</f>
        <v>3.02%, CPI</v>
      </c>
      <c r="S71" s="83" t="str">
        <f t="shared" si="42"/>
        <v>0.00%</v>
      </c>
      <c r="T71" s="2">
        <f t="shared" si="43"/>
        <v>0</v>
      </c>
      <c r="U71" s="81" t="str">
        <f>TEXT('MYP Assumptions'!H75,"0.00%")&amp;", CPI"</f>
        <v>2.73%, CPI</v>
      </c>
      <c r="W71" s="83" t="str">
        <f t="shared" si="36"/>
        <v>0.00%</v>
      </c>
      <c r="X71" s="2">
        <f t="shared" si="44"/>
        <v>0</v>
      </c>
      <c r="Y71" s="81" t="str">
        <f>TEXT('MYP Assumptions'!I75,"0.00%")&amp;", CPI"</f>
        <v>2.73%, CPI</v>
      </c>
      <c r="AA71" s="83" t="str">
        <f t="shared" si="37"/>
        <v>0.00%</v>
      </c>
      <c r="AB71" s="2">
        <f t="shared" si="45"/>
        <v>0</v>
      </c>
      <c r="AC71" s="81" t="str">
        <f>TEXT('MYP Assumptions'!J75,"0.00%")&amp;", CPI"</f>
        <v>2.73%, CPI</v>
      </c>
    </row>
    <row r="72" spans="1:29" hidden="1" x14ac:dyDescent="0.25">
      <c r="A72" s="152"/>
      <c r="B72" s="939"/>
      <c r="D72" s="2">
        <v>0</v>
      </c>
      <c r="E72" s="863"/>
      <c r="F72" s="2"/>
      <c r="G72" s="83" t="str">
        <f t="shared" si="35"/>
        <v>0.00%</v>
      </c>
      <c r="H72" s="2">
        <f t="shared" si="46"/>
        <v>0</v>
      </c>
      <c r="I72" s="854" t="str">
        <f>TEXT('MYP Assumptions'!E75,"0.00%")&amp;", CPI"</f>
        <v>3.42%, CPI</v>
      </c>
      <c r="J72" s="66"/>
      <c r="K72" s="83" t="str">
        <f t="shared" si="38"/>
        <v>0.00%</v>
      </c>
      <c r="L72" s="2">
        <f t="shared" si="39"/>
        <v>0</v>
      </c>
      <c r="M72" s="854" t="str">
        <f>TEXT('MYP Assumptions'!F75,"0.00%")&amp;", CPI"</f>
        <v>3.35%, CPI</v>
      </c>
      <c r="O72" s="83" t="str">
        <f t="shared" si="40"/>
        <v>0.00%</v>
      </c>
      <c r="P72" s="2">
        <f t="shared" si="41"/>
        <v>0</v>
      </c>
      <c r="Q72" s="854" t="str">
        <f>TEXT('MYP Assumptions'!G75,"0.00%")&amp;", CPI"</f>
        <v>3.02%, CPI</v>
      </c>
      <c r="S72" s="83" t="str">
        <f t="shared" si="42"/>
        <v>0.00%</v>
      </c>
      <c r="T72" s="2">
        <f t="shared" si="43"/>
        <v>0</v>
      </c>
      <c r="U72" s="81" t="str">
        <f>TEXT('MYP Assumptions'!H75,"0.00%")&amp;", CPI"</f>
        <v>2.73%, CPI</v>
      </c>
      <c r="W72" s="83" t="str">
        <f t="shared" si="36"/>
        <v>0.00%</v>
      </c>
      <c r="X72" s="2">
        <f t="shared" si="44"/>
        <v>0</v>
      </c>
      <c r="Y72" s="81" t="str">
        <f>TEXT('MYP Assumptions'!I75,"0.00%")&amp;", CPI"</f>
        <v>2.73%, CPI</v>
      </c>
      <c r="AA72" s="83" t="str">
        <f t="shared" si="37"/>
        <v>0.00%</v>
      </c>
      <c r="AB72" s="2">
        <f t="shared" si="45"/>
        <v>0</v>
      </c>
      <c r="AC72" s="81" t="str">
        <f>TEXT('MYP Assumptions'!J75,"0.00%")&amp;", CPI"</f>
        <v>2.73%, CPI</v>
      </c>
    </row>
    <row r="73" spans="1:29" hidden="1" x14ac:dyDescent="0.25">
      <c r="A73" s="152"/>
      <c r="B73" s="939"/>
      <c r="D73" s="2">
        <v>0</v>
      </c>
      <c r="E73" s="863"/>
      <c r="F73" s="2"/>
      <c r="G73" s="83" t="str">
        <f t="shared" si="35"/>
        <v>0.00%</v>
      </c>
      <c r="H73" s="2">
        <f t="shared" si="46"/>
        <v>0</v>
      </c>
      <c r="I73" s="854" t="str">
        <f>TEXT('MYP Assumptions'!E75,"0.00%")&amp;", CPI"</f>
        <v>3.42%, CPI</v>
      </c>
      <c r="J73" s="66"/>
      <c r="K73" s="83" t="str">
        <f t="shared" si="38"/>
        <v>0.00%</v>
      </c>
      <c r="L73" s="2">
        <f t="shared" si="39"/>
        <v>0</v>
      </c>
      <c r="M73" s="854" t="str">
        <f>TEXT('MYP Assumptions'!F75,"0.00%")&amp;", CPI"</f>
        <v>3.35%, CPI</v>
      </c>
      <c r="O73" s="83" t="str">
        <f t="shared" si="40"/>
        <v>0.00%</v>
      </c>
      <c r="P73" s="2">
        <f t="shared" si="41"/>
        <v>0</v>
      </c>
      <c r="Q73" s="854" t="str">
        <f>TEXT('MYP Assumptions'!G75,"0.00%")&amp;", CPI"</f>
        <v>3.02%, CPI</v>
      </c>
      <c r="S73" s="83" t="str">
        <f t="shared" si="42"/>
        <v>0.00%</v>
      </c>
      <c r="T73" s="2">
        <f t="shared" si="43"/>
        <v>0</v>
      </c>
      <c r="U73" s="81" t="str">
        <f>TEXT('MYP Assumptions'!H75,"0.00%")&amp;", CPI"</f>
        <v>2.73%, CPI</v>
      </c>
      <c r="W73" s="83" t="str">
        <f t="shared" si="36"/>
        <v>0.00%</v>
      </c>
      <c r="X73" s="2">
        <f t="shared" si="44"/>
        <v>0</v>
      </c>
      <c r="Y73" s="81" t="str">
        <f>TEXT('MYP Assumptions'!I75,"0.00%")&amp;", CPI"</f>
        <v>2.73%, CPI</v>
      </c>
      <c r="AA73" s="83" t="str">
        <f t="shared" si="37"/>
        <v>0.00%</v>
      </c>
      <c r="AB73" s="2">
        <f t="shared" si="45"/>
        <v>0</v>
      </c>
      <c r="AC73" s="81" t="str">
        <f>TEXT('MYP Assumptions'!J75,"0.00%")&amp;", CPI"</f>
        <v>2.73%, CPI</v>
      </c>
    </row>
    <row r="74" spans="1:29" hidden="1" x14ac:dyDescent="0.25">
      <c r="A74" s="152"/>
      <c r="B74" s="939"/>
      <c r="D74" s="2">
        <v>0</v>
      </c>
      <c r="E74" s="863"/>
      <c r="F74" s="2"/>
      <c r="G74" s="83" t="str">
        <f t="shared" si="35"/>
        <v>0.00%</v>
      </c>
      <c r="H74" s="2">
        <f t="shared" si="46"/>
        <v>0</v>
      </c>
      <c r="I74" s="854" t="str">
        <f>TEXT('MYP Assumptions'!E75,"0.00%")&amp;", CPI"</f>
        <v>3.42%, CPI</v>
      </c>
      <c r="J74" s="66"/>
      <c r="K74" s="83" t="str">
        <f t="shared" si="38"/>
        <v>0.00%</v>
      </c>
      <c r="L74" s="2">
        <f t="shared" si="39"/>
        <v>0</v>
      </c>
      <c r="M74" s="854" t="str">
        <f>TEXT('MYP Assumptions'!F75,"0.00%")&amp;", CPI"</f>
        <v>3.35%, CPI</v>
      </c>
      <c r="O74" s="83" t="str">
        <f t="shared" si="40"/>
        <v>0.00%</v>
      </c>
      <c r="P74" s="2">
        <f t="shared" si="41"/>
        <v>0</v>
      </c>
      <c r="Q74" s="854" t="str">
        <f>TEXT('MYP Assumptions'!G75,"0.00%")&amp;", CPI"</f>
        <v>3.02%, CPI</v>
      </c>
      <c r="S74" s="83" t="str">
        <f t="shared" si="42"/>
        <v>0.00%</v>
      </c>
      <c r="T74" s="2">
        <f t="shared" si="43"/>
        <v>0</v>
      </c>
      <c r="U74" s="81" t="str">
        <f>TEXT('MYP Assumptions'!H75,"0.00%")&amp;", CPI"</f>
        <v>2.73%, CPI</v>
      </c>
      <c r="W74" s="83" t="str">
        <f t="shared" si="36"/>
        <v>0.00%</v>
      </c>
      <c r="X74" s="2">
        <f t="shared" si="44"/>
        <v>0</v>
      </c>
      <c r="Y74" s="81" t="str">
        <f>TEXT('MYP Assumptions'!I75,"0.00%")&amp;", CPI"</f>
        <v>2.73%, CPI</v>
      </c>
      <c r="AA74" s="83" t="str">
        <f t="shared" si="37"/>
        <v>0.00%</v>
      </c>
      <c r="AB74" s="2">
        <f t="shared" si="45"/>
        <v>0</v>
      </c>
      <c r="AC74" s="81" t="str">
        <f>TEXT('MYP Assumptions'!J75,"0.00%")&amp;", CPI"</f>
        <v>2.73%, CPI</v>
      </c>
    </row>
    <row r="75" spans="1:29" hidden="1" x14ac:dyDescent="0.25">
      <c r="A75" s="152"/>
      <c r="B75" s="939"/>
      <c r="D75" s="2">
        <v>0</v>
      </c>
      <c r="E75" s="863"/>
      <c r="F75" s="2"/>
      <c r="G75" s="83" t="str">
        <f>IF(D75=0,"0.00%",(H75-D75)/D75)</f>
        <v>0.00%</v>
      </c>
      <c r="H75" s="2">
        <f t="shared" si="46"/>
        <v>0</v>
      </c>
      <c r="I75" s="854" t="str">
        <f>TEXT('MYP Assumptions'!E75,"0.00%")&amp;", CPI"</f>
        <v>3.42%, CPI</v>
      </c>
      <c r="J75" s="66"/>
      <c r="K75" s="83" t="str">
        <f t="shared" si="38"/>
        <v>0.00%</v>
      </c>
      <c r="L75" s="2">
        <f t="shared" si="39"/>
        <v>0</v>
      </c>
      <c r="M75" s="854" t="str">
        <f>TEXT('MYP Assumptions'!F75,"0.00%")&amp;", CPI"</f>
        <v>3.35%, CPI</v>
      </c>
      <c r="O75" s="83" t="str">
        <f t="shared" si="40"/>
        <v>0.00%</v>
      </c>
      <c r="P75" s="2">
        <f t="shared" si="41"/>
        <v>0</v>
      </c>
      <c r="Q75" s="854" t="str">
        <f>TEXT('MYP Assumptions'!G75,"0.00%")&amp;", CPI"</f>
        <v>3.02%, CPI</v>
      </c>
      <c r="S75" s="83" t="str">
        <f t="shared" si="42"/>
        <v>0.00%</v>
      </c>
      <c r="T75" s="2">
        <f t="shared" si="43"/>
        <v>0</v>
      </c>
      <c r="U75" s="81" t="str">
        <f>TEXT('MYP Assumptions'!H75,"0.00%")&amp;", CPI"</f>
        <v>2.73%, CPI</v>
      </c>
      <c r="W75" s="83" t="str">
        <f t="shared" si="36"/>
        <v>0.00%</v>
      </c>
      <c r="X75" s="2">
        <f t="shared" si="44"/>
        <v>0</v>
      </c>
      <c r="Y75" s="81" t="str">
        <f>TEXT('MYP Assumptions'!I75,"0.00%")&amp;", CPI"</f>
        <v>2.73%, CPI</v>
      </c>
      <c r="AA75" s="83" t="str">
        <f t="shared" si="37"/>
        <v>0.00%</v>
      </c>
      <c r="AB75" s="2">
        <f t="shared" si="45"/>
        <v>0</v>
      </c>
      <c r="AC75" s="81" t="str">
        <f>TEXT('MYP Assumptions'!J75,"0.00%")&amp;", CPI"</f>
        <v>2.73%, CPI</v>
      </c>
    </row>
    <row r="76" spans="1:29" hidden="1" x14ac:dyDescent="0.25">
      <c r="A76" s="152"/>
      <c r="B76" s="939"/>
      <c r="D76" s="2">
        <v>0</v>
      </c>
      <c r="E76" s="863"/>
      <c r="F76" s="2"/>
      <c r="G76" s="83" t="str">
        <f t="shared" ref="G76:G82" si="47">IF(D76=0,"0.00%",(H76-D76)/D76)</f>
        <v>0.00%</v>
      </c>
      <c r="H76" s="2">
        <f t="shared" si="46"/>
        <v>0</v>
      </c>
      <c r="I76" s="854" t="str">
        <f>TEXT('MYP Assumptions'!E75,"0.00%")&amp;", CPI"</f>
        <v>3.42%, CPI</v>
      </c>
      <c r="J76" s="66"/>
      <c r="K76" s="83" t="str">
        <f t="shared" si="38"/>
        <v>0.00%</v>
      </c>
      <c r="L76" s="2">
        <f t="shared" si="39"/>
        <v>0</v>
      </c>
      <c r="M76" s="854" t="str">
        <f>TEXT('MYP Assumptions'!F75,"0.00%")&amp;", CPI"</f>
        <v>3.35%, CPI</v>
      </c>
      <c r="O76" s="83" t="str">
        <f t="shared" si="40"/>
        <v>0.00%</v>
      </c>
      <c r="P76" s="2">
        <f t="shared" si="41"/>
        <v>0</v>
      </c>
      <c r="Q76" s="854" t="str">
        <f>TEXT('MYP Assumptions'!G75,"0.00%")&amp;", CPI"</f>
        <v>3.02%, CPI</v>
      </c>
      <c r="S76" s="83" t="str">
        <f t="shared" si="42"/>
        <v>0.00%</v>
      </c>
      <c r="T76" s="2">
        <f t="shared" si="43"/>
        <v>0</v>
      </c>
      <c r="U76" s="81" t="str">
        <f>TEXT('MYP Assumptions'!H75,"0.00%")&amp;", CPI"</f>
        <v>2.73%, CPI</v>
      </c>
      <c r="W76" s="83" t="str">
        <f t="shared" si="36"/>
        <v>0.00%</v>
      </c>
      <c r="X76" s="2">
        <f t="shared" si="44"/>
        <v>0</v>
      </c>
      <c r="Y76" s="81" t="str">
        <f>TEXT('MYP Assumptions'!I75,"0.00%")&amp;", CPI"</f>
        <v>2.73%, CPI</v>
      </c>
      <c r="AA76" s="83" t="str">
        <f t="shared" si="37"/>
        <v>0.00%</v>
      </c>
      <c r="AB76" s="2">
        <f t="shared" si="45"/>
        <v>0</v>
      </c>
      <c r="AC76" s="81" t="str">
        <f>TEXT('MYP Assumptions'!J75,"0.00%")&amp;", CPI"</f>
        <v>2.73%, CPI</v>
      </c>
    </row>
    <row r="77" spans="1:29" hidden="1" x14ac:dyDescent="0.25">
      <c r="A77" s="152"/>
      <c r="B77" s="939"/>
      <c r="D77" s="2">
        <v>0</v>
      </c>
      <c r="E77" s="863"/>
      <c r="F77" s="2"/>
      <c r="G77" s="83" t="str">
        <f t="shared" si="47"/>
        <v>0.00%</v>
      </c>
      <c r="H77" s="2">
        <f>ROUND(D77*(LEFT(I77,5)+1),0)</f>
        <v>0</v>
      </c>
      <c r="I77" s="854" t="str">
        <f>TEXT('MYP Assumptions'!E75,"0.00%")&amp;", CPI"</f>
        <v>3.42%, CPI</v>
      </c>
      <c r="J77" s="66"/>
      <c r="K77" s="83" t="str">
        <f t="shared" si="38"/>
        <v>0.00%</v>
      </c>
      <c r="L77" s="2">
        <f t="shared" si="39"/>
        <v>0</v>
      </c>
      <c r="M77" s="854" t="str">
        <f>TEXT('MYP Assumptions'!F75,"0.00%")&amp;", CPI"</f>
        <v>3.35%, CPI</v>
      </c>
      <c r="O77" s="83" t="str">
        <f t="shared" si="40"/>
        <v>0.00%</v>
      </c>
      <c r="P77" s="2">
        <f t="shared" si="41"/>
        <v>0</v>
      </c>
      <c r="Q77" s="854" t="str">
        <f>TEXT('MYP Assumptions'!G75,"0.00%")&amp;", CPI"</f>
        <v>3.02%, CPI</v>
      </c>
      <c r="S77" s="83" t="str">
        <f t="shared" si="42"/>
        <v>0.00%</v>
      </c>
      <c r="T77" s="2">
        <f t="shared" si="43"/>
        <v>0</v>
      </c>
      <c r="U77" s="81" t="str">
        <f>TEXT('MYP Assumptions'!H75,"0.00%")&amp;", CPI"</f>
        <v>2.73%, CPI</v>
      </c>
      <c r="W77" s="83" t="str">
        <f t="shared" si="36"/>
        <v>0.00%</v>
      </c>
      <c r="X77" s="2">
        <f t="shared" si="44"/>
        <v>0</v>
      </c>
      <c r="Y77" s="81" t="str">
        <f>TEXT('MYP Assumptions'!I75,"0.00%")&amp;", CPI"</f>
        <v>2.73%, CPI</v>
      </c>
      <c r="AA77" s="83" t="str">
        <f t="shared" si="37"/>
        <v>0.00%</v>
      </c>
      <c r="AB77" s="2">
        <f t="shared" si="45"/>
        <v>0</v>
      </c>
      <c r="AC77" s="81" t="str">
        <f>TEXT('MYP Assumptions'!J75,"0.00%")&amp;", CPI"</f>
        <v>2.73%, CPI</v>
      </c>
    </row>
    <row r="78" spans="1:29" hidden="1" x14ac:dyDescent="0.25">
      <c r="A78" s="152"/>
      <c r="B78" s="939"/>
      <c r="D78" s="2">
        <v>0</v>
      </c>
      <c r="E78" s="863"/>
      <c r="F78" s="2"/>
      <c r="G78" s="83" t="str">
        <f t="shared" si="47"/>
        <v>0.00%</v>
      </c>
      <c r="H78" s="2">
        <f>ROUND(D78*(LEFT(I78,5)+1),0)</f>
        <v>0</v>
      </c>
      <c r="I78" s="854" t="str">
        <f>TEXT('MYP Assumptions'!E75,"0.00%")&amp;", CPI"</f>
        <v>3.42%, CPI</v>
      </c>
      <c r="J78" s="66"/>
      <c r="K78" s="83" t="str">
        <f t="shared" si="38"/>
        <v>0.00%</v>
      </c>
      <c r="L78" s="2">
        <f t="shared" si="39"/>
        <v>0</v>
      </c>
      <c r="M78" s="854" t="str">
        <f>TEXT('MYP Assumptions'!F75,"0.00%")&amp;", CPI"</f>
        <v>3.35%, CPI</v>
      </c>
      <c r="O78" s="83" t="str">
        <f t="shared" si="40"/>
        <v>0.00%</v>
      </c>
      <c r="P78" s="2">
        <f t="shared" si="41"/>
        <v>0</v>
      </c>
      <c r="Q78" s="854" t="str">
        <f>TEXT('MYP Assumptions'!G75,"0.00%")&amp;", CPI"</f>
        <v>3.02%, CPI</v>
      </c>
      <c r="S78" s="83" t="str">
        <f t="shared" si="42"/>
        <v>0.00%</v>
      </c>
      <c r="T78" s="2">
        <f t="shared" si="43"/>
        <v>0</v>
      </c>
      <c r="U78" s="81" t="str">
        <f>TEXT('MYP Assumptions'!H75,"0.00%")&amp;", CPI"</f>
        <v>2.73%, CPI</v>
      </c>
      <c r="W78" s="83" t="str">
        <f t="shared" si="36"/>
        <v>0.00%</v>
      </c>
      <c r="X78" s="2">
        <f t="shared" si="44"/>
        <v>0</v>
      </c>
      <c r="Y78" s="81" t="str">
        <f>TEXT('MYP Assumptions'!I75,"0.00%")&amp;", CPI"</f>
        <v>2.73%, CPI</v>
      </c>
      <c r="AA78" s="83" t="str">
        <f t="shared" si="37"/>
        <v>0.00%</v>
      </c>
      <c r="AB78" s="2">
        <f t="shared" si="45"/>
        <v>0</v>
      </c>
      <c r="AC78" s="81" t="str">
        <f>TEXT('MYP Assumptions'!J75,"0.00%")&amp;", CPI"</f>
        <v>2.73%, CPI</v>
      </c>
    </row>
    <row r="79" spans="1:29" hidden="1" x14ac:dyDescent="0.25">
      <c r="A79" s="152"/>
      <c r="B79" s="939"/>
      <c r="D79" s="2">
        <v>0</v>
      </c>
      <c r="E79" s="863"/>
      <c r="F79" s="2"/>
      <c r="G79" s="83" t="str">
        <f t="shared" si="47"/>
        <v>0.00%</v>
      </c>
      <c r="H79" s="2">
        <f>ROUND(D79*(LEFT(I79,5)+1),0)</f>
        <v>0</v>
      </c>
      <c r="I79" s="854" t="str">
        <f>TEXT('MYP Assumptions'!E75,"0.00%")&amp;", CPI"</f>
        <v>3.42%, CPI</v>
      </c>
      <c r="J79" s="66"/>
      <c r="K79" s="83" t="str">
        <f t="shared" si="38"/>
        <v>0.00%</v>
      </c>
      <c r="L79" s="2">
        <f t="shared" si="39"/>
        <v>0</v>
      </c>
      <c r="M79" s="854" t="str">
        <f>TEXT('MYP Assumptions'!F75,"0.00%")&amp;", CPI"</f>
        <v>3.35%, CPI</v>
      </c>
      <c r="O79" s="83" t="str">
        <f t="shared" si="40"/>
        <v>0.00%</v>
      </c>
      <c r="P79" s="2">
        <f t="shared" si="41"/>
        <v>0</v>
      </c>
      <c r="Q79" s="854" t="str">
        <f>TEXT('MYP Assumptions'!G75,"0.00%")&amp;", CPI"</f>
        <v>3.02%, CPI</v>
      </c>
      <c r="S79" s="83" t="str">
        <f t="shared" si="42"/>
        <v>0.00%</v>
      </c>
      <c r="T79" s="2">
        <f t="shared" si="43"/>
        <v>0</v>
      </c>
      <c r="U79" s="81" t="str">
        <f>TEXT('MYP Assumptions'!H75,"0.00%")&amp;", CPI"</f>
        <v>2.73%, CPI</v>
      </c>
      <c r="W79" s="83" t="str">
        <f t="shared" si="36"/>
        <v>0.00%</v>
      </c>
      <c r="X79" s="2">
        <f t="shared" si="44"/>
        <v>0</v>
      </c>
      <c r="Y79" s="81" t="str">
        <f>TEXT('MYP Assumptions'!I75,"0.00%")&amp;", CPI"</f>
        <v>2.73%, CPI</v>
      </c>
      <c r="AA79" s="83" t="str">
        <f t="shared" si="37"/>
        <v>0.00%</v>
      </c>
      <c r="AB79" s="2">
        <f t="shared" si="45"/>
        <v>0</v>
      </c>
      <c r="AC79" s="81" t="str">
        <f>TEXT('MYP Assumptions'!J75,"0.00%")&amp;", CPI"</f>
        <v>2.73%, CPI</v>
      </c>
    </row>
    <row r="80" spans="1:29" hidden="1" x14ac:dyDescent="0.25">
      <c r="A80" s="152"/>
      <c r="B80" s="939"/>
      <c r="D80" s="2">
        <v>0</v>
      </c>
      <c r="E80" s="863"/>
      <c r="F80" s="2"/>
      <c r="G80" s="83" t="str">
        <f t="shared" si="47"/>
        <v>0.00%</v>
      </c>
      <c r="H80" s="2">
        <f>ROUND(D80*(LEFT(I80,5)+1),0)</f>
        <v>0</v>
      </c>
      <c r="I80" s="854" t="str">
        <f>TEXT('MYP Assumptions'!E75,"0.00%")&amp;", CPI"</f>
        <v>3.42%, CPI</v>
      </c>
      <c r="J80" s="66"/>
      <c r="K80" s="83" t="str">
        <f t="shared" si="38"/>
        <v>0.00%</v>
      </c>
      <c r="L80" s="2">
        <f t="shared" si="39"/>
        <v>0</v>
      </c>
      <c r="M80" s="854" t="str">
        <f>TEXT('MYP Assumptions'!F75,"0.00%")&amp;", CPI"</f>
        <v>3.35%, CPI</v>
      </c>
      <c r="O80" s="83" t="str">
        <f t="shared" si="40"/>
        <v>0.00%</v>
      </c>
      <c r="P80" s="2">
        <f t="shared" si="41"/>
        <v>0</v>
      </c>
      <c r="Q80" s="854" t="str">
        <f>TEXT('MYP Assumptions'!G75,"0.00%")&amp;", CPI"</f>
        <v>3.02%, CPI</v>
      </c>
      <c r="S80" s="83" t="str">
        <f t="shared" si="42"/>
        <v>0.00%</v>
      </c>
      <c r="T80" s="2">
        <f t="shared" si="43"/>
        <v>0</v>
      </c>
      <c r="U80" s="81" t="str">
        <f>TEXT('MYP Assumptions'!H75,"0.00%")&amp;", CPI"</f>
        <v>2.73%, CPI</v>
      </c>
      <c r="W80" s="83" t="str">
        <f t="shared" si="36"/>
        <v>0.00%</v>
      </c>
      <c r="X80" s="2">
        <f t="shared" si="44"/>
        <v>0</v>
      </c>
      <c r="Y80" s="81" t="str">
        <f>TEXT('MYP Assumptions'!I75,"0.00%")&amp;", CPI"</f>
        <v>2.73%, CPI</v>
      </c>
      <c r="AA80" s="83" t="str">
        <f t="shared" si="37"/>
        <v>0.00%</v>
      </c>
      <c r="AB80" s="2">
        <f t="shared" si="45"/>
        <v>0</v>
      </c>
      <c r="AC80" s="81" t="str">
        <f>TEXT('MYP Assumptions'!J75,"0.00%")&amp;", CPI"</f>
        <v>2.73%, CPI</v>
      </c>
    </row>
    <row r="81" spans="1:29" hidden="1" x14ac:dyDescent="0.25">
      <c r="A81" s="152"/>
      <c r="B81" s="939"/>
      <c r="D81" s="2">
        <f>'RS 3010-ALL'!AF80</f>
        <v>0</v>
      </c>
      <c r="E81" s="863"/>
      <c r="F81" s="2"/>
      <c r="G81" s="83" t="str">
        <f t="shared" si="47"/>
        <v>0.00%</v>
      </c>
      <c r="H81" s="2">
        <f>ROUND(D81*(LEFT(I81,5)+1),0)</f>
        <v>0</v>
      </c>
      <c r="I81" s="854" t="str">
        <f>TEXT('MYP Assumptions'!E75,"0.00%")&amp;", CPI"</f>
        <v>3.42%, CPI</v>
      </c>
      <c r="J81" s="66"/>
      <c r="K81" s="83" t="str">
        <f t="shared" si="38"/>
        <v>0.00%</v>
      </c>
      <c r="L81" s="2">
        <f t="shared" si="39"/>
        <v>0</v>
      </c>
      <c r="M81" s="854" t="str">
        <f>TEXT('MYP Assumptions'!F75,"0.00%")&amp;", CPI"</f>
        <v>3.35%, CPI</v>
      </c>
      <c r="O81" s="83" t="str">
        <f t="shared" si="40"/>
        <v>0.00%</v>
      </c>
      <c r="P81" s="2">
        <f t="shared" si="41"/>
        <v>0</v>
      </c>
      <c r="Q81" s="854" t="str">
        <f>TEXT('MYP Assumptions'!G75,"0.00%")&amp;", CPI"</f>
        <v>3.02%, CPI</v>
      </c>
      <c r="S81" s="83" t="str">
        <f t="shared" si="42"/>
        <v>0.00%</v>
      </c>
      <c r="T81" s="2">
        <f t="shared" si="43"/>
        <v>0</v>
      </c>
      <c r="U81" s="81" t="str">
        <f>TEXT('MYP Assumptions'!H75,"0.00%")&amp;", CPI"</f>
        <v>2.73%, CPI</v>
      </c>
      <c r="W81" s="83" t="str">
        <f t="shared" si="36"/>
        <v>0.00%</v>
      </c>
      <c r="X81" s="2">
        <f t="shared" si="44"/>
        <v>0</v>
      </c>
      <c r="Y81" s="81" t="str">
        <f>TEXT('MYP Assumptions'!I75,"0.00%")&amp;", CPI"</f>
        <v>2.73%, CPI</v>
      </c>
      <c r="AA81" s="83" t="str">
        <f t="shared" si="37"/>
        <v>0.00%</v>
      </c>
      <c r="AB81" s="2">
        <f t="shared" si="45"/>
        <v>0</v>
      </c>
      <c r="AC81" s="81" t="str">
        <f>TEXT('MYP Assumptions'!J75,"0.00%")&amp;", CPI"</f>
        <v>2.73%, CPI</v>
      </c>
    </row>
    <row r="82" spans="1:29" hidden="1" x14ac:dyDescent="0.25">
      <c r="A82" s="153"/>
      <c r="D82" s="8">
        <f>SUM(D69:D81)</f>
        <v>0</v>
      </c>
      <c r="E82" s="863"/>
      <c r="F82" s="2"/>
      <c r="G82" s="83" t="str">
        <f t="shared" si="47"/>
        <v>0.00%</v>
      </c>
      <c r="H82" s="8">
        <f>SUM(H69:H81)</f>
        <v>0</v>
      </c>
      <c r="I82" s="872"/>
      <c r="J82" s="29"/>
      <c r="K82" s="83" t="str">
        <f t="shared" si="38"/>
        <v>0.00%</v>
      </c>
      <c r="L82" s="8">
        <f>SUM(L69:L81)</f>
        <v>0</v>
      </c>
      <c r="M82" s="948"/>
      <c r="O82" s="83" t="str">
        <f t="shared" si="40"/>
        <v>0.00%</v>
      </c>
      <c r="P82" s="8">
        <f>SUM(P69:P81)</f>
        <v>0</v>
      </c>
      <c r="Q82" s="948"/>
      <c r="S82" s="83" t="str">
        <f t="shared" si="42"/>
        <v>0.00%</v>
      </c>
      <c r="T82" s="8">
        <f>SUM(T69:T81)</f>
        <v>0</v>
      </c>
      <c r="U82" s="73"/>
      <c r="W82" s="83" t="str">
        <f t="shared" si="36"/>
        <v>0.00%</v>
      </c>
      <c r="X82" s="8">
        <f>SUM(X69:X81)</f>
        <v>0</v>
      </c>
      <c r="Y82" s="73"/>
      <c r="AA82" s="83" t="str">
        <f t="shared" si="37"/>
        <v>0.00%</v>
      </c>
      <c r="AB82" s="8">
        <f>SUM(AB69:AB81)</f>
        <v>0</v>
      </c>
      <c r="AC82" s="73"/>
    </row>
    <row r="83" spans="1:29" x14ac:dyDescent="0.25">
      <c r="A83" s="152"/>
      <c r="B83" s="936"/>
      <c r="E83" s="863"/>
      <c r="F83" s="2"/>
      <c r="G83" s="83"/>
      <c r="H83" s="2"/>
      <c r="I83" s="871"/>
      <c r="J83" s="66"/>
      <c r="L83" s="2"/>
      <c r="M83" s="948"/>
      <c r="Q83" s="948"/>
      <c r="T83" s="2"/>
      <c r="U83" s="73"/>
      <c r="X83" s="2"/>
      <c r="Y83" s="73"/>
      <c r="AB83" s="2"/>
      <c r="AC83" s="73"/>
    </row>
    <row r="84" spans="1:29" x14ac:dyDescent="0.25">
      <c r="A84" s="152"/>
      <c r="E84" s="863"/>
      <c r="F84" s="2"/>
      <c r="H84" s="2"/>
      <c r="I84" s="871"/>
      <c r="J84" s="66"/>
      <c r="L84" s="2"/>
      <c r="M84" s="948"/>
      <c r="Q84" s="948"/>
      <c r="T84" s="2"/>
      <c r="U84" s="73"/>
      <c r="X84" s="2"/>
      <c r="Y84" s="73"/>
      <c r="AB84" s="2"/>
      <c r="AC84" s="73"/>
    </row>
    <row r="85" spans="1:29" x14ac:dyDescent="0.25">
      <c r="A85" s="153"/>
      <c r="B85" s="936" t="s">
        <v>0</v>
      </c>
      <c r="D85" s="8">
        <f>SUM(D82,D66,D55,D13)</f>
        <v>0</v>
      </c>
      <c r="E85" s="863"/>
      <c r="F85" s="2"/>
      <c r="G85" s="83" t="str">
        <f>IF(D85=0,"0.00%",(H85-D85)/D85)</f>
        <v>0.00%</v>
      </c>
      <c r="H85" s="8">
        <f>SUM(H82,H66,H55,H13)</f>
        <v>8623</v>
      </c>
      <c r="I85" s="872"/>
      <c r="J85" s="29"/>
      <c r="K85" s="83">
        <f>IF(H85=0,"0.00%",(L85-H85)/H85)</f>
        <v>-1</v>
      </c>
      <c r="L85" s="8">
        <f>SUM(L82,L66,L55,L13)</f>
        <v>0</v>
      </c>
      <c r="M85" s="948"/>
      <c r="O85" s="83" t="str">
        <f>IF(L85=0,"0.00%",(P85-L85)/L85)</f>
        <v>0.00%</v>
      </c>
      <c r="P85" s="8">
        <f>SUM(P82,P66,P55,P13)</f>
        <v>0</v>
      </c>
      <c r="Q85" s="948"/>
      <c r="S85" s="83" t="str">
        <f>IF(P85=0,"0.00%",(T85-P85)/P85)</f>
        <v>0.00%</v>
      </c>
      <c r="T85" s="8">
        <f>SUM(T82,T66,T55,T13)</f>
        <v>0</v>
      </c>
      <c r="U85" s="73"/>
      <c r="W85" s="83" t="str">
        <f>IF(T85=0,"0.00%",(X85-T85)/T85)</f>
        <v>0.00%</v>
      </c>
      <c r="X85" s="8">
        <f>SUM(X82,X66,X55,X13)</f>
        <v>0</v>
      </c>
      <c r="Y85" s="73"/>
      <c r="AA85" s="83" t="str">
        <f>IF(X85=0,"0.00%",(AB85-X85)/X85)</f>
        <v>0.00%</v>
      </c>
      <c r="AB85" s="8">
        <f>SUM(AB82,AB66,AB55,AB13)</f>
        <v>0</v>
      </c>
      <c r="AC85" s="73"/>
    </row>
    <row r="86" spans="1:29" x14ac:dyDescent="0.25">
      <c r="A86" s="152"/>
      <c r="E86" s="863"/>
      <c r="F86" s="2"/>
      <c r="H86" s="2"/>
      <c r="I86" s="871"/>
      <c r="J86" s="66"/>
      <c r="L86" s="2"/>
      <c r="M86" s="948"/>
      <c r="Q86" s="948"/>
      <c r="T86" s="2"/>
      <c r="U86" s="73"/>
      <c r="X86" s="2"/>
      <c r="Y86" s="73"/>
      <c r="AB86" s="2"/>
      <c r="AC86" s="73"/>
    </row>
    <row r="87" spans="1:29" x14ac:dyDescent="0.25">
      <c r="A87" s="152"/>
      <c r="B87" s="936" t="s">
        <v>138</v>
      </c>
      <c r="D87" s="3">
        <f>D11-D85</f>
        <v>0</v>
      </c>
      <c r="G87" s="83" t="str">
        <f>IF(D87=0,"0.00%",(H87-D87)/D87)</f>
        <v>0.00%</v>
      </c>
      <c r="H87" s="3">
        <f>H11-H85</f>
        <v>0</v>
      </c>
      <c r="I87" s="871"/>
      <c r="J87" s="66"/>
      <c r="K87" s="83" t="str">
        <f>IF(H87=0,"0.00%",(L87-H87)/H87)</f>
        <v>0.00%</v>
      </c>
      <c r="L87" s="3">
        <f>L11-L85</f>
        <v>0</v>
      </c>
      <c r="M87" s="948"/>
      <c r="O87" s="83" t="str">
        <f>IF(L87=0,"0.00%",(P87-L87)/L87)</f>
        <v>0.00%</v>
      </c>
      <c r="P87" s="3">
        <f>P11-P85</f>
        <v>0</v>
      </c>
      <c r="Q87" s="948"/>
      <c r="S87" s="83" t="str">
        <f>IF(P87=0,"0.00%",(T87-P87)/P87)</f>
        <v>0.00%</v>
      </c>
      <c r="T87" s="3">
        <f>T11-T85</f>
        <v>0</v>
      </c>
      <c r="U87" s="73"/>
      <c r="W87" s="83" t="str">
        <f>IF(T87=0,"0.00%",(X87-T87)/T87)</f>
        <v>0.00%</v>
      </c>
      <c r="X87" s="3">
        <f>X11-X85</f>
        <v>0</v>
      </c>
      <c r="Y87" s="73"/>
      <c r="AA87" s="83" t="str">
        <f>IF(X87=0,"0.00%",(AB87-X87)/X87)</f>
        <v>0.00%</v>
      </c>
      <c r="AB87" s="3">
        <f>AB11-AB85</f>
        <v>0</v>
      </c>
      <c r="AC87" s="73"/>
    </row>
    <row r="88" spans="1:29" x14ac:dyDescent="0.25">
      <c r="B88" s="936"/>
      <c r="C88" s="930"/>
      <c r="D88" s="3"/>
      <c r="H88" s="3"/>
      <c r="I88" s="871"/>
      <c r="J88" s="66"/>
      <c r="L88" s="3"/>
      <c r="M88" s="948"/>
      <c r="P88" s="3"/>
      <c r="Q88" s="948"/>
      <c r="T88" s="44"/>
      <c r="U88" s="73"/>
      <c r="X88" s="44"/>
      <c r="Y88" s="73"/>
      <c r="AB88" s="44"/>
      <c r="AC88" s="73"/>
    </row>
    <row r="89" spans="1:29" x14ac:dyDescent="0.25">
      <c r="B89" s="936" t="s">
        <v>136</v>
      </c>
      <c r="C89" s="932"/>
      <c r="D89" s="3">
        <f>D7+D87</f>
        <v>0</v>
      </c>
      <c r="G89" s="83" t="str">
        <f>IF(D89=0,"0.00%",(H89-D89)/D89)</f>
        <v>0.00%</v>
      </c>
      <c r="H89" s="3">
        <f>H7+H87</f>
        <v>0</v>
      </c>
      <c r="I89" s="871"/>
      <c r="J89" s="66"/>
      <c r="K89" s="83" t="str">
        <f>IF(H89=0,"0.00%",(L89-H89)/H89)</f>
        <v>0.00%</v>
      </c>
      <c r="L89" s="3">
        <f>L7+L87</f>
        <v>0</v>
      </c>
      <c r="M89" s="948"/>
      <c r="O89" s="83" t="str">
        <f>IF(L89=0,"0.00%",(P89-L89)/L89)</f>
        <v>0.00%</v>
      </c>
      <c r="P89" s="3">
        <f>P7+P87</f>
        <v>0</v>
      </c>
      <c r="Q89" s="948"/>
      <c r="S89" s="83" t="str">
        <f>IF(P89=0,"0.00%",(T89-P89)/P89)</f>
        <v>0.00%</v>
      </c>
      <c r="T89" s="49">
        <f>T7+T87</f>
        <v>0</v>
      </c>
      <c r="U89" s="73"/>
      <c r="W89" s="83" t="str">
        <f>IF(T89=0,"0.00%",(X89-T89)/T89)</f>
        <v>0.00%</v>
      </c>
      <c r="X89" s="49">
        <f>X7+X87</f>
        <v>0</v>
      </c>
      <c r="Y89" s="73"/>
      <c r="AA89" s="83" t="str">
        <f>IF(X89=0,"0.00%",(AB89-X89)/X89)</f>
        <v>0.00%</v>
      </c>
      <c r="AB89" s="49">
        <f>AB7+AB87</f>
        <v>0</v>
      </c>
      <c r="AC89" s="73"/>
    </row>
    <row r="90" spans="1:29" x14ac:dyDescent="0.25">
      <c r="C90" s="873"/>
      <c r="G90" s="374"/>
      <c r="H90" s="5"/>
      <c r="I90" s="872"/>
      <c r="J90" s="29"/>
      <c r="L90" s="5"/>
      <c r="M90" s="948"/>
      <c r="P90" s="5"/>
      <c r="Q90" s="948"/>
      <c r="T90" s="5"/>
      <c r="U90" s="73"/>
      <c r="X90" s="5"/>
      <c r="Y90" s="73"/>
      <c r="AB90" s="5"/>
      <c r="AC90" s="73"/>
    </row>
    <row r="91" spans="1:29" x14ac:dyDescent="0.25">
      <c r="C91" s="868"/>
      <c r="G91" s="374"/>
      <c r="H91" s="36"/>
      <c r="I91" s="871"/>
      <c r="J91" s="66"/>
      <c r="L91" s="2"/>
      <c r="M91" s="948"/>
      <c r="Q91" s="948"/>
      <c r="T91" s="2"/>
      <c r="U91" s="73"/>
      <c r="X91" s="2"/>
      <c r="Y91" s="73"/>
      <c r="AB91" s="2"/>
      <c r="AC91" s="73"/>
    </row>
    <row r="92" spans="1:29" x14ac:dyDescent="0.25">
      <c r="C92" s="868"/>
      <c r="G92" s="374"/>
      <c r="H92" s="36"/>
      <c r="I92" s="871"/>
      <c r="J92" s="66"/>
      <c r="L92" s="2"/>
      <c r="M92" s="948"/>
      <c r="Q92" s="948"/>
      <c r="T92" s="2"/>
      <c r="U92" s="73"/>
      <c r="X92" s="2"/>
      <c r="Y92" s="73"/>
      <c r="AB92" s="2"/>
      <c r="AC92" s="73"/>
    </row>
    <row r="93" spans="1:29" x14ac:dyDescent="0.25">
      <c r="C93" s="868"/>
      <c r="G93" s="374"/>
      <c r="H93" s="36"/>
      <c r="I93" s="871"/>
      <c r="J93" s="66"/>
      <c r="L93" s="2"/>
      <c r="M93" s="948"/>
      <c r="Q93" s="948"/>
      <c r="T93" s="2"/>
      <c r="U93" s="73"/>
      <c r="X93" s="2"/>
      <c r="Y93" s="73"/>
      <c r="AB93" s="2"/>
      <c r="AC93" s="73"/>
    </row>
    <row r="94" spans="1:29" x14ac:dyDescent="0.25">
      <c r="C94" s="868"/>
      <c r="G94" s="374"/>
      <c r="H94" s="36"/>
      <c r="I94" s="871"/>
      <c r="J94" s="66"/>
      <c r="L94" s="2"/>
      <c r="M94" s="948"/>
      <c r="Q94" s="948"/>
      <c r="T94" s="2"/>
      <c r="U94" s="73"/>
      <c r="X94" s="2"/>
      <c r="Y94" s="73"/>
      <c r="AB94" s="2"/>
      <c r="AC94" s="73"/>
    </row>
    <row r="95" spans="1:29" s="137" customFormat="1" ht="11.25" x14ac:dyDescent="0.2">
      <c r="A95" s="156"/>
      <c r="B95" s="942"/>
      <c r="C95" s="943" t="s">
        <v>223</v>
      </c>
      <c r="D95" s="134">
        <f>+D82+D66+D53+D41+D30</f>
        <v>0</v>
      </c>
      <c r="E95" s="865"/>
      <c r="G95" s="133" t="s">
        <v>223</v>
      </c>
      <c r="H95" s="134">
        <f>+H82+H66+H53+H41+H30</f>
        <v>8623</v>
      </c>
      <c r="I95" s="874"/>
      <c r="J95" s="135"/>
      <c r="K95" s="133" t="s">
        <v>223</v>
      </c>
      <c r="L95" s="134">
        <f>+L82+L66+L53+L41+L30</f>
        <v>0</v>
      </c>
      <c r="M95" s="951"/>
      <c r="O95" s="133" t="s">
        <v>223</v>
      </c>
      <c r="P95" s="134">
        <f>+P82+P66+P53+P41+P30</f>
        <v>0</v>
      </c>
      <c r="Q95" s="951"/>
      <c r="R95" s="139"/>
      <c r="S95" s="133" t="s">
        <v>223</v>
      </c>
      <c r="T95" s="134">
        <f>+T82+T66+T53+T41+T30</f>
        <v>0</v>
      </c>
      <c r="U95" s="138"/>
      <c r="W95" s="133" t="s">
        <v>223</v>
      </c>
      <c r="X95" s="134">
        <f>+X82+X66+X53+X41+X30</f>
        <v>0</v>
      </c>
      <c r="Y95" s="138"/>
      <c r="AA95" s="133" t="s">
        <v>223</v>
      </c>
      <c r="AB95" s="134">
        <f>+AB82+AB66+AB53+AB41+AB30</f>
        <v>0</v>
      </c>
      <c r="AC95" s="138"/>
    </row>
    <row r="96" spans="1:29" s="137" customFormat="1" ht="11.25" x14ac:dyDescent="0.2">
      <c r="A96" s="158"/>
      <c r="B96" s="942"/>
      <c r="C96" s="944" t="s">
        <v>224</v>
      </c>
      <c r="D96" s="142">
        <f>+D13</f>
        <v>0</v>
      </c>
      <c r="E96" s="866"/>
      <c r="F96" s="144"/>
      <c r="G96" s="375" t="s">
        <v>224</v>
      </c>
      <c r="H96" s="142">
        <f>+H13</f>
        <v>0</v>
      </c>
      <c r="I96" s="875"/>
      <c r="J96" s="143"/>
      <c r="K96" s="375" t="s">
        <v>224</v>
      </c>
      <c r="L96" s="142">
        <f>+L13</f>
        <v>0</v>
      </c>
      <c r="M96" s="951"/>
      <c r="O96" s="375" t="s">
        <v>224</v>
      </c>
      <c r="P96" s="142">
        <f>+P13</f>
        <v>0</v>
      </c>
      <c r="Q96" s="865"/>
      <c r="R96" s="139"/>
      <c r="S96" s="141" t="s">
        <v>224</v>
      </c>
      <c r="T96" s="142">
        <f>+T13</f>
        <v>0</v>
      </c>
      <c r="W96" s="141" t="s">
        <v>224</v>
      </c>
      <c r="X96" s="142">
        <f>+X13</f>
        <v>0</v>
      </c>
      <c r="AA96" s="141" t="s">
        <v>224</v>
      </c>
      <c r="AB96" s="142">
        <f>+AB13</f>
        <v>0</v>
      </c>
    </row>
    <row r="97" spans="1:28" s="137" customFormat="1" ht="11.25" x14ac:dyDescent="0.2">
      <c r="A97" s="158"/>
      <c r="B97" s="942"/>
      <c r="C97" s="944"/>
      <c r="D97" s="145">
        <f>+D95+D96</f>
        <v>0</v>
      </c>
      <c r="E97" s="866"/>
      <c r="F97" s="144"/>
      <c r="G97" s="375"/>
      <c r="H97" s="145">
        <f>+H95+H96</f>
        <v>8623</v>
      </c>
      <c r="I97" s="875"/>
      <c r="J97" s="143"/>
      <c r="K97" s="375"/>
      <c r="L97" s="145">
        <f>+L95+L96</f>
        <v>0</v>
      </c>
      <c r="M97" s="865"/>
      <c r="O97" s="375"/>
      <c r="P97" s="145">
        <f>+P95+P96</f>
        <v>0</v>
      </c>
      <c r="Q97" s="865"/>
      <c r="R97" s="139"/>
      <c r="S97" s="141"/>
      <c r="T97" s="145">
        <f>+T95+T96</f>
        <v>0</v>
      </c>
      <c r="W97" s="141"/>
      <c r="X97" s="145">
        <f>+X95+X96</f>
        <v>0</v>
      </c>
      <c r="AA97" s="141"/>
      <c r="AB97" s="145">
        <f>+AB95+AB96</f>
        <v>0</v>
      </c>
    </row>
    <row r="98" spans="1:28" ht="15" customHeight="1" x14ac:dyDescent="0.25">
      <c r="A98" s="152"/>
      <c r="B98" s="945"/>
      <c r="C98" s="945"/>
      <c r="D98" s="5">
        <f>+D85-D97</f>
        <v>0</v>
      </c>
      <c r="E98" s="863"/>
      <c r="F98" s="2"/>
      <c r="G98" s="376"/>
      <c r="H98" s="5">
        <f>+H85-H97</f>
        <v>0</v>
      </c>
      <c r="K98" s="376"/>
      <c r="L98" s="5">
        <f>+L85-L97</f>
        <v>0</v>
      </c>
      <c r="O98" s="376"/>
      <c r="P98" s="5">
        <f>+P85-P97</f>
        <v>0</v>
      </c>
      <c r="S98" s="103"/>
      <c r="T98" s="5">
        <f>+T85-T97</f>
        <v>0</v>
      </c>
      <c r="W98" s="103"/>
      <c r="X98" s="5">
        <f>+X85-X97</f>
        <v>0</v>
      </c>
      <c r="AA98" s="103"/>
      <c r="AB98" s="5">
        <f>+AB85-AB97</f>
        <v>0</v>
      </c>
    </row>
    <row r="99" spans="1:28" x14ac:dyDescent="0.25">
      <c r="A99" s="152"/>
      <c r="B99" s="945"/>
      <c r="C99" s="945"/>
      <c r="D99" s="36"/>
      <c r="E99" s="863"/>
      <c r="F99" s="2"/>
    </row>
    <row r="100" spans="1:28" x14ac:dyDescent="0.25">
      <c r="A100" s="152"/>
      <c r="B100" s="932"/>
      <c r="C100" s="868"/>
      <c r="D100" s="25"/>
      <c r="E100" s="863"/>
      <c r="F100" s="2"/>
    </row>
    <row r="101" spans="1:28" x14ac:dyDescent="0.25">
      <c r="B101" s="932"/>
      <c r="C101" s="868"/>
      <c r="D101" s="36"/>
    </row>
    <row r="102" spans="1:28" x14ac:dyDescent="0.25">
      <c r="B102" s="932"/>
      <c r="C102" s="868"/>
      <c r="D102" s="36"/>
    </row>
    <row r="103" spans="1:28" ht="15" customHeight="1" x14ac:dyDescent="0.25">
      <c r="B103" s="932"/>
      <c r="C103" s="868"/>
      <c r="D103" s="36"/>
    </row>
    <row r="104" spans="1:28" x14ac:dyDescent="0.25">
      <c r="B104" s="932"/>
      <c r="C104" s="868"/>
      <c r="D104" s="36"/>
    </row>
    <row r="105" spans="1:28" x14ac:dyDescent="0.25">
      <c r="B105" s="932"/>
      <c r="C105" s="868"/>
      <c r="D105" s="36"/>
    </row>
    <row r="106" spans="1:28" ht="15" customHeight="1" x14ac:dyDescent="0.25">
      <c r="B106" s="2209"/>
      <c r="C106" s="2209"/>
      <c r="D106" s="36"/>
    </row>
    <row r="107" spans="1:28" x14ac:dyDescent="0.25">
      <c r="B107" s="2209"/>
      <c r="C107" s="2209"/>
      <c r="D107" s="36"/>
    </row>
    <row r="108" spans="1:28" x14ac:dyDescent="0.25">
      <c r="B108" s="932"/>
      <c r="C108" s="868"/>
      <c r="D108" s="6"/>
    </row>
    <row r="109" spans="1:28" x14ac:dyDescent="0.25">
      <c r="B109" s="932"/>
      <c r="C109" s="868"/>
      <c r="D109" s="36"/>
    </row>
    <row r="110" spans="1:28" x14ac:dyDescent="0.25">
      <c r="B110" s="932"/>
      <c r="C110" s="868"/>
      <c r="D110" s="36"/>
    </row>
    <row r="111" spans="1:28" ht="28.5" customHeight="1" x14ac:dyDescent="0.25">
      <c r="B111" s="932"/>
      <c r="C111" s="868"/>
      <c r="D111" s="25"/>
    </row>
    <row r="112" spans="1:28" x14ac:dyDescent="0.25">
      <c r="B112" s="932"/>
      <c r="C112" s="868"/>
      <c r="D112" s="36"/>
    </row>
    <row r="113" spans="2:4" x14ac:dyDescent="0.25">
      <c r="B113" s="932"/>
      <c r="C113" s="868"/>
      <c r="D113" s="36"/>
    </row>
    <row r="114" spans="2:4" x14ac:dyDescent="0.25">
      <c r="B114" s="932"/>
      <c r="C114" s="868"/>
      <c r="D114" s="36"/>
    </row>
    <row r="115" spans="2:4" x14ac:dyDescent="0.25">
      <c r="B115" s="932"/>
      <c r="C115" s="868"/>
      <c r="D115" s="36"/>
    </row>
    <row r="116" spans="2:4" x14ac:dyDescent="0.25">
      <c r="B116" s="932"/>
      <c r="C116" s="868"/>
      <c r="D116" s="36"/>
    </row>
    <row r="117" spans="2:4" x14ac:dyDescent="0.25">
      <c r="B117" s="932"/>
      <c r="C117" s="868"/>
      <c r="D117" s="36"/>
    </row>
    <row r="118" spans="2:4" x14ac:dyDescent="0.25">
      <c r="B118" s="932"/>
      <c r="C118" s="868"/>
      <c r="D118" s="36"/>
    </row>
    <row r="119" spans="2:4" x14ac:dyDescent="0.25">
      <c r="B119" s="932"/>
      <c r="C119" s="868"/>
      <c r="D119" s="36"/>
    </row>
    <row r="120" spans="2:4" x14ac:dyDescent="0.25">
      <c r="B120" s="932"/>
      <c r="C120" s="868"/>
      <c r="D120" s="36"/>
    </row>
    <row r="121" spans="2:4" x14ac:dyDescent="0.25">
      <c r="B121" s="932"/>
      <c r="C121" s="868"/>
      <c r="D121" s="36"/>
    </row>
    <row r="122" spans="2:4" x14ac:dyDescent="0.25">
      <c r="B122" s="932"/>
      <c r="C122" s="868"/>
      <c r="D122" s="36"/>
    </row>
    <row r="123" spans="2:4" x14ac:dyDescent="0.25">
      <c r="B123" s="932"/>
      <c r="C123" s="868"/>
      <c r="D123" s="36"/>
    </row>
    <row r="124" spans="2:4" x14ac:dyDescent="0.25">
      <c r="B124" s="932"/>
      <c r="C124" s="868"/>
      <c r="D124" s="36"/>
    </row>
    <row r="125" spans="2:4" x14ac:dyDescent="0.25">
      <c r="B125" s="932"/>
      <c r="C125" s="868"/>
      <c r="D125" s="36"/>
    </row>
    <row r="126" spans="2:4" x14ac:dyDescent="0.25">
      <c r="B126" s="932"/>
      <c r="C126" s="868"/>
      <c r="D126" s="36"/>
    </row>
  </sheetData>
  <sheetProtection password="B79F" sheet="1" objects="1" scenarios="1"/>
  <mergeCells count="1">
    <mergeCell ref="B106:C107"/>
  </mergeCells>
  <pageMargins left="0.25" right="0.25" top="0.5" bottom="0.5" header="0.25" footer="0.25"/>
  <pageSetup paperSize="5" scale="72" orientation="portrait" r:id="rId1"/>
  <headerFooter>
    <oddHeader>&amp;L&amp;F</oddHead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C140"/>
  <sheetViews>
    <sheetView zoomScaleNormal="100" workbookViewId="0">
      <pane xSplit="3" ySplit="6" topLeftCell="D7" activePane="bottomRight" state="frozen"/>
      <selection pane="topRight"/>
      <selection pane="bottomLeft"/>
      <selection pane="bottomRight"/>
    </sheetView>
  </sheetViews>
  <sheetFormatPr defaultRowHeight="15" x14ac:dyDescent="0.25"/>
  <cols>
    <col min="1" max="1" width="1.7109375" style="146" customWidth="1"/>
    <col min="2" max="2" width="8.5703125" style="930" customWidth="1"/>
    <col min="3" max="3" width="18.28515625" style="857" customWidth="1"/>
    <col min="4" max="4" width="16" style="2" customWidth="1"/>
    <col min="5" max="5" width="17.7109375" style="857" hidden="1" customWidth="1"/>
    <col min="6" max="6" width="6" style="39" customWidth="1"/>
    <col min="7" max="7" width="11.85546875" style="52" bestFit="1" customWidth="1"/>
    <col min="8" max="8" width="13.85546875" style="122" bestFit="1" customWidth="1"/>
    <col min="9" max="9" width="26" style="868" hidden="1" customWidth="1"/>
    <col min="10" max="10" width="5.7109375" style="59" customWidth="1"/>
    <col min="11" max="11" width="9.85546875" style="377" customWidth="1"/>
    <col min="12" max="12" width="14" style="123" bestFit="1" customWidth="1"/>
    <col min="13" max="13" width="26" style="857" hidden="1" customWidth="1"/>
    <col min="14" max="14" width="5.7109375" style="39" customWidth="1"/>
    <col min="15" max="15" width="9.42578125" style="377" bestFit="1" customWidth="1"/>
    <col min="16" max="16" width="14" style="2" bestFit="1" customWidth="1"/>
    <col min="17" max="17" width="24.85546875" style="857" hidden="1" customWidth="1"/>
    <col min="18" max="18" width="5.7109375" style="109" customWidth="1"/>
    <col min="19" max="19" width="11.8554687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930" t="s">
        <v>61</v>
      </c>
      <c r="C1" s="931" t="s">
        <v>344</v>
      </c>
      <c r="D1" s="1053"/>
      <c r="E1" s="1054"/>
      <c r="F1" s="43"/>
      <c r="G1" s="1860"/>
      <c r="H1" s="1055"/>
      <c r="I1" s="1054"/>
      <c r="K1" s="1859"/>
      <c r="L1" s="1056"/>
      <c r="M1" s="1054"/>
      <c r="N1" s="51"/>
      <c r="O1" s="1859"/>
      <c r="P1" s="1056"/>
      <c r="Q1" s="855"/>
      <c r="T1" s="86">
        <v>0</v>
      </c>
      <c r="U1" s="98"/>
      <c r="X1" s="86">
        <v>0</v>
      </c>
      <c r="Y1" s="98"/>
      <c r="AB1" s="86">
        <v>0</v>
      </c>
      <c r="AC1" s="98"/>
    </row>
    <row r="2" spans="1:29" ht="17.25" x14ac:dyDescent="0.4">
      <c r="B2" s="932" t="s">
        <v>59</v>
      </c>
      <c r="C2" s="933">
        <v>9225</v>
      </c>
      <c r="D2" s="1055"/>
      <c r="E2" s="1054"/>
      <c r="F2" s="43"/>
      <c r="G2" s="1859"/>
      <c r="H2" s="1055"/>
      <c r="I2" s="1054"/>
      <c r="K2" s="1859"/>
      <c r="L2" s="1057"/>
      <c r="M2" s="1054"/>
      <c r="N2" s="51"/>
      <c r="O2" s="1859"/>
      <c r="P2" s="1057"/>
      <c r="Q2" s="855"/>
      <c r="T2" s="87">
        <v>0</v>
      </c>
      <c r="U2" s="98"/>
      <c r="X2" s="87">
        <v>0</v>
      </c>
      <c r="Y2" s="98"/>
      <c r="AB2" s="87">
        <v>0</v>
      </c>
      <c r="AC2" s="98"/>
    </row>
    <row r="3" spans="1:29" x14ac:dyDescent="0.25">
      <c r="D3" s="6"/>
      <c r="E3" s="868"/>
      <c r="F3" s="51"/>
      <c r="G3" s="1861"/>
      <c r="H3" s="6"/>
      <c r="K3" s="1859"/>
      <c r="L3" s="1056"/>
      <c r="M3" s="868"/>
      <c r="N3" s="51"/>
      <c r="O3" s="1859"/>
      <c r="P3" s="1056"/>
      <c r="Q3" s="868"/>
      <c r="T3" s="86">
        <f>SUM(T1:T2)</f>
        <v>0</v>
      </c>
      <c r="U3" s="51"/>
      <c r="X3" s="86">
        <f>SUM(X1:X2)</f>
        <v>0</v>
      </c>
      <c r="Y3" s="51"/>
      <c r="AB3" s="86">
        <f>SUM(AB1:AB2)</f>
        <v>0</v>
      </c>
      <c r="AC3" s="51"/>
    </row>
    <row r="4" spans="1:29" x14ac:dyDescent="0.25">
      <c r="D4" s="1055"/>
      <c r="E4" s="868"/>
      <c r="F4" s="51"/>
      <c r="G4" s="1861"/>
      <c r="H4" s="1056"/>
      <c r="K4" s="1859"/>
      <c r="L4" s="1056"/>
      <c r="M4" s="868"/>
      <c r="N4" s="51"/>
      <c r="O4" s="1859"/>
      <c r="P4" s="1056"/>
      <c r="Q4" s="868"/>
      <c r="T4" s="86"/>
      <c r="U4" s="51"/>
      <c r="X4" s="86"/>
      <c r="Y4" s="51"/>
      <c r="AB4" s="86"/>
      <c r="AC4" s="51"/>
    </row>
    <row r="5" spans="1:29" ht="15.75" x14ac:dyDescent="0.25">
      <c r="B5" s="934" t="s">
        <v>56</v>
      </c>
      <c r="P5" s="123"/>
      <c r="T5" s="73"/>
      <c r="X5" s="73"/>
      <c r="AB5" s="73"/>
    </row>
    <row r="6" spans="1:29" s="89" customFormat="1" ht="15.75" x14ac:dyDescent="0.25">
      <c r="A6" s="147"/>
      <c r="B6" s="935"/>
      <c r="C6" s="935"/>
      <c r="D6" s="284" t="s">
        <v>55</v>
      </c>
      <c r="E6" s="858"/>
      <c r="G6" s="371"/>
      <c r="H6" s="324" t="str">
        <f>LEFT(D6,4)+1&amp;"-"&amp;RIGHT(D6,4)+1</f>
        <v>2017-2018</v>
      </c>
      <c r="I6" s="869"/>
      <c r="J6" s="93"/>
      <c r="K6" s="378"/>
      <c r="L6" s="124" t="str">
        <f>LEFT(H6,4)+1&amp;"-"&amp;RIGHT(H6,4)+1</f>
        <v>2018-2019</v>
      </c>
      <c r="M6" s="946"/>
      <c r="N6" s="96"/>
      <c r="O6" s="381"/>
      <c r="P6" s="124" t="str">
        <f>LEFT(L6,4)+1&amp;"-"&amp;RIGHT(L6,4)+1</f>
        <v>2019-2020</v>
      </c>
      <c r="Q6" s="946"/>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936" t="s">
        <v>54</v>
      </c>
      <c r="D7" s="2">
        <v>3258094.43</v>
      </c>
      <c r="E7" s="928"/>
      <c r="H7" s="2">
        <f>D103</f>
        <v>3646572.59</v>
      </c>
      <c r="I7" s="928"/>
      <c r="J7" s="60"/>
      <c r="L7" s="2">
        <f>H103</f>
        <v>0</v>
      </c>
      <c r="M7" s="928"/>
      <c r="P7" s="2">
        <f>L103</f>
        <v>0</v>
      </c>
      <c r="Q7" s="928"/>
      <c r="T7" s="2">
        <f>P103</f>
        <v>0</v>
      </c>
      <c r="U7" s="105"/>
      <c r="X7" s="2">
        <f>T103</f>
        <v>300000</v>
      </c>
      <c r="Y7" s="105"/>
      <c r="AB7" s="2">
        <f>X103</f>
        <v>600000</v>
      </c>
      <c r="AC7" s="105"/>
    </row>
    <row r="8" spans="1:29" x14ac:dyDescent="0.25">
      <c r="E8" s="928"/>
      <c r="H8" s="2"/>
      <c r="I8" s="928"/>
      <c r="L8" s="2"/>
      <c r="M8" s="928"/>
      <c r="Q8" s="928"/>
      <c r="U8" s="105"/>
      <c r="Y8" s="105"/>
      <c r="AC8" s="105"/>
    </row>
    <row r="9" spans="1:29" x14ac:dyDescent="0.25">
      <c r="B9" s="930" t="s">
        <v>52</v>
      </c>
      <c r="C9" s="857" t="s">
        <v>242</v>
      </c>
      <c r="D9" s="2">
        <v>1961318</v>
      </c>
      <c r="E9" s="928" t="s">
        <v>471</v>
      </c>
      <c r="G9" s="83">
        <f>IF(D9=0,"0.00%",(H9-D9)/D9)</f>
        <v>-0.84704163220854545</v>
      </c>
      <c r="H9" s="3">
        <v>300000</v>
      </c>
      <c r="I9" s="928" t="s">
        <v>472</v>
      </c>
      <c r="J9" s="61"/>
      <c r="K9" s="83">
        <f>IF(H9=0,"0.00%",(L9-H9)/H9)</f>
        <v>0</v>
      </c>
      <c r="L9" s="3">
        <v>300000</v>
      </c>
      <c r="M9" s="928"/>
      <c r="O9" s="83">
        <f>IF(L9=0,"0.00%",(P9-L9)/L9)</f>
        <v>0</v>
      </c>
      <c r="P9" s="3">
        <f>+L9</f>
        <v>300000</v>
      </c>
      <c r="Q9" s="928"/>
      <c r="S9" s="83">
        <f>IF(P9=0,"0.00%",(T9-P9)/P9)</f>
        <v>0</v>
      </c>
      <c r="T9" s="3">
        <f>+P9</f>
        <v>300000</v>
      </c>
      <c r="U9" s="105"/>
      <c r="W9" s="83">
        <f>IF(T9=0,"0.00%",(X9-T9)/T9)</f>
        <v>0</v>
      </c>
      <c r="X9" s="3">
        <f>+T9</f>
        <v>300000</v>
      </c>
      <c r="Y9" s="105"/>
      <c r="AA9" s="83">
        <f>IF(X9=0,"0.00%",(AB9-X9)/X9)</f>
        <v>0</v>
      </c>
      <c r="AB9" s="3">
        <f>+X9</f>
        <v>300000</v>
      </c>
      <c r="AC9" s="105"/>
    </row>
    <row r="10" spans="1:29" x14ac:dyDescent="0.25">
      <c r="D10" s="2">
        <v>0</v>
      </c>
      <c r="E10" s="928"/>
      <c r="G10" s="83" t="str">
        <f t="shared" ref="G10:G15" si="0">IF(D10=0,"0.00%",(H10-D10)/D10)</f>
        <v>0.00%</v>
      </c>
      <c r="H10" s="3">
        <v>0</v>
      </c>
      <c r="I10" s="928"/>
      <c r="J10" s="61"/>
      <c r="K10" s="83" t="str">
        <f>IF(H10=0,"0.00%",(L10-H10)/H10)</f>
        <v>0.00%</v>
      </c>
      <c r="L10" s="3">
        <f>-H2</f>
        <v>0</v>
      </c>
      <c r="M10" s="928"/>
      <c r="O10" s="83" t="str">
        <f>IF(L10=0,"0.00%",(P10-L10)/L10)</f>
        <v>0.00%</v>
      </c>
      <c r="P10" s="3">
        <f>-L2</f>
        <v>0</v>
      </c>
      <c r="Q10" s="928"/>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936" t="s">
        <v>137</v>
      </c>
      <c r="D11" s="8">
        <f>SUM(D9:D10)</f>
        <v>1961318</v>
      </c>
      <c r="E11" s="928"/>
      <c r="G11" s="83">
        <f t="shared" si="0"/>
        <v>-0.84704163220854545</v>
      </c>
      <c r="H11" s="8">
        <f>SUM(H9:H10)</f>
        <v>300000</v>
      </c>
      <c r="I11" s="1292">
        <f>+H11-D11</f>
        <v>-1661318</v>
      </c>
      <c r="J11" s="62"/>
      <c r="K11" s="83">
        <f>IF(H11=0,"0.00%",(L11-H11)/H11)</f>
        <v>0</v>
      </c>
      <c r="L11" s="8">
        <f>SUM(L9:L10)</f>
        <v>300000</v>
      </c>
      <c r="M11" s="1292">
        <f>+L11-H11</f>
        <v>0</v>
      </c>
      <c r="O11" s="83">
        <f>IF(L11=0,"0.00%",(P11-L11)/L11)</f>
        <v>0</v>
      </c>
      <c r="P11" s="8">
        <f>SUM(P9:P10)</f>
        <v>300000</v>
      </c>
      <c r="Q11" s="1292">
        <f>+P11-L11</f>
        <v>0</v>
      </c>
      <c r="S11" s="83">
        <f>IF(P11=0,"0.00%",(T11-P11)/P11)</f>
        <v>0</v>
      </c>
      <c r="T11" s="78">
        <f>SUM(T9:T10)</f>
        <v>300000</v>
      </c>
      <c r="U11" s="105"/>
      <c r="W11" s="83">
        <f>IF(T11=0,"0.00%",(X11-T11)/T11)</f>
        <v>0</v>
      </c>
      <c r="X11" s="78">
        <f>SUM(X9:X10)</f>
        <v>300000</v>
      </c>
      <c r="Y11" s="105"/>
      <c r="AA11" s="83">
        <f>IF(X11=0,"0.00%",(AB11-X11)/X11)</f>
        <v>0</v>
      </c>
      <c r="AB11" s="78">
        <f>SUM(AB9:AB10)</f>
        <v>300000</v>
      </c>
      <c r="AC11" s="105"/>
    </row>
    <row r="12" spans="1:29" x14ac:dyDescent="0.25">
      <c r="E12" s="928"/>
      <c r="H12" s="3"/>
      <c r="I12" s="928"/>
      <c r="J12" s="63"/>
      <c r="K12" s="52"/>
      <c r="L12" s="3"/>
      <c r="M12" s="928"/>
      <c r="O12" s="52"/>
      <c r="P12" s="3"/>
      <c r="Q12" s="928"/>
      <c r="S12" s="46"/>
      <c r="T12" s="44"/>
      <c r="U12" s="105"/>
      <c r="W12" s="46"/>
      <c r="X12" s="44"/>
      <c r="Y12" s="105"/>
      <c r="AA12" s="46"/>
      <c r="AB12" s="44"/>
      <c r="AC12" s="105"/>
    </row>
    <row r="13" spans="1:29" x14ac:dyDescent="0.25">
      <c r="B13" s="937"/>
      <c r="C13" s="938" t="s">
        <v>64</v>
      </c>
      <c r="D13" s="9">
        <f>ROUND(D11-(D11/(1+B13)),0)</f>
        <v>0</v>
      </c>
      <c r="E13" s="928"/>
      <c r="G13" s="83" t="str">
        <f t="shared" si="0"/>
        <v>0.00%</v>
      </c>
      <c r="H13" s="9">
        <f>ROUND(H11-(H11/(1+B13)),0)</f>
        <v>0</v>
      </c>
      <c r="I13" s="928"/>
      <c r="J13" s="64"/>
      <c r="K13" s="83" t="str">
        <f>IF(H13=0,"0.00%",(L13-H13)/H13)</f>
        <v>0.00%</v>
      </c>
      <c r="L13" s="9">
        <f>ROUND(L11-(L11/(1+B13)),0)</f>
        <v>0</v>
      </c>
      <c r="M13" s="928"/>
      <c r="O13" s="83" t="str">
        <f>IF(L13=0,"0.00%",(P13-L13)/L13)</f>
        <v>0.00%</v>
      </c>
      <c r="P13" s="9">
        <f>ROUND(P11-(P11/(1+B13)),0)</f>
        <v>0</v>
      </c>
      <c r="Q13" s="928"/>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928"/>
      <c r="H14" s="3"/>
      <c r="I14" s="928"/>
      <c r="J14" s="63"/>
      <c r="K14" s="52"/>
      <c r="L14" s="3"/>
      <c r="M14" s="928"/>
      <c r="O14" s="52"/>
      <c r="P14" s="3"/>
      <c r="Q14" s="928"/>
      <c r="S14" s="46"/>
      <c r="T14" s="44"/>
      <c r="U14" s="105"/>
      <c r="W14" s="46"/>
      <c r="X14" s="44"/>
      <c r="Y14" s="105"/>
      <c r="AA14" s="46"/>
      <c r="AB14" s="44"/>
      <c r="AC14" s="105"/>
    </row>
    <row r="15" spans="1:29" x14ac:dyDescent="0.25">
      <c r="B15" s="936" t="s">
        <v>50</v>
      </c>
      <c r="D15" s="10">
        <f>+D7+D11</f>
        <v>5219412.43</v>
      </c>
      <c r="E15" s="928"/>
      <c r="G15" s="83">
        <f t="shared" si="0"/>
        <v>-0.24386649973932026</v>
      </c>
      <c r="H15" s="10">
        <f>+H7+H11</f>
        <v>3946572.59</v>
      </c>
      <c r="I15" s="1292">
        <f>+H15-D15</f>
        <v>-1272839.8399999999</v>
      </c>
      <c r="J15" s="62"/>
      <c r="K15" s="83">
        <f>IF(H15=0,"0.00%",(L15-H15)/H15)</f>
        <v>-0.92398467450968635</v>
      </c>
      <c r="L15" s="10">
        <f>+L7+L11</f>
        <v>300000</v>
      </c>
      <c r="M15" s="1292">
        <f>+L15-H15</f>
        <v>-3646572.59</v>
      </c>
      <c r="O15" s="83">
        <f>IF(L15=0,"0.00%",(P15-L15)/L15)</f>
        <v>0</v>
      </c>
      <c r="P15" s="10">
        <f>+P7+P11</f>
        <v>300000</v>
      </c>
      <c r="Q15" s="1292">
        <f>+P15-L15</f>
        <v>0</v>
      </c>
      <c r="S15" s="83">
        <f>IF(P15=0,"0.00%",(T15-P15)/P15)</f>
        <v>0</v>
      </c>
      <c r="T15" s="19">
        <f>T11-T13</f>
        <v>300000</v>
      </c>
      <c r="U15" s="105"/>
      <c r="W15" s="83">
        <f>IF(T15=0,"0.00%",(X15-T15)/T15)</f>
        <v>0</v>
      </c>
      <c r="X15" s="19">
        <f>X11-X13</f>
        <v>300000</v>
      </c>
      <c r="Y15" s="105"/>
      <c r="AA15" s="83">
        <f>IF(X15=0,"0.00%",(AB15-X15)/X15)</f>
        <v>0</v>
      </c>
      <c r="AB15" s="19">
        <f>AB11-AB13</f>
        <v>300000</v>
      </c>
      <c r="AC15" s="105"/>
    </row>
    <row r="16" spans="1:29" x14ac:dyDescent="0.25">
      <c r="E16" s="928"/>
      <c r="H16" s="3"/>
      <c r="I16" s="928"/>
      <c r="J16" s="62"/>
      <c r="L16" s="3"/>
      <c r="M16" s="928"/>
      <c r="P16" s="3"/>
      <c r="Q16" s="928"/>
      <c r="T16" s="49"/>
      <c r="U16" s="105"/>
      <c r="X16" s="49"/>
      <c r="Y16" s="105"/>
      <c r="AB16" s="49"/>
      <c r="AC16" s="105"/>
    </row>
    <row r="17" spans="1:29" x14ac:dyDescent="0.25">
      <c r="C17" s="930"/>
      <c r="E17" s="928"/>
      <c r="H17" s="3"/>
      <c r="I17" s="928"/>
      <c r="J17" s="63"/>
      <c r="L17" s="3"/>
      <c r="M17" s="928"/>
      <c r="P17" s="3"/>
      <c r="Q17" s="928"/>
      <c r="T17" s="44"/>
      <c r="U17" s="105"/>
      <c r="X17" s="44"/>
      <c r="Y17" s="105"/>
      <c r="AB17" s="44"/>
      <c r="AC17" s="105"/>
    </row>
    <row r="18" spans="1:29" x14ac:dyDescent="0.25">
      <c r="A18" s="148"/>
      <c r="D18" s="29" t="s">
        <v>826</v>
      </c>
      <c r="E18" s="929"/>
      <c r="F18" s="32"/>
      <c r="H18" s="29" t="s">
        <v>177</v>
      </c>
      <c r="I18" s="929"/>
      <c r="J18" s="65"/>
      <c r="M18" s="929"/>
      <c r="Q18" s="929"/>
      <c r="U18" s="106"/>
      <c r="Y18" s="106"/>
      <c r="AC18" s="106"/>
    </row>
    <row r="19" spans="1:29" ht="17.25" x14ac:dyDescent="0.4">
      <c r="A19" s="149"/>
      <c r="D19" s="35" t="s">
        <v>827</v>
      </c>
      <c r="E19" s="860"/>
      <c r="F19" s="34"/>
      <c r="H19" s="35" t="s">
        <v>48</v>
      </c>
      <c r="I19" s="104">
        <v>0.02</v>
      </c>
      <c r="J19" s="29"/>
      <c r="L19" s="14" t="s">
        <v>48</v>
      </c>
      <c r="M19" s="104">
        <v>0.02</v>
      </c>
      <c r="P19" s="14" t="s">
        <v>48</v>
      </c>
      <c r="Q19" s="104">
        <v>0.02</v>
      </c>
      <c r="T19" s="14" t="s">
        <v>48</v>
      </c>
      <c r="U19" s="104">
        <v>0.02</v>
      </c>
      <c r="X19" s="14" t="s">
        <v>48</v>
      </c>
      <c r="Y19" s="104">
        <v>0.02</v>
      </c>
      <c r="AB19" s="14" t="s">
        <v>48</v>
      </c>
      <c r="AC19" s="104">
        <v>0.02</v>
      </c>
    </row>
    <row r="20" spans="1:29" s="13" customFormat="1" hidden="1" x14ac:dyDescent="0.25">
      <c r="A20" s="150"/>
      <c r="B20" s="936" t="s">
        <v>46</v>
      </c>
      <c r="C20" s="938"/>
      <c r="D20" s="10"/>
      <c r="E20" s="861"/>
      <c r="F20" s="10"/>
      <c r="G20" s="372"/>
      <c r="H20" s="10"/>
      <c r="I20" s="864"/>
      <c r="J20" s="57"/>
      <c r="K20" s="379"/>
      <c r="L20" s="10"/>
      <c r="M20" s="947"/>
      <c r="O20" s="379"/>
      <c r="P20" s="10"/>
      <c r="Q20" s="947"/>
      <c r="R20" s="111"/>
      <c r="T20" s="10"/>
      <c r="U20" s="74"/>
      <c r="X20" s="10"/>
      <c r="Y20" s="74"/>
      <c r="AB20" s="10"/>
      <c r="AC20" s="74"/>
    </row>
    <row r="21" spans="1:29" hidden="1" x14ac:dyDescent="0.25">
      <c r="A21" s="151"/>
      <c r="B21" s="939"/>
      <c r="D21" s="2">
        <v>0</v>
      </c>
      <c r="E21" s="863"/>
      <c r="F21" s="2"/>
      <c r="G21" s="83" t="str">
        <f t="shared" ref="G21:G30" si="1">IF(D21=0,"0.00%",(H21-D21)/D21)</f>
        <v>0.00%</v>
      </c>
      <c r="H21" s="2">
        <f t="shared" ref="H21:H27" si="2">ROUND(D21*(1+$I$19),0)</f>
        <v>0</v>
      </c>
      <c r="I21" s="854" t="str">
        <f t="shared" ref="I21:I28" si="3">TEXT($I$19,"0.0%")&amp;" = Est. S &amp; C"</f>
        <v>2.0% = Est. S &amp; C</v>
      </c>
      <c r="J21" s="66"/>
      <c r="K21" s="83" t="str">
        <f t="shared" ref="K21:K27" si="4">IF(H21=0,"0.00%",(L21-H21)/H21)</f>
        <v>0.00%</v>
      </c>
      <c r="L21" s="2">
        <f>ROUND(H21*(1+M19),0)</f>
        <v>0</v>
      </c>
      <c r="M21" s="871" t="str">
        <f>TEXT(M19,"0.0%")&amp;" = Est. S &amp; C"</f>
        <v>2.0% = Est. S &amp; C</v>
      </c>
      <c r="O21" s="83" t="str">
        <f t="shared" ref="O21:O27" si="5">IF(L21=0,"0.00%",(P21-L21)/L21)</f>
        <v>0.00%</v>
      </c>
      <c r="P21" s="2">
        <f>ROUND(L21*(1+Q19),0)</f>
        <v>0</v>
      </c>
      <c r="Q21" s="871"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hidden="1" x14ac:dyDescent="0.25">
      <c r="A22" s="152"/>
      <c r="B22" s="939"/>
      <c r="D22" s="2">
        <v>0</v>
      </c>
      <c r="E22" s="863"/>
      <c r="F22" s="2"/>
      <c r="G22" s="83" t="str">
        <f t="shared" si="1"/>
        <v>0.00%</v>
      </c>
      <c r="H22" s="2">
        <f t="shared" si="2"/>
        <v>0</v>
      </c>
      <c r="I22" s="871" t="str">
        <f t="shared" si="3"/>
        <v>2.0% = Est. S &amp; C</v>
      </c>
      <c r="J22" s="66"/>
      <c r="K22" s="83" t="str">
        <f t="shared" si="4"/>
        <v>0.00%</v>
      </c>
      <c r="L22" s="2">
        <f>ROUND(H22*(1+M19),0)</f>
        <v>0</v>
      </c>
      <c r="M22" s="871" t="str">
        <f>TEXT(M19,"0.0%")&amp;" = Est. S &amp; C"</f>
        <v>2.0% = Est. S &amp; C</v>
      </c>
      <c r="O22" s="83" t="str">
        <f t="shared" si="5"/>
        <v>0.00%</v>
      </c>
      <c r="P22" s="2">
        <f>ROUND(L22*(1+Q19),0)</f>
        <v>0</v>
      </c>
      <c r="Q22" s="871"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hidden="1" x14ac:dyDescent="0.25">
      <c r="A23" s="152"/>
      <c r="B23" s="939"/>
      <c r="D23" s="2">
        <v>0</v>
      </c>
      <c r="E23" s="863"/>
      <c r="F23" s="2"/>
      <c r="G23" s="83" t="str">
        <f t="shared" si="1"/>
        <v>0.00%</v>
      </c>
      <c r="H23" s="2">
        <f t="shared" si="2"/>
        <v>0</v>
      </c>
      <c r="I23" s="871" t="str">
        <f t="shared" si="3"/>
        <v>2.0% = Est. S &amp; C</v>
      </c>
      <c r="J23" s="66"/>
      <c r="K23" s="83" t="str">
        <f t="shared" si="4"/>
        <v>0.00%</v>
      </c>
      <c r="L23" s="2">
        <f>ROUND(H23*(1+M19),0)</f>
        <v>0</v>
      </c>
      <c r="M23" s="871" t="str">
        <f>TEXT(M19,"0.0%")&amp;" = Est. S &amp; C"</f>
        <v>2.0% = Est. S &amp; C</v>
      </c>
      <c r="O23" s="83" t="str">
        <f t="shared" si="5"/>
        <v>0.00%</v>
      </c>
      <c r="P23" s="2">
        <f>ROUND(L23*(1+Q19),0)</f>
        <v>0</v>
      </c>
      <c r="Q23" s="871"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hidden="1" x14ac:dyDescent="0.25">
      <c r="A24" s="152"/>
      <c r="B24" s="939"/>
      <c r="D24" s="2">
        <v>0</v>
      </c>
      <c r="E24" s="863"/>
      <c r="F24" s="2"/>
      <c r="G24" s="83" t="str">
        <f t="shared" si="1"/>
        <v>0.00%</v>
      </c>
      <c r="H24" s="2">
        <f t="shared" si="2"/>
        <v>0</v>
      </c>
      <c r="I24" s="871" t="str">
        <f t="shared" si="3"/>
        <v>2.0% = Est. S &amp; C</v>
      </c>
      <c r="J24" s="66"/>
      <c r="K24" s="83" t="str">
        <f t="shared" si="4"/>
        <v>0.00%</v>
      </c>
      <c r="L24" s="2">
        <f>ROUND(H24*(1+M19),0)</f>
        <v>0</v>
      </c>
      <c r="M24" s="871" t="str">
        <f>TEXT(M19,"0.0%")&amp;" = Est. S &amp; C"</f>
        <v>2.0% = Est. S &amp; C</v>
      </c>
      <c r="O24" s="83" t="str">
        <f t="shared" si="5"/>
        <v>0.00%</v>
      </c>
      <c r="P24" s="2">
        <f>ROUND(L24*(1+Q19),0)</f>
        <v>0</v>
      </c>
      <c r="Q24" s="871"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hidden="1" x14ac:dyDescent="0.25">
      <c r="A25" s="152"/>
      <c r="B25" s="939"/>
      <c r="D25" s="2">
        <v>0</v>
      </c>
      <c r="E25" s="863"/>
      <c r="F25" s="2"/>
      <c r="G25" s="83" t="str">
        <f t="shared" si="1"/>
        <v>0.00%</v>
      </c>
      <c r="H25" s="2">
        <f t="shared" si="2"/>
        <v>0</v>
      </c>
      <c r="I25" s="871" t="str">
        <f t="shared" si="3"/>
        <v>2.0% = Est. S &amp; C</v>
      </c>
      <c r="J25" s="66"/>
      <c r="K25" s="83" t="str">
        <f t="shared" si="4"/>
        <v>0.00%</v>
      </c>
      <c r="L25" s="2">
        <f>ROUND(H25*(1+M19),0)</f>
        <v>0</v>
      </c>
      <c r="M25" s="871" t="str">
        <f>TEXT(M19,"0.0%")&amp;" = Est. S &amp; C"</f>
        <v>2.0% = Est. S &amp; C</v>
      </c>
      <c r="O25" s="83" t="str">
        <f t="shared" si="5"/>
        <v>0.00%</v>
      </c>
      <c r="P25" s="2">
        <f>ROUND(L25*(1+Q19),0)</f>
        <v>0</v>
      </c>
      <c r="Q25" s="871"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hidden="1" x14ac:dyDescent="0.25">
      <c r="A26" s="152"/>
      <c r="B26" s="939"/>
      <c r="D26" s="2">
        <v>0</v>
      </c>
      <c r="E26" s="863"/>
      <c r="F26" s="2"/>
      <c r="G26" s="83" t="str">
        <f t="shared" si="1"/>
        <v>0.00%</v>
      </c>
      <c r="H26" s="2">
        <f t="shared" si="2"/>
        <v>0</v>
      </c>
      <c r="I26" s="871" t="str">
        <f t="shared" si="3"/>
        <v>2.0% = Est. S &amp; C</v>
      </c>
      <c r="J26" s="66"/>
      <c r="K26" s="83" t="str">
        <f t="shared" si="4"/>
        <v>0.00%</v>
      </c>
      <c r="L26" s="2">
        <f>ROUND(H26*(1+M19),0)</f>
        <v>0</v>
      </c>
      <c r="M26" s="382" t="str">
        <f>TEXT(M19,"0.0%")&amp;" = Est. S &amp; C"</f>
        <v>2.0% = Est. S &amp; C</v>
      </c>
      <c r="O26" s="83" t="str">
        <f t="shared" si="5"/>
        <v>0.00%</v>
      </c>
      <c r="P26" s="2">
        <f>ROUND(L26*(1+Q19),0)</f>
        <v>0</v>
      </c>
      <c r="Q26" s="871"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hidden="1" x14ac:dyDescent="0.25">
      <c r="A27" s="152"/>
      <c r="B27" s="939"/>
      <c r="D27" s="2">
        <v>0</v>
      </c>
      <c r="E27" s="863"/>
      <c r="F27" s="2"/>
      <c r="G27" s="83" t="str">
        <f t="shared" si="1"/>
        <v>0.00%</v>
      </c>
      <c r="H27" s="2">
        <f t="shared" si="2"/>
        <v>0</v>
      </c>
      <c r="I27" s="871" t="str">
        <f t="shared" si="3"/>
        <v>2.0% = Est. S &amp; C</v>
      </c>
      <c r="J27" s="66"/>
      <c r="K27" s="83" t="str">
        <f t="shared" si="4"/>
        <v>0.00%</v>
      </c>
      <c r="L27" s="2">
        <f>ROUND(H27*(1+M19),0)</f>
        <v>0</v>
      </c>
      <c r="M27" s="871" t="str">
        <f>TEXT(M19,"0.0%")&amp;" = Est. S &amp; C"</f>
        <v>2.0% = Est. S &amp; C</v>
      </c>
      <c r="O27" s="83" t="str">
        <f t="shared" si="5"/>
        <v>0.00%</v>
      </c>
      <c r="P27" s="2">
        <f>ROUND(L27*(1+Q19),0)</f>
        <v>0</v>
      </c>
      <c r="Q27" s="871"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hidden="1" x14ac:dyDescent="0.25">
      <c r="A28" s="152"/>
      <c r="B28" s="939"/>
      <c r="D28" s="2">
        <v>0</v>
      </c>
      <c r="E28" s="863"/>
      <c r="F28" s="2"/>
      <c r="G28" s="83" t="str">
        <f>IF(D28=0,"0.00%",(H28-D28)/D28)</f>
        <v>0.00%</v>
      </c>
      <c r="H28" s="2">
        <f>ROUND(D28*(1+$I$19),0)</f>
        <v>0</v>
      </c>
      <c r="I28" s="871" t="str">
        <f t="shared" si="3"/>
        <v>2.0% = Est. S &amp; C</v>
      </c>
      <c r="J28" s="66"/>
      <c r="K28" s="83" t="str">
        <f>IF(H28=0,"0.00%",(L28-H28)/H28)</f>
        <v>0.00%</v>
      </c>
      <c r="L28" s="2">
        <f>ROUND(H28*(1+M20),0)</f>
        <v>0</v>
      </c>
      <c r="M28" s="871" t="str">
        <f>TEXT(M20,"0.0%")&amp;" = Est. S &amp; C"</f>
        <v>0.0% = Est. S &amp; C</v>
      </c>
      <c r="O28" s="83" t="str">
        <f>IF(L28=0,"0.00%",(P28-L28)/L28)</f>
        <v>0.00%</v>
      </c>
      <c r="P28" s="2">
        <f>ROUND(L28*(1+Q20),0)</f>
        <v>0</v>
      </c>
      <c r="Q28" s="871"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hidden="1" customHeight="1" x14ac:dyDescent="0.25">
      <c r="A29" s="152"/>
      <c r="B29" s="939"/>
      <c r="E29" s="863"/>
      <c r="F29" s="2"/>
      <c r="G29" s="83"/>
      <c r="H29" s="2"/>
      <c r="I29" s="871"/>
      <c r="J29" s="66"/>
      <c r="L29" s="2"/>
      <c r="M29" s="948"/>
      <c r="Q29" s="948"/>
      <c r="T29" s="2"/>
      <c r="U29" s="73"/>
      <c r="X29" s="2"/>
      <c r="Y29" s="73"/>
      <c r="AB29" s="2"/>
      <c r="AC29" s="73"/>
    </row>
    <row r="30" spans="1:29" hidden="1" x14ac:dyDescent="0.25">
      <c r="A30" s="153"/>
      <c r="B30" s="939"/>
      <c r="D30" s="8">
        <f>SUM(D21:D29)</f>
        <v>0</v>
      </c>
      <c r="E30" s="863"/>
      <c r="F30" s="2"/>
      <c r="G30" s="83" t="str">
        <f t="shared" si="1"/>
        <v>0.00%</v>
      </c>
      <c r="H30" s="8">
        <f>SUM(H21:H29)</f>
        <v>0</v>
      </c>
      <c r="I30" s="872"/>
      <c r="J30" s="29"/>
      <c r="K30" s="83" t="str">
        <f>IF(H30=0,"0.00%",(L30-H30)/H30)</f>
        <v>0.00%</v>
      </c>
      <c r="L30" s="8">
        <f>SUM(L21:L29)</f>
        <v>0</v>
      </c>
      <c r="M30" s="948"/>
      <c r="O30" s="83" t="str">
        <f>IF(L30=0,"0.00%",(P30-L30)/L30)</f>
        <v>0.00%</v>
      </c>
      <c r="P30" s="8">
        <f>SUM(P21:P29)</f>
        <v>0</v>
      </c>
      <c r="Q30" s="948"/>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hidden="1" x14ac:dyDescent="0.25">
      <c r="A31" s="152"/>
      <c r="E31" s="863"/>
      <c r="F31" s="2"/>
      <c r="H31" s="2"/>
      <c r="I31" s="854"/>
      <c r="J31" s="66"/>
      <c r="L31" s="2"/>
      <c r="M31" s="949"/>
      <c r="Q31" s="949"/>
      <c r="T31" s="2"/>
      <c r="U31" s="73"/>
      <c r="X31" s="2"/>
      <c r="Y31" s="73"/>
      <c r="AB31" s="2"/>
      <c r="AC31" s="73"/>
    </row>
    <row r="32" spans="1:29" s="4" customFormat="1" hidden="1" x14ac:dyDescent="0.25">
      <c r="A32" s="150"/>
      <c r="B32" s="940" t="s">
        <v>35</v>
      </c>
      <c r="C32" s="873"/>
      <c r="D32" s="6"/>
      <c r="E32" s="864"/>
      <c r="F32" s="6"/>
      <c r="G32" s="373"/>
      <c r="H32" s="6"/>
      <c r="I32" s="864"/>
      <c r="J32" s="57"/>
      <c r="K32" s="380"/>
      <c r="L32" s="6"/>
      <c r="M32" s="950"/>
      <c r="O32" s="380"/>
      <c r="P32" s="6"/>
      <c r="Q32" s="950"/>
      <c r="R32" s="111"/>
      <c r="T32" s="6"/>
      <c r="U32" s="71"/>
      <c r="X32" s="6"/>
      <c r="Y32" s="71"/>
      <c r="AB32" s="6"/>
      <c r="AC32" s="71"/>
    </row>
    <row r="33" spans="1:29" hidden="1" x14ac:dyDescent="0.25">
      <c r="A33" s="152"/>
      <c r="B33" s="939"/>
      <c r="D33" s="2">
        <v>0</v>
      </c>
      <c r="E33" s="863"/>
      <c r="F33" s="2"/>
      <c r="G33" s="83" t="str">
        <f t="shared" ref="G33:G39" si="9">IF(D33=0,"0.00%",(H33-D33)/D33)</f>
        <v>0.00%</v>
      </c>
      <c r="H33" s="2">
        <f t="shared" ref="H33:H39" si="10">ROUND(D33*(1+$I$19),0)</f>
        <v>0</v>
      </c>
      <c r="I33" s="871" t="str">
        <f t="shared" ref="I33:I39" si="11">TEXT($I$19,"0.0%")&amp;" = Est. S &amp; C"</f>
        <v>2.0% = Est. S &amp; C</v>
      </c>
      <c r="J33" s="66"/>
      <c r="K33" s="83" t="str">
        <f t="shared" ref="K33:K39" si="12">IF(H33=0,"0.00%",(L33-H33)/H33)</f>
        <v>0.00%</v>
      </c>
      <c r="L33" s="2">
        <f>ROUND(H33*(1+M19),0)</f>
        <v>0</v>
      </c>
      <c r="M33" s="871" t="str">
        <f>TEXT(M19,"0.0%")&amp;" = Est. S &amp; C"</f>
        <v>2.0% = Est. S &amp; C</v>
      </c>
      <c r="O33" s="83" t="str">
        <f t="shared" ref="O33:O39" si="13">IF(L33=0,"0.00%",(P33-L33)/L33)</f>
        <v>0.00%</v>
      </c>
      <c r="P33" s="2">
        <f>ROUND(L33*(1+Q19),0)</f>
        <v>0</v>
      </c>
      <c r="Q33" s="871"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hidden="1" x14ac:dyDescent="0.25">
      <c r="A34" s="152"/>
      <c r="B34" s="939"/>
      <c r="D34" s="2">
        <v>0</v>
      </c>
      <c r="E34" s="863"/>
      <c r="F34" s="2"/>
      <c r="G34" s="83" t="str">
        <f t="shared" si="9"/>
        <v>0.00%</v>
      </c>
      <c r="H34" s="2">
        <f t="shared" si="10"/>
        <v>0</v>
      </c>
      <c r="I34" s="871" t="str">
        <f t="shared" si="11"/>
        <v>2.0% = Est. S &amp; C</v>
      </c>
      <c r="J34" s="66"/>
      <c r="K34" s="83" t="str">
        <f t="shared" si="12"/>
        <v>0.00%</v>
      </c>
      <c r="L34" s="2">
        <f>ROUND(H34*(1+M19),0)</f>
        <v>0</v>
      </c>
      <c r="M34" s="871" t="str">
        <f>TEXT(M19,"0.0%")&amp;" = Est. S &amp; C"</f>
        <v>2.0% = Est. S &amp; C</v>
      </c>
      <c r="O34" s="83" t="str">
        <f t="shared" si="13"/>
        <v>0.00%</v>
      </c>
      <c r="P34" s="2">
        <f>ROUND(L34*(1+Q19),0)</f>
        <v>0</v>
      </c>
      <c r="Q34" s="871"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hidden="1" x14ac:dyDescent="0.25">
      <c r="A35" s="152"/>
      <c r="B35" s="939"/>
      <c r="D35" s="2">
        <v>0</v>
      </c>
      <c r="E35" s="863"/>
      <c r="F35" s="2"/>
      <c r="G35" s="83" t="str">
        <f t="shared" si="9"/>
        <v>0.00%</v>
      </c>
      <c r="H35" s="2">
        <f t="shared" si="10"/>
        <v>0</v>
      </c>
      <c r="I35" s="871" t="str">
        <f t="shared" si="11"/>
        <v>2.0% = Est. S &amp; C</v>
      </c>
      <c r="J35" s="66"/>
      <c r="K35" s="83" t="str">
        <f t="shared" si="12"/>
        <v>0.00%</v>
      </c>
      <c r="L35" s="2">
        <f>ROUND(H35*(1+M19),0)</f>
        <v>0</v>
      </c>
      <c r="M35" s="871" t="str">
        <f>TEXT(M19,"0.0%")&amp;" = Est. S &amp; C"</f>
        <v>2.0% = Est. S &amp; C</v>
      </c>
      <c r="O35" s="83" t="str">
        <f t="shared" si="13"/>
        <v>0.00%</v>
      </c>
      <c r="P35" s="2">
        <f>ROUND(L35*(1+Q19),0)</f>
        <v>0</v>
      </c>
      <c r="Q35" s="871"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hidden="1" x14ac:dyDescent="0.25">
      <c r="A36" s="152"/>
      <c r="B36" s="939"/>
      <c r="D36" s="2">
        <v>0</v>
      </c>
      <c r="E36" s="863"/>
      <c r="F36" s="2"/>
      <c r="G36" s="83" t="str">
        <f t="shared" si="9"/>
        <v>0.00%</v>
      </c>
      <c r="H36" s="2">
        <f t="shared" si="10"/>
        <v>0</v>
      </c>
      <c r="I36" s="871" t="str">
        <f t="shared" si="11"/>
        <v>2.0% = Est. S &amp; C</v>
      </c>
      <c r="J36" s="66"/>
      <c r="K36" s="83" t="str">
        <f t="shared" si="12"/>
        <v>0.00%</v>
      </c>
      <c r="L36" s="2">
        <f>ROUND(H36*(1+M19),0)</f>
        <v>0</v>
      </c>
      <c r="M36" s="871" t="str">
        <f>TEXT(M19,"0.0%")&amp;" = Est. S &amp; C"</f>
        <v>2.0% = Est. S &amp; C</v>
      </c>
      <c r="O36" s="83" t="str">
        <f t="shared" si="13"/>
        <v>0.00%</v>
      </c>
      <c r="P36" s="2">
        <f>ROUND(L36*(1+Q19),0)</f>
        <v>0</v>
      </c>
      <c r="Q36" s="871"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hidden="1" x14ac:dyDescent="0.25">
      <c r="A37" s="152"/>
      <c r="B37" s="939"/>
      <c r="D37" s="2">
        <v>0</v>
      </c>
      <c r="E37" s="863"/>
      <c r="F37" s="2"/>
      <c r="G37" s="83" t="str">
        <f t="shared" si="9"/>
        <v>0.00%</v>
      </c>
      <c r="H37" s="2">
        <f t="shared" si="10"/>
        <v>0</v>
      </c>
      <c r="I37" s="871" t="str">
        <f t="shared" si="11"/>
        <v>2.0% = Est. S &amp; C</v>
      </c>
      <c r="J37" s="66"/>
      <c r="K37" s="83" t="str">
        <f t="shared" si="12"/>
        <v>0.00%</v>
      </c>
      <c r="L37" s="2">
        <f>ROUND(H37*(1+M19),0)</f>
        <v>0</v>
      </c>
      <c r="M37" s="871" t="str">
        <f>TEXT(M19,"0.0%")&amp;" = Est. S &amp; C"</f>
        <v>2.0% = Est. S &amp; C</v>
      </c>
      <c r="O37" s="83" t="str">
        <f t="shared" si="13"/>
        <v>0.00%</v>
      </c>
      <c r="P37" s="2">
        <f>ROUND(L37*(1+Q19),0)</f>
        <v>0</v>
      </c>
      <c r="Q37" s="871"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hidden="1" x14ac:dyDescent="0.25">
      <c r="A38" s="152"/>
      <c r="B38" s="939"/>
      <c r="D38" s="2">
        <v>0</v>
      </c>
      <c r="E38" s="863"/>
      <c r="F38" s="2"/>
      <c r="G38" s="83" t="str">
        <f t="shared" si="9"/>
        <v>0.00%</v>
      </c>
      <c r="H38" s="2">
        <f t="shared" si="10"/>
        <v>0</v>
      </c>
      <c r="I38" s="871" t="str">
        <f t="shared" si="11"/>
        <v>2.0% = Est. S &amp; C</v>
      </c>
      <c r="J38" s="66"/>
      <c r="K38" s="83" t="str">
        <f t="shared" si="12"/>
        <v>0.00%</v>
      </c>
      <c r="L38" s="2">
        <f>ROUND(H38*(1+M19),0)</f>
        <v>0</v>
      </c>
      <c r="M38" s="871" t="str">
        <f>TEXT(M19,"0.0%")&amp;" = Est. S &amp; C"</f>
        <v>2.0% = Est. S &amp; C</v>
      </c>
      <c r="O38" s="83" t="str">
        <f t="shared" si="13"/>
        <v>0.00%</v>
      </c>
      <c r="P38" s="2">
        <f>ROUND(L38*(1+Q19),0)</f>
        <v>0</v>
      </c>
      <c r="Q38" s="871"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hidden="1" x14ac:dyDescent="0.25">
      <c r="A39" s="152"/>
      <c r="B39" s="939"/>
      <c r="D39" s="2">
        <v>0</v>
      </c>
      <c r="E39" s="863"/>
      <c r="F39" s="2"/>
      <c r="G39" s="83" t="str">
        <f t="shared" si="9"/>
        <v>0.00%</v>
      </c>
      <c r="H39" s="2">
        <f t="shared" si="10"/>
        <v>0</v>
      </c>
      <c r="I39" s="871" t="str">
        <f t="shared" si="11"/>
        <v>2.0% = Est. S &amp; C</v>
      </c>
      <c r="J39" s="66"/>
      <c r="K39" s="83" t="str">
        <f t="shared" si="12"/>
        <v>0.00%</v>
      </c>
      <c r="L39" s="2">
        <f>ROUND(H39*(1+M19),0)</f>
        <v>0</v>
      </c>
      <c r="M39" s="871" t="str">
        <f>TEXT(M19,"0.0%")&amp;" = Est. S &amp; C"</f>
        <v>2.0% = Est. S &amp; C</v>
      </c>
      <c r="O39" s="83" t="str">
        <f t="shared" si="13"/>
        <v>0.00%</v>
      </c>
      <c r="P39" s="2">
        <f>ROUND(L39*(1+Q19),0)</f>
        <v>0</v>
      </c>
      <c r="Q39" s="871"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hidden="1" customHeight="1" x14ac:dyDescent="0.25">
      <c r="A40" s="152"/>
      <c r="B40" s="939"/>
      <c r="E40" s="863"/>
      <c r="F40" s="2"/>
      <c r="H40" s="2"/>
      <c r="I40" s="871"/>
      <c r="J40" s="66"/>
      <c r="L40" s="2"/>
      <c r="M40" s="948"/>
      <c r="Q40" s="948"/>
      <c r="T40" s="2"/>
      <c r="U40" s="73"/>
      <c r="X40" s="2"/>
      <c r="Y40" s="73"/>
      <c r="AB40" s="2"/>
      <c r="AC40" s="73"/>
    </row>
    <row r="41" spans="1:29" hidden="1" x14ac:dyDescent="0.25">
      <c r="A41" s="153"/>
      <c r="B41" s="939"/>
      <c r="D41" s="8">
        <f>SUM(D33:D40)</f>
        <v>0</v>
      </c>
      <c r="E41" s="863"/>
      <c r="F41" s="2"/>
      <c r="G41" s="83" t="str">
        <f>IF(D41=0,"0.00%",(H41-D41)/D41)</f>
        <v>0.00%</v>
      </c>
      <c r="H41" s="8">
        <f>SUM(H33:H40)</f>
        <v>0</v>
      </c>
      <c r="I41" s="872"/>
      <c r="J41" s="29"/>
      <c r="K41" s="83" t="str">
        <f>IF(H41=0,"0.00%",(L41-H41)/H41)</f>
        <v>0.00%</v>
      </c>
      <c r="L41" s="8">
        <f>SUM(L33:L40)</f>
        <v>0</v>
      </c>
      <c r="M41" s="948"/>
      <c r="O41" s="83" t="str">
        <f>IF(L41=0,"0.00%",(P41-L41)/L41)</f>
        <v>0.00%</v>
      </c>
      <c r="P41" s="8">
        <f>SUM(P33:P40)</f>
        <v>0</v>
      </c>
      <c r="Q41" s="948"/>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hidden="1" x14ac:dyDescent="0.25">
      <c r="A42" s="152"/>
      <c r="B42" s="930" t="s">
        <v>28</v>
      </c>
      <c r="E42" s="863"/>
      <c r="F42" s="2"/>
      <c r="H42" s="2"/>
      <c r="I42" s="871"/>
      <c r="J42" s="66"/>
      <c r="L42" s="2"/>
      <c r="M42" s="948"/>
      <c r="Q42" s="948"/>
      <c r="T42" s="2"/>
      <c r="U42" s="73"/>
      <c r="X42" s="2"/>
      <c r="Y42" s="73"/>
      <c r="AB42" s="2"/>
      <c r="AC42" s="73"/>
    </row>
    <row r="43" spans="1:29" hidden="1" x14ac:dyDescent="0.25">
      <c r="A43" s="154"/>
      <c r="B43" s="936" t="s">
        <v>27</v>
      </c>
      <c r="E43" s="863"/>
      <c r="F43" s="2"/>
      <c r="H43" s="2"/>
      <c r="I43" s="871"/>
      <c r="J43" s="66"/>
      <c r="L43" s="2"/>
      <c r="M43" s="948"/>
      <c r="Q43" s="948"/>
      <c r="T43" s="2"/>
      <c r="U43" s="73"/>
      <c r="X43" s="2"/>
      <c r="Y43" s="73"/>
      <c r="AB43" s="2"/>
      <c r="AC43" s="73"/>
    </row>
    <row r="44" spans="1:29" hidden="1" x14ac:dyDescent="0.25">
      <c r="A44" s="152"/>
      <c r="B44" s="939" t="s">
        <v>83</v>
      </c>
      <c r="C44" s="857" t="s">
        <v>76</v>
      </c>
      <c r="D44" s="2">
        <v>0</v>
      </c>
      <c r="E44" s="854" t="str">
        <f>TEXT('MYP Assumptions'!$D$55,"0.00%")&amp;", STRS rate"</f>
        <v>12.58%, STRS rate</v>
      </c>
      <c r="F44" s="2"/>
      <c r="G44" s="83" t="str">
        <f t="shared" ref="G44:G53" si="17">IF(D44=0,"0.00%",(H44-D44)/D44)</f>
        <v>0.00%</v>
      </c>
      <c r="H44" s="2">
        <f>ROUND(H30*LEFT(I44,6),0)</f>
        <v>0</v>
      </c>
      <c r="I44" s="854" t="str">
        <f>TEXT('MYP Assumptions'!E55,"0.00%")&amp;", projected STRS rate"</f>
        <v>14.43%, projected STRS rate</v>
      </c>
      <c r="J44" s="66"/>
      <c r="K44" s="83" t="str">
        <f t="shared" ref="K44:K53" si="18">IF(H44=0,"0.00%",(L44-H44)/H44)</f>
        <v>0.00%</v>
      </c>
      <c r="L44" s="2">
        <f>ROUND(L30*LEFT(M44,6),0)</f>
        <v>0</v>
      </c>
      <c r="M44" s="854" t="str">
        <f>TEXT('MYP Assumptions'!F55,"0.00%")&amp;", projected STRS rate"</f>
        <v>16.28%, projected STRS rate</v>
      </c>
      <c r="O44" s="83" t="str">
        <f t="shared" ref="O44:O53" si="19">IF(L44=0,"0.00%",(P44-L44)/L44)</f>
        <v>0.00%</v>
      </c>
      <c r="P44" s="2">
        <f>ROUND(P30*LEFT(Q44,6),0)</f>
        <v>0</v>
      </c>
      <c r="Q44" s="854" t="str">
        <f>TEXT('MYP Assumptions'!G55,"0.00%")&amp;", projected STRS rate"</f>
        <v>18.13%, projected STRS rate</v>
      </c>
      <c r="S44" s="83" t="str">
        <f t="shared" ref="S44:S53" si="20">IF(P44=0,"0.00%",(T44-P44)/P44)</f>
        <v>0.00%</v>
      </c>
      <c r="T44" s="2">
        <f>ROUND(T30*LEFT(U44,6),0)</f>
        <v>0</v>
      </c>
      <c r="U44" s="81" t="str">
        <f>TEXT('MYP Assumptions'!H55,"0.00%")&amp;", projected STRS rate"</f>
        <v>19.10%, projected STRS rate</v>
      </c>
      <c r="W44" s="83" t="str">
        <f t="shared" ref="W44:W53" si="21">IF(T44=0,"0.00%",(X44-T44)/T44)</f>
        <v>0.00%</v>
      </c>
      <c r="X44" s="2">
        <f>ROUND(X30*LEFT(Y44,6),0)</f>
        <v>0</v>
      </c>
      <c r="Y44" s="81" t="str">
        <f>TEXT('MYP Assumptions'!I55,"0.00%")&amp;", projected STRS rate"</f>
        <v>19.10%, projected STRS rate</v>
      </c>
      <c r="AA44" s="83" t="str">
        <f t="shared" ref="AA44:AA53" si="22">IF(X44=0,"0.00%",(AB44-X44)/X44)</f>
        <v>0.00%</v>
      </c>
      <c r="AB44" s="2">
        <f>ROUND(AB30*LEFT(AC44,6),0)</f>
        <v>0</v>
      </c>
      <c r="AC44" s="81" t="str">
        <f>TEXT('MYP Assumptions'!J55,"0.00%")&amp;", projected STRS rate"</f>
        <v>19.10%, projected STRS rate</v>
      </c>
    </row>
    <row r="45" spans="1:29" hidden="1" x14ac:dyDescent="0.25">
      <c r="A45" s="152"/>
      <c r="B45" s="939" t="s">
        <v>84</v>
      </c>
      <c r="C45" s="857" t="s">
        <v>77</v>
      </c>
      <c r="D45" s="2">
        <v>0</v>
      </c>
      <c r="E45" s="854" t="str">
        <f>TEXT('MYP Assumptions'!$D$56,"0.00%")&amp;", PERS rate"</f>
        <v>13.89%, PERS rate</v>
      </c>
      <c r="F45" s="2"/>
      <c r="G45" s="83" t="str">
        <f t="shared" si="17"/>
        <v>0.00%</v>
      </c>
      <c r="H45" s="2">
        <f>ROUND(H41*LEFT(I45,6),0)</f>
        <v>0</v>
      </c>
      <c r="I45" s="854" t="str">
        <f>TEXT('MYP Assumptions'!E56,"0.00%")&amp;", projected PERS rate"</f>
        <v>15.53%, projected PERS rate</v>
      </c>
      <c r="J45" s="66"/>
      <c r="K45" s="83" t="str">
        <f t="shared" si="18"/>
        <v>0.00%</v>
      </c>
      <c r="L45" s="2">
        <f>ROUND(L41*LEFT(M45,6),0)</f>
        <v>0</v>
      </c>
      <c r="M45" s="854" t="str">
        <f>TEXT('MYP Assumptions'!F56,"0.00%")&amp;", projected PERS rate"</f>
        <v>18.10%, projected PERS rate</v>
      </c>
      <c r="O45" s="83" t="str">
        <f t="shared" si="19"/>
        <v>0.00%</v>
      </c>
      <c r="P45" s="2">
        <f>ROUND(P41*LEFT(Q45,6),0)</f>
        <v>0</v>
      </c>
      <c r="Q45" s="854" t="str">
        <f>TEXT('MYP Assumptions'!G56,"0.00%")&amp;", projected PERS rate"</f>
        <v>20.80%, projected PERS rate</v>
      </c>
      <c r="S45" s="83" t="str">
        <f t="shared" si="20"/>
        <v>0.00%</v>
      </c>
      <c r="T45" s="2">
        <f>ROUND(T41*LEFT(U45,6),0)</f>
        <v>0</v>
      </c>
      <c r="U45" s="81" t="str">
        <f>TEXT('MYP Assumptions'!H56,"0.00%")&amp;", projected PERS rate"</f>
        <v>23.80%, projected PERS rate</v>
      </c>
      <c r="W45" s="83" t="str">
        <f t="shared" si="21"/>
        <v>0.00%</v>
      </c>
      <c r="X45" s="2">
        <f>ROUND(X41*LEFT(Y45,6),0)</f>
        <v>0</v>
      </c>
      <c r="Y45" s="81" t="str">
        <f>TEXT('MYP Assumptions'!I56,"0.00%")&amp;", projected PERS rate"</f>
        <v>25.20%, projected PERS rate</v>
      </c>
      <c r="AA45" s="83" t="str">
        <f t="shared" si="22"/>
        <v>0.00%</v>
      </c>
      <c r="AB45" s="2">
        <f>ROUND(AB41*LEFT(AC45,6),0)</f>
        <v>0</v>
      </c>
      <c r="AC45" s="81" t="str">
        <f>TEXT('MYP Assumptions'!J56,"0.00%")&amp;", projected PERS rate"</f>
        <v>26.10%, projected PERS rate</v>
      </c>
    </row>
    <row r="46" spans="1:29" hidden="1" x14ac:dyDescent="0.25">
      <c r="A46" s="152"/>
      <c r="B46" s="939" t="s">
        <v>85</v>
      </c>
      <c r="C46" s="857" t="s">
        <v>78</v>
      </c>
      <c r="D46" s="2">
        <v>0</v>
      </c>
      <c r="E46" s="854" t="str">
        <f>TEXT('MYP Assumptions'!$D$57,"0.00%")&amp;", SS rate"</f>
        <v>6.20%, SS rate</v>
      </c>
      <c r="F46" s="2"/>
      <c r="G46" s="83" t="str">
        <f t="shared" si="17"/>
        <v>0.00%</v>
      </c>
      <c r="H46" s="2">
        <f>ROUND(H41*LEFT(I46,5),0)</f>
        <v>0</v>
      </c>
      <c r="I46" s="854" t="str">
        <f>TEXT('MYP Assumptions'!E57,"0.00%")&amp;", no rate change"</f>
        <v>6.20%, no rate change</v>
      </c>
      <c r="J46" s="66"/>
      <c r="K46" s="83" t="str">
        <f t="shared" si="18"/>
        <v>0.00%</v>
      </c>
      <c r="L46" s="2">
        <f>ROUND(L41*LEFT(M46,5),0)</f>
        <v>0</v>
      </c>
      <c r="M46" s="854" t="str">
        <f>TEXT('MYP Assumptions'!F57,"0.00%")&amp;", no rate change"</f>
        <v>6.20%, no rate change</v>
      </c>
      <c r="O46" s="83" t="str">
        <f t="shared" si="19"/>
        <v>0.00%</v>
      </c>
      <c r="P46" s="2">
        <f>ROUND(P41*LEFT(Q46,5),0)</f>
        <v>0</v>
      </c>
      <c r="Q46" s="854" t="str">
        <f>TEXT('MYP Assumptions'!G57,"0.00%")&amp;", no rate change"</f>
        <v>6.20%, no rate change</v>
      </c>
      <c r="S46" s="83" t="str">
        <f t="shared" si="20"/>
        <v>0.00%</v>
      </c>
      <c r="T46" s="2">
        <f>ROUND(T41*LEFT(U46,5),0)</f>
        <v>0</v>
      </c>
      <c r="U46" s="81" t="str">
        <f>TEXT('MYP Assumptions'!H57,"0.00%")&amp;", no rate change"</f>
        <v>6.20%, no rate change</v>
      </c>
      <c r="W46" s="83" t="str">
        <f t="shared" si="21"/>
        <v>0.00%</v>
      </c>
      <c r="X46" s="2">
        <f>ROUND(X41*LEFT(Y46,5),0)</f>
        <v>0</v>
      </c>
      <c r="Y46" s="81" t="str">
        <f>TEXT('MYP Assumptions'!I57,"0.00%")&amp;", no rate change"</f>
        <v>6.20%, no rate change</v>
      </c>
      <c r="AA46" s="83" t="str">
        <f t="shared" si="22"/>
        <v>0.00%</v>
      </c>
      <c r="AB46" s="2">
        <f>ROUND(AB41*LEFT(AC46,5),0)</f>
        <v>0</v>
      </c>
      <c r="AC46" s="81" t="str">
        <f>TEXT('MYP Assumptions'!J57,"0.00%")&amp;", no rate change"</f>
        <v>6.20%, no rate change</v>
      </c>
    </row>
    <row r="47" spans="1:29" hidden="1" x14ac:dyDescent="0.25">
      <c r="A47" s="152"/>
      <c r="B47" s="939" t="s">
        <v>86</v>
      </c>
      <c r="C47" s="857" t="s">
        <v>79</v>
      </c>
      <c r="D47" s="2">
        <v>0</v>
      </c>
      <c r="E47" s="854" t="str">
        <f>TEXT('MYP Assumptions'!$D$58,"0.00%")&amp;", Medicare rate"</f>
        <v>1.45%, Medicare rate</v>
      </c>
      <c r="F47" s="2"/>
      <c r="G47" s="83" t="str">
        <f t="shared" si="17"/>
        <v>0.00%</v>
      </c>
      <c r="H47" s="2">
        <f>ROUND((H41+H30)*LEFT(I47,5),0)</f>
        <v>0</v>
      </c>
      <c r="I47" s="854" t="str">
        <f>TEXT('MYP Assumptions'!E58,"0.00%")&amp;", no rate change"</f>
        <v>1.45%, no rate change</v>
      </c>
      <c r="J47" s="66"/>
      <c r="K47" s="83" t="str">
        <f t="shared" si="18"/>
        <v>0.00%</v>
      </c>
      <c r="L47" s="2">
        <f>ROUND((L41+L30)*LEFT(M47,5),0)</f>
        <v>0</v>
      </c>
      <c r="M47" s="854" t="str">
        <f>TEXT('MYP Assumptions'!F58,"0.00%")&amp;", no rate change"</f>
        <v>1.45%, no rate change</v>
      </c>
      <c r="O47" s="83" t="str">
        <f t="shared" si="19"/>
        <v>0.00%</v>
      </c>
      <c r="P47" s="2">
        <f>ROUND((P41+P30)*LEFT(Q47,5),0)</f>
        <v>0</v>
      </c>
      <c r="Q47" s="854" t="str">
        <f>TEXT('MYP Assumptions'!G58,"0.00%")&amp;", no rate change"</f>
        <v>1.45%, no rate change</v>
      </c>
      <c r="S47" s="83" t="str">
        <f t="shared" si="20"/>
        <v>0.00%</v>
      </c>
      <c r="T47" s="2">
        <f>ROUND((T41+T30)*LEFT(U47,5),0)</f>
        <v>0</v>
      </c>
      <c r="U47" s="81" t="str">
        <f>TEXT('MYP Assumptions'!H58,"0.00%")&amp;", no rate change"</f>
        <v>1.45%, no rate change</v>
      </c>
      <c r="W47" s="83" t="str">
        <f t="shared" si="21"/>
        <v>0.00%</v>
      </c>
      <c r="X47" s="2">
        <f>ROUND((X41+X30)*LEFT(Y47,5),0)</f>
        <v>0</v>
      </c>
      <c r="Y47" s="81" t="str">
        <f>TEXT('MYP Assumptions'!I58,"0.00%")&amp;", no rate change"</f>
        <v>1.45%, no rate change</v>
      </c>
      <c r="AA47" s="83" t="str">
        <f t="shared" si="22"/>
        <v>0.00%</v>
      </c>
      <c r="AB47" s="2">
        <f>ROUND((AB41+AB30)*LEFT(AC47,5),0)</f>
        <v>0</v>
      </c>
      <c r="AC47" s="81" t="str">
        <f>TEXT('MYP Assumptions'!J58,"0.00%")&amp;", no rate change"</f>
        <v>1.45%, no rate change</v>
      </c>
    </row>
    <row r="48" spans="1:29" hidden="1" x14ac:dyDescent="0.25">
      <c r="A48" s="152"/>
      <c r="B48" s="939" t="s">
        <v>87</v>
      </c>
      <c r="C48" s="857" t="s">
        <v>80</v>
      </c>
      <c r="D48" s="2">
        <v>0</v>
      </c>
      <c r="E48" s="854"/>
      <c r="F48" s="2"/>
      <c r="G48" s="83" t="str">
        <f t="shared" si="17"/>
        <v>0.00%</v>
      </c>
      <c r="H48" s="2">
        <f>ROUND((D48)*(LEFT(I48,5)+1),0)</f>
        <v>0</v>
      </c>
      <c r="I48" s="854" t="str">
        <f>TEXT('MYP Assumptions'!$M$65,"0.00%")&amp;", projected increase"</f>
        <v>7.00%, projected increase</v>
      </c>
      <c r="J48" s="66"/>
      <c r="K48" s="83" t="str">
        <f t="shared" si="18"/>
        <v>0.00%</v>
      </c>
      <c r="L48" s="2">
        <f>ROUND((H48)*(LEFT(M48,5)+1),0)</f>
        <v>0</v>
      </c>
      <c r="M48" s="854" t="str">
        <f>TEXT('MYP Assumptions'!$M$65,"0.00%")&amp;", projected increase"</f>
        <v>7.00%, projected increase</v>
      </c>
      <c r="O48" s="83" t="str">
        <f t="shared" si="19"/>
        <v>0.00%</v>
      </c>
      <c r="P48" s="2">
        <f>ROUND((L48)*(LEFT(Q48,5)+1),0)</f>
        <v>0</v>
      </c>
      <c r="Q48" s="854" t="str">
        <f>TEXT('MYP Assumptions'!$M$65,"0.00%")&amp;", projected increase"</f>
        <v>7.00%, projected increase</v>
      </c>
      <c r="S48" s="83" t="str">
        <f t="shared" si="20"/>
        <v>0.00%</v>
      </c>
      <c r="T48" s="2">
        <f>ROUND((P48)*(LEFT(U48,5)+1),0)</f>
        <v>0</v>
      </c>
      <c r="U48" s="81" t="str">
        <f>TEXT('MYP Assumptions'!$M$65,"0.00%")&amp;", projected increase"</f>
        <v>7.00%, projected increase</v>
      </c>
      <c r="W48" s="83" t="str">
        <f t="shared" si="21"/>
        <v>0.00%</v>
      </c>
      <c r="X48" s="2">
        <f>ROUND((T48)*(LEFT(Y48,5)+1),0)</f>
        <v>0</v>
      </c>
      <c r="Y48" s="81" t="str">
        <f>TEXT('MYP Assumptions'!$M$65,"0.00%")&amp;", projected increase"</f>
        <v>7.00%, projected increase</v>
      </c>
      <c r="AA48" s="83" t="str">
        <f t="shared" si="22"/>
        <v>0.00%</v>
      </c>
      <c r="AB48" s="2">
        <f>ROUND((X48)*(LEFT(AC48,5)+1),0)</f>
        <v>0</v>
      </c>
      <c r="AC48" s="81" t="str">
        <f>TEXT('MYP Assumptions'!$M$65,"0.00%")&amp;", projected increase"</f>
        <v>7.00%, projected increase</v>
      </c>
    </row>
    <row r="49" spans="1:29" hidden="1" x14ac:dyDescent="0.25">
      <c r="A49" s="152"/>
      <c r="B49" s="939" t="s">
        <v>88</v>
      </c>
      <c r="C49" s="857" t="s">
        <v>81</v>
      </c>
      <c r="D49" s="2">
        <v>0</v>
      </c>
      <c r="E49" s="854" t="str">
        <f>TEXT('MYP Assumptions'!$D$59,"0.00%")&amp;", SUI rate"</f>
        <v>0.05%, SUI rate</v>
      </c>
      <c r="F49" s="2"/>
      <c r="G49" s="83" t="str">
        <f t="shared" si="17"/>
        <v>0.00%</v>
      </c>
      <c r="H49" s="2">
        <f>ROUND((H41+H30)*LEFT(I49,5),0)</f>
        <v>0</v>
      </c>
      <c r="I49" s="854" t="str">
        <f>TEXT('MYP Assumptions'!E59,"0.00%")&amp;", no rate change"</f>
        <v>0.05%, no rate change</v>
      </c>
      <c r="J49" s="66"/>
      <c r="K49" s="83" t="str">
        <f t="shared" si="18"/>
        <v>0.00%</v>
      </c>
      <c r="L49" s="2">
        <f>ROUND((L41+L30)*LEFT(M49,5),0)</f>
        <v>0</v>
      </c>
      <c r="M49" s="854" t="str">
        <f>TEXT('MYP Assumptions'!F59,"0.00%")&amp;", no rate change"</f>
        <v>0.05%, no rate change</v>
      </c>
      <c r="O49" s="83" t="str">
        <f t="shared" si="19"/>
        <v>0.00%</v>
      </c>
      <c r="P49" s="2">
        <f>ROUND((P41+P30)*LEFT(Q49,5),0)</f>
        <v>0</v>
      </c>
      <c r="Q49" s="854" t="str">
        <f>TEXT('MYP Assumptions'!G59,"0.00%")&amp;", no rate change"</f>
        <v>0.05%, no rate change</v>
      </c>
      <c r="S49" s="83" t="str">
        <f t="shared" si="20"/>
        <v>0.00%</v>
      </c>
      <c r="T49" s="2">
        <f>ROUND((T41+T30)*LEFT(U49,5),0)</f>
        <v>0</v>
      </c>
      <c r="U49" s="81" t="str">
        <f>TEXT('MYP Assumptions'!H59,"0.00%")&amp;", no rate change"</f>
        <v>0.05%, no rate change</v>
      </c>
      <c r="W49" s="83" t="str">
        <f t="shared" si="21"/>
        <v>0.00%</v>
      </c>
      <c r="X49" s="2">
        <f>ROUND((X41+X30)*LEFT(Y49,5),0)</f>
        <v>0</v>
      </c>
      <c r="Y49" s="81" t="str">
        <f>TEXT('MYP Assumptions'!I59,"0.00%")&amp;", no rate change"</f>
        <v>0.05%, no rate change</v>
      </c>
      <c r="AA49" s="83" t="str">
        <f t="shared" si="22"/>
        <v>0.00%</v>
      </c>
      <c r="AB49" s="2">
        <f>ROUND((AB41+AB30)*LEFT(AC49,5),0)</f>
        <v>0</v>
      </c>
      <c r="AC49" s="81" t="str">
        <f>TEXT('MYP Assumptions'!J59,"0.00%")&amp;", no rate change"</f>
        <v>0.05%, no rate change</v>
      </c>
    </row>
    <row r="50" spans="1:29" hidden="1" x14ac:dyDescent="0.25">
      <c r="A50" s="152"/>
      <c r="B50" s="939" t="s">
        <v>89</v>
      </c>
      <c r="C50" s="857" t="s">
        <v>82</v>
      </c>
      <c r="D50" s="2">
        <v>0</v>
      </c>
      <c r="E50" s="854" t="str">
        <f>TEXT('MYP Assumptions'!$D$60,"0.00%")&amp;", W/C rate"</f>
        <v>1.10%, W/C rate</v>
      </c>
      <c r="F50" s="2"/>
      <c r="G50" s="83" t="str">
        <f t="shared" si="17"/>
        <v>0.00%</v>
      </c>
      <c r="H50" s="2">
        <f>ROUND((H41+H30)*LEFT(I50,5),0)</f>
        <v>0</v>
      </c>
      <c r="I50" s="854" t="str">
        <f>TEXT('MYP Assumptions'!E60,"0.00%")&amp;", no rate change"</f>
        <v>0.80%, no rate change</v>
      </c>
      <c r="J50" s="66"/>
      <c r="K50" s="83" t="str">
        <f t="shared" si="18"/>
        <v>0.00%</v>
      </c>
      <c r="L50" s="2">
        <f>ROUND((L41+L30)*LEFT(M50,5),0)</f>
        <v>0</v>
      </c>
      <c r="M50" s="854" t="str">
        <f>TEXT('MYP Assumptions'!F60,"0.00%")&amp;", no rate change"</f>
        <v>0.80%, no rate change</v>
      </c>
      <c r="O50" s="83" t="str">
        <f t="shared" si="19"/>
        <v>0.00%</v>
      </c>
      <c r="P50" s="2">
        <f>ROUND((P41+P30)*LEFT(Q50,5),0)</f>
        <v>0</v>
      </c>
      <c r="Q50" s="854" t="str">
        <f>TEXT('MYP Assumptions'!G60,"0.00%")&amp;", no rate change"</f>
        <v>0.80%, no rate change</v>
      </c>
      <c r="S50" s="83" t="str">
        <f t="shared" si="20"/>
        <v>0.00%</v>
      </c>
      <c r="T50" s="2">
        <f>ROUND((T41+T30)*LEFT(U50,5),0)</f>
        <v>0</v>
      </c>
      <c r="U50" s="81" t="str">
        <f>TEXT('MYP Assumptions'!H60,"0.00%")&amp;", no rate change"</f>
        <v>0.80%, no rate change</v>
      </c>
      <c r="W50" s="83" t="str">
        <f t="shared" si="21"/>
        <v>0.00%</v>
      </c>
      <c r="X50" s="2">
        <f>ROUND((X41+X30)*LEFT(Y50,5),0)</f>
        <v>0</v>
      </c>
      <c r="Y50" s="81" t="str">
        <f>TEXT('MYP Assumptions'!I60,"0.00%")&amp;", no rate change"</f>
        <v>0.80%, no rate change</v>
      </c>
      <c r="AA50" s="83" t="str">
        <f t="shared" si="22"/>
        <v>0.00%</v>
      </c>
      <c r="AB50" s="2">
        <f>ROUND((AB41+AB30)*LEFT(AC50,5),0)</f>
        <v>0</v>
      </c>
      <c r="AC50" s="81" t="str">
        <f>TEXT('MYP Assumptions'!J60,"0.00%")&amp;", no rate change"</f>
        <v>0.80%, no rate change</v>
      </c>
    </row>
    <row r="51" spans="1:29" hidden="1" x14ac:dyDescent="0.25">
      <c r="A51" s="152"/>
      <c r="B51" s="939" t="s">
        <v>90</v>
      </c>
      <c r="C51" s="857" t="s">
        <v>92</v>
      </c>
      <c r="D51" s="2">
        <v>0</v>
      </c>
      <c r="E51" s="863"/>
      <c r="F51" s="2"/>
      <c r="G51" s="83" t="str">
        <f t="shared" si="17"/>
        <v>0.00%</v>
      </c>
      <c r="H51" s="2">
        <f>D51</f>
        <v>0</v>
      </c>
      <c r="I51" s="854" t="s">
        <v>166</v>
      </c>
      <c r="J51" s="66"/>
      <c r="K51" s="83" t="str">
        <f t="shared" si="18"/>
        <v>0.00%</v>
      </c>
      <c r="L51" s="2">
        <f>H51</f>
        <v>0</v>
      </c>
      <c r="M51" s="854" t="s">
        <v>166</v>
      </c>
      <c r="O51" s="83" t="str">
        <f t="shared" si="19"/>
        <v>0.00%</v>
      </c>
      <c r="P51" s="2">
        <f>L51</f>
        <v>0</v>
      </c>
      <c r="Q51" s="854" t="s">
        <v>166</v>
      </c>
      <c r="S51" s="83" t="str">
        <f t="shared" si="20"/>
        <v>0.00%</v>
      </c>
      <c r="T51" s="2">
        <f>P51</f>
        <v>0</v>
      </c>
      <c r="U51" s="81" t="s">
        <v>166</v>
      </c>
      <c r="W51" s="83" t="str">
        <f t="shared" si="21"/>
        <v>0.00%</v>
      </c>
      <c r="X51" s="2">
        <f>T51</f>
        <v>0</v>
      </c>
      <c r="Y51" s="81" t="s">
        <v>166</v>
      </c>
      <c r="AA51" s="83" t="str">
        <f t="shared" si="22"/>
        <v>0.00%</v>
      </c>
      <c r="AB51" s="2">
        <f>X51</f>
        <v>0</v>
      </c>
      <c r="AC51" s="81" t="s">
        <v>166</v>
      </c>
    </row>
    <row r="52" spans="1:29" hidden="1" x14ac:dyDescent="0.25">
      <c r="A52" s="152"/>
      <c r="B52" s="939" t="s">
        <v>91</v>
      </c>
      <c r="C52" s="857" t="s">
        <v>93</v>
      </c>
      <c r="D52" s="2">
        <v>0</v>
      </c>
      <c r="E52" s="863"/>
      <c r="F52" s="2"/>
      <c r="G52" s="83" t="str">
        <f t="shared" si="17"/>
        <v>0.00%</v>
      </c>
      <c r="H52" s="2">
        <f>D52</f>
        <v>0</v>
      </c>
      <c r="I52" s="854" t="s">
        <v>166</v>
      </c>
      <c r="J52" s="66"/>
      <c r="K52" s="83" t="str">
        <f t="shared" si="18"/>
        <v>0.00%</v>
      </c>
      <c r="L52" s="2">
        <f>H52</f>
        <v>0</v>
      </c>
      <c r="M52" s="854" t="s">
        <v>166</v>
      </c>
      <c r="O52" s="83" t="str">
        <f t="shared" si="19"/>
        <v>0.00%</v>
      </c>
      <c r="P52" s="2">
        <f>L52</f>
        <v>0</v>
      </c>
      <c r="Q52" s="854" t="s">
        <v>166</v>
      </c>
      <c r="S52" s="83" t="str">
        <f t="shared" si="20"/>
        <v>0.00%</v>
      </c>
      <c r="T52" s="2">
        <f>P52</f>
        <v>0</v>
      </c>
      <c r="U52" s="81" t="s">
        <v>166</v>
      </c>
      <c r="W52" s="83" t="str">
        <f t="shared" si="21"/>
        <v>0.00%</v>
      </c>
      <c r="X52" s="2">
        <f>T52</f>
        <v>0</v>
      </c>
      <c r="Y52" s="81" t="s">
        <v>166</v>
      </c>
      <c r="AA52" s="83" t="str">
        <f t="shared" si="22"/>
        <v>0.00%</v>
      </c>
      <c r="AB52" s="2">
        <f>X52</f>
        <v>0</v>
      </c>
      <c r="AC52" s="81" t="s">
        <v>166</v>
      </c>
    </row>
    <row r="53" spans="1:29" hidden="1" x14ac:dyDescent="0.25">
      <c r="A53" s="153"/>
      <c r="B53" s="939"/>
      <c r="D53" s="8">
        <f>SUM(D44:D52)</f>
        <v>0</v>
      </c>
      <c r="E53" s="863"/>
      <c r="F53" s="2"/>
      <c r="G53" s="83" t="str">
        <f t="shared" si="17"/>
        <v>0.00%</v>
      </c>
      <c r="H53" s="8">
        <f>SUM(H44:H52)</f>
        <v>0</v>
      </c>
      <c r="I53" s="872"/>
      <c r="J53" s="29"/>
      <c r="K53" s="83" t="str">
        <f t="shared" si="18"/>
        <v>0.00%</v>
      </c>
      <c r="L53" s="8">
        <f>SUM(L44:L52)</f>
        <v>0</v>
      </c>
      <c r="M53" s="948"/>
      <c r="O53" s="83" t="str">
        <f t="shared" si="19"/>
        <v>0.00%</v>
      </c>
      <c r="P53" s="8">
        <f>SUM(P44:P52)</f>
        <v>0</v>
      </c>
      <c r="Q53" s="948"/>
      <c r="S53" s="83" t="str">
        <f t="shared" si="20"/>
        <v>0.00%</v>
      </c>
      <c r="T53" s="8">
        <f>SUM(T44:T52)</f>
        <v>0</v>
      </c>
      <c r="U53" s="73"/>
      <c r="W53" s="83" t="str">
        <f t="shared" si="21"/>
        <v>0.00%</v>
      </c>
      <c r="X53" s="8">
        <f>SUM(X44:X52)</f>
        <v>0</v>
      </c>
      <c r="Y53" s="73"/>
      <c r="AA53" s="83" t="str">
        <f t="shared" si="22"/>
        <v>0.00%</v>
      </c>
      <c r="AB53" s="8">
        <f>SUM(AB44:AB52)</f>
        <v>0</v>
      </c>
      <c r="AC53" s="73"/>
    </row>
    <row r="54" spans="1:29" hidden="1" x14ac:dyDescent="0.25">
      <c r="A54" s="154"/>
      <c r="B54" s="939"/>
      <c r="E54" s="863"/>
      <c r="F54" s="2"/>
      <c r="H54" s="2"/>
      <c r="I54" s="871"/>
      <c r="J54" s="66"/>
      <c r="L54" s="2"/>
      <c r="M54" s="948"/>
      <c r="Q54" s="948"/>
      <c r="T54" s="2"/>
      <c r="U54" s="73"/>
      <c r="X54" s="2"/>
      <c r="Y54" s="73"/>
      <c r="AB54" s="2"/>
      <c r="AC54" s="73"/>
    </row>
    <row r="55" spans="1:29" hidden="1" x14ac:dyDescent="0.25">
      <c r="A55" s="153"/>
      <c r="B55" s="936" t="s">
        <v>26</v>
      </c>
      <c r="D55" s="8">
        <f>SUM(D53,D41,D30)</f>
        <v>0</v>
      </c>
      <c r="E55" s="863"/>
      <c r="F55" s="2"/>
      <c r="G55" s="83" t="str">
        <f>IF(D55=0,"0.00%",(H55-D55)/D55)</f>
        <v>0.00%</v>
      </c>
      <c r="H55" s="8">
        <f>SUM(H53,H41,H30)</f>
        <v>0</v>
      </c>
      <c r="I55" s="872"/>
      <c r="J55" s="29"/>
      <c r="K55" s="83" t="str">
        <f>IF(H55=0,"0.00%",(L55-H55)/H55)</f>
        <v>0.00%</v>
      </c>
      <c r="L55" s="8">
        <f>SUM(L53,L41,L30)</f>
        <v>0</v>
      </c>
      <c r="M55" s="948"/>
      <c r="O55" s="83" t="str">
        <f>IF(L55=0,"0.00%",(P55-L55)/L55)</f>
        <v>0.00%</v>
      </c>
      <c r="P55" s="8">
        <f>SUM(P53,P41,P30)</f>
        <v>0</v>
      </c>
      <c r="Q55" s="948"/>
      <c r="S55" s="83" t="str">
        <f>IF(P55=0,"0.00%",(T55-P55)/P55)</f>
        <v>0.00%</v>
      </c>
      <c r="T55" s="8">
        <f>SUM(T53,T41,T30)</f>
        <v>0</v>
      </c>
      <c r="U55" s="73"/>
      <c r="W55" s="83" t="str">
        <f>IF(T55=0,"0.00%",(X55-T55)/T55)</f>
        <v>0.00%</v>
      </c>
      <c r="X55" s="8">
        <f>SUM(X53,X41,X30)</f>
        <v>0</v>
      </c>
      <c r="Y55" s="73"/>
      <c r="AA55" s="83" t="str">
        <f>IF(X55=0,"0.00%",(AB55-X55)/X55)</f>
        <v>0.00%</v>
      </c>
      <c r="AB55" s="8">
        <f>SUM(AB53,AB41,AB30)</f>
        <v>0</v>
      </c>
      <c r="AC55" s="73"/>
    </row>
    <row r="56" spans="1:29" hidden="1" x14ac:dyDescent="0.25">
      <c r="A56" s="155"/>
      <c r="E56" s="863"/>
      <c r="F56" s="2"/>
      <c r="H56" s="2"/>
      <c r="I56" s="871"/>
      <c r="J56" s="66"/>
      <c r="L56" s="2"/>
      <c r="M56" s="948"/>
      <c r="Q56" s="948"/>
      <c r="T56" s="2"/>
      <c r="U56" s="73"/>
      <c r="X56" s="2"/>
      <c r="Y56" s="73"/>
      <c r="AB56" s="2"/>
      <c r="AC56" s="73"/>
    </row>
    <row r="57" spans="1:29" hidden="1" x14ac:dyDescent="0.25">
      <c r="A57" s="152"/>
      <c r="E57" s="863"/>
      <c r="F57" s="2"/>
      <c r="H57" s="2"/>
      <c r="I57" s="871"/>
      <c r="J57" s="66"/>
      <c r="L57" s="2"/>
      <c r="M57" s="948"/>
      <c r="Q57" s="948"/>
      <c r="T57" s="2"/>
      <c r="U57" s="73"/>
      <c r="X57" s="2"/>
      <c r="Y57" s="73"/>
      <c r="AB57" s="2"/>
      <c r="AC57" s="73"/>
    </row>
    <row r="58" spans="1:29" hidden="1" x14ac:dyDescent="0.25">
      <c r="A58" s="155"/>
      <c r="B58" s="940" t="s">
        <v>25</v>
      </c>
      <c r="C58" s="873"/>
      <c r="E58" s="863"/>
      <c r="F58" s="2"/>
      <c r="H58" s="2"/>
      <c r="I58" s="871"/>
      <c r="J58" s="66"/>
      <c r="L58" s="2"/>
      <c r="M58" s="948"/>
      <c r="Q58" s="948"/>
      <c r="T58" s="2"/>
      <c r="U58" s="73"/>
      <c r="X58" s="2"/>
      <c r="Y58" s="73"/>
      <c r="AB58" s="2"/>
      <c r="AC58" s="73"/>
    </row>
    <row r="59" spans="1:29" hidden="1" x14ac:dyDescent="0.25">
      <c r="A59" s="152"/>
      <c r="B59" s="939"/>
      <c r="D59" s="2">
        <v>0</v>
      </c>
      <c r="E59" s="863"/>
      <c r="F59" s="2"/>
      <c r="G59" s="83" t="str">
        <f t="shared" ref="G59:G66" si="23">IF(D59=0,"0.00%",(H59-D59)/D59)</f>
        <v>0.00%</v>
      </c>
      <c r="H59" s="2">
        <f t="shared" ref="H59:H65" si="24">ROUND(D59*(LEFT(I59,5)+1),0)</f>
        <v>0</v>
      </c>
      <c r="I59" s="854" t="str">
        <f>TEXT('MYP Assumptions'!E75,"0.00%")&amp;", CPI"</f>
        <v>3.42%, CPI</v>
      </c>
      <c r="J59" s="66"/>
      <c r="K59" s="83" t="str">
        <f t="shared" ref="K59:K66" si="25">IF(H59=0,"0.00%",(L59-H59)/H59)</f>
        <v>0.00%</v>
      </c>
      <c r="L59" s="2">
        <f>ROUND(H59*(LEFT(M59,5)+1),0)</f>
        <v>0</v>
      </c>
      <c r="M59" s="854" t="str">
        <f>TEXT('MYP Assumptions'!F75,"0.00%")&amp;", CPI"</f>
        <v>3.35%, CPI</v>
      </c>
      <c r="O59" s="83" t="str">
        <f t="shared" ref="O59:O66" si="26">IF(L59=0,"0.00%",(P59-L59)/L59)</f>
        <v>0.00%</v>
      </c>
      <c r="P59" s="2">
        <f>ROUND(L59*(LEFT(Q59,5)+1),0)</f>
        <v>0</v>
      </c>
      <c r="Q59" s="854" t="str">
        <f>TEXT('MYP Assumptions'!G75,"0.00%")&amp;", CPI"</f>
        <v>3.02%, CPI</v>
      </c>
      <c r="S59" s="83" t="str">
        <f t="shared" ref="S59:S66" si="27">IF(P59=0,"0.00%",(T59-P59)/P59)</f>
        <v>0.00%</v>
      </c>
      <c r="T59" s="2">
        <f>ROUND(P59*(LEFT(U59,5)+1),0)</f>
        <v>0</v>
      </c>
      <c r="U59" s="81" t="str">
        <f>TEXT('MYP Assumptions'!H75,"0.00%")&amp;", CPI"</f>
        <v>2.73%, CPI</v>
      </c>
      <c r="W59" s="83" t="str">
        <f t="shared" ref="W59:W66" si="28">IF(T59=0,"0.00%",(X59-T59)/T59)</f>
        <v>0.00%</v>
      </c>
      <c r="X59" s="2">
        <f>ROUND(T59*(LEFT(Y59,5)+1),0)</f>
        <v>0</v>
      </c>
      <c r="Y59" s="81" t="str">
        <f>TEXT('MYP Assumptions'!I75,"0.00%")&amp;", CPI"</f>
        <v>2.73%, CPI</v>
      </c>
      <c r="AA59" s="83" t="str">
        <f t="shared" ref="AA59:AA66" si="29">IF(X59=0,"0.00%",(AB59-X59)/X59)</f>
        <v>0.00%</v>
      </c>
      <c r="AB59" s="2">
        <f>ROUND(X59*(LEFT(AC59,5)+1),0)</f>
        <v>0</v>
      </c>
      <c r="AC59" s="81" t="str">
        <f>TEXT('MYP Assumptions'!J75,"0.00%")&amp;", CPI"</f>
        <v>2.73%, CPI</v>
      </c>
    </row>
    <row r="60" spans="1:29" hidden="1" x14ac:dyDescent="0.25">
      <c r="A60" s="152"/>
      <c r="B60" s="939"/>
      <c r="D60" s="2">
        <v>0</v>
      </c>
      <c r="E60" s="863"/>
      <c r="F60" s="2"/>
      <c r="G60" s="83" t="str">
        <f t="shared" si="23"/>
        <v>0.00%</v>
      </c>
      <c r="H60" s="2">
        <f t="shared" si="24"/>
        <v>0</v>
      </c>
      <c r="I60" s="854" t="str">
        <f>TEXT('MYP Assumptions'!E75,"0.00%")&amp;", CPI"</f>
        <v>3.42%, CPI</v>
      </c>
      <c r="J60" s="66"/>
      <c r="K60" s="83" t="str">
        <f t="shared" si="25"/>
        <v>0.00%</v>
      </c>
      <c r="L60" s="2">
        <f t="shared" ref="L60:L65" si="30">ROUND(H60*(LEFT(M60,5)+1),0)</f>
        <v>0</v>
      </c>
      <c r="M60" s="854" t="str">
        <f>TEXT('MYP Assumptions'!F75,"0.00%")&amp;", CPI"</f>
        <v>3.35%, CPI</v>
      </c>
      <c r="O60" s="83" t="str">
        <f t="shared" si="26"/>
        <v>0.00%</v>
      </c>
      <c r="P60" s="2">
        <f t="shared" ref="P60:P65" si="31">ROUND(L60*(LEFT(Q60,5)+1),0)</f>
        <v>0</v>
      </c>
      <c r="Q60" s="854" t="str">
        <f>TEXT('MYP Assumptions'!G75,"0.00%")&amp;", CPI"</f>
        <v>3.02%, CPI</v>
      </c>
      <c r="S60" s="83" t="str">
        <f t="shared" si="27"/>
        <v>0.00%</v>
      </c>
      <c r="T60" s="2">
        <f t="shared" ref="T60:T65" si="32">ROUND(P60*(LEFT(U60,5)+1),0)</f>
        <v>0</v>
      </c>
      <c r="U60" s="81" t="str">
        <f>TEXT('MYP Assumptions'!H75,"0.00%")&amp;", CPI"</f>
        <v>2.73%, CPI</v>
      </c>
      <c r="W60" s="83" t="str">
        <f t="shared" si="28"/>
        <v>0.00%</v>
      </c>
      <c r="X60" s="2">
        <f t="shared" ref="X60:X65" si="33">ROUND(T60*(LEFT(Y60,5)+1),0)</f>
        <v>0</v>
      </c>
      <c r="Y60" s="81" t="str">
        <f>TEXT('MYP Assumptions'!I75,"0.00%")&amp;", CPI"</f>
        <v>2.73%, CPI</v>
      </c>
      <c r="AA60" s="83" t="str">
        <f t="shared" si="29"/>
        <v>0.00%</v>
      </c>
      <c r="AB60" s="2">
        <f t="shared" ref="AB60:AB65" si="34">ROUND(X60*(LEFT(AC60,5)+1),0)</f>
        <v>0</v>
      </c>
      <c r="AC60" s="81" t="str">
        <f>TEXT('MYP Assumptions'!J75,"0.00%")&amp;", CPI"</f>
        <v>2.73%, CPI</v>
      </c>
    </row>
    <row r="61" spans="1:29" hidden="1" x14ac:dyDescent="0.25">
      <c r="A61" s="152"/>
      <c r="B61" s="939"/>
      <c r="D61" s="2">
        <v>0</v>
      </c>
      <c r="E61" s="863"/>
      <c r="F61" s="2"/>
      <c r="G61" s="83" t="str">
        <f t="shared" si="23"/>
        <v>0.00%</v>
      </c>
      <c r="H61" s="2">
        <f t="shared" si="24"/>
        <v>0</v>
      </c>
      <c r="I61" s="854" t="str">
        <f>TEXT('MYP Assumptions'!E75,"0.00%")&amp;", CPI"</f>
        <v>3.42%, CPI</v>
      </c>
      <c r="J61" s="66"/>
      <c r="K61" s="83" t="str">
        <f t="shared" si="25"/>
        <v>0.00%</v>
      </c>
      <c r="L61" s="2">
        <f t="shared" si="30"/>
        <v>0</v>
      </c>
      <c r="M61" s="854" t="str">
        <f>TEXT('MYP Assumptions'!F75,"0.00%")&amp;", CPI"</f>
        <v>3.35%, CPI</v>
      </c>
      <c r="O61" s="83" t="str">
        <f t="shared" si="26"/>
        <v>0.00%</v>
      </c>
      <c r="P61" s="2">
        <f t="shared" si="31"/>
        <v>0</v>
      </c>
      <c r="Q61" s="854" t="str">
        <f>TEXT('MYP Assumptions'!G75,"0.00%")&amp;", CPI"</f>
        <v>3.02%, CPI</v>
      </c>
      <c r="S61" s="83" t="str">
        <f t="shared" si="27"/>
        <v>0.00%</v>
      </c>
      <c r="T61" s="2">
        <f t="shared" si="32"/>
        <v>0</v>
      </c>
      <c r="U61" s="81" t="str">
        <f>TEXT('MYP Assumptions'!H75,"0.00%")&amp;", CPI"</f>
        <v>2.73%, CPI</v>
      </c>
      <c r="W61" s="83" t="str">
        <f t="shared" si="28"/>
        <v>0.00%</v>
      </c>
      <c r="X61" s="2">
        <f t="shared" si="33"/>
        <v>0</v>
      </c>
      <c r="Y61" s="81" t="str">
        <f>TEXT('MYP Assumptions'!I75,"0.00%")&amp;", CPI"</f>
        <v>2.73%, CPI</v>
      </c>
      <c r="AA61" s="83" t="str">
        <f t="shared" si="29"/>
        <v>0.00%</v>
      </c>
      <c r="AB61" s="2">
        <f t="shared" si="34"/>
        <v>0</v>
      </c>
      <c r="AC61" s="81" t="str">
        <f>TEXT('MYP Assumptions'!J75,"0.00%")&amp;", CPI"</f>
        <v>2.73%, CPI</v>
      </c>
    </row>
    <row r="62" spans="1:29" hidden="1" x14ac:dyDescent="0.25">
      <c r="A62" s="152"/>
      <c r="B62" s="939"/>
      <c r="D62" s="2">
        <v>0</v>
      </c>
      <c r="E62" s="863"/>
      <c r="F62" s="2"/>
      <c r="G62" s="83" t="str">
        <f t="shared" si="23"/>
        <v>0.00%</v>
      </c>
      <c r="H62" s="2">
        <f t="shared" si="24"/>
        <v>0</v>
      </c>
      <c r="I62" s="854" t="str">
        <f>TEXT('MYP Assumptions'!E75,"0.00%")&amp;", CPI"</f>
        <v>3.42%, CPI</v>
      </c>
      <c r="J62" s="66"/>
      <c r="K62" s="83" t="str">
        <f t="shared" si="25"/>
        <v>0.00%</v>
      </c>
      <c r="L62" s="2">
        <f t="shared" si="30"/>
        <v>0</v>
      </c>
      <c r="M62" s="854" t="str">
        <f>TEXT('MYP Assumptions'!F75,"0.00%")&amp;", CPI"</f>
        <v>3.35%, CPI</v>
      </c>
      <c r="O62" s="83" t="str">
        <f t="shared" si="26"/>
        <v>0.00%</v>
      </c>
      <c r="P62" s="2">
        <f t="shared" si="31"/>
        <v>0</v>
      </c>
      <c r="Q62" s="854" t="str">
        <f>TEXT('MYP Assumptions'!G75,"0.00%")&amp;", CPI"</f>
        <v>3.02%, CPI</v>
      </c>
      <c r="S62" s="83" t="str">
        <f t="shared" si="27"/>
        <v>0.00%</v>
      </c>
      <c r="T62" s="2">
        <f t="shared" si="32"/>
        <v>0</v>
      </c>
      <c r="U62" s="81" t="str">
        <f>TEXT('MYP Assumptions'!H75,"0.00%")&amp;", CPI"</f>
        <v>2.73%, CPI</v>
      </c>
      <c r="W62" s="83" t="str">
        <f t="shared" si="28"/>
        <v>0.00%</v>
      </c>
      <c r="X62" s="2">
        <f t="shared" si="33"/>
        <v>0</v>
      </c>
      <c r="Y62" s="81" t="str">
        <f>TEXT('MYP Assumptions'!I75,"0.00%")&amp;", CPI"</f>
        <v>2.73%, CPI</v>
      </c>
      <c r="AA62" s="83" t="str">
        <f t="shared" si="29"/>
        <v>0.00%</v>
      </c>
      <c r="AB62" s="2">
        <f t="shared" si="34"/>
        <v>0</v>
      </c>
      <c r="AC62" s="81" t="str">
        <f>TEXT('MYP Assumptions'!J75,"0.00%")&amp;", CPI"</f>
        <v>2.73%, CPI</v>
      </c>
    </row>
    <row r="63" spans="1:29" hidden="1" x14ac:dyDescent="0.25">
      <c r="A63" s="152"/>
      <c r="B63" s="939"/>
      <c r="D63" s="2">
        <v>0</v>
      </c>
      <c r="E63" s="863"/>
      <c r="F63" s="2"/>
      <c r="G63" s="83" t="str">
        <f t="shared" si="23"/>
        <v>0.00%</v>
      </c>
      <c r="H63" s="2">
        <f t="shared" si="24"/>
        <v>0</v>
      </c>
      <c r="I63" s="854" t="str">
        <f>TEXT('MYP Assumptions'!E75,"0.00%")&amp;", CPI"</f>
        <v>3.42%, CPI</v>
      </c>
      <c r="J63" s="66"/>
      <c r="K63" s="83" t="str">
        <f t="shared" si="25"/>
        <v>0.00%</v>
      </c>
      <c r="L63" s="2">
        <f t="shared" si="30"/>
        <v>0</v>
      </c>
      <c r="M63" s="854" t="str">
        <f>TEXT('MYP Assumptions'!F75,"0.00%")&amp;", CPI"</f>
        <v>3.35%, CPI</v>
      </c>
      <c r="O63" s="83" t="str">
        <f t="shared" si="26"/>
        <v>0.00%</v>
      </c>
      <c r="P63" s="2">
        <f t="shared" si="31"/>
        <v>0</v>
      </c>
      <c r="Q63" s="854" t="str">
        <f>TEXT('MYP Assumptions'!G75,"0.00%")&amp;", CPI"</f>
        <v>3.02%, CPI</v>
      </c>
      <c r="S63" s="83" t="str">
        <f t="shared" si="27"/>
        <v>0.00%</v>
      </c>
      <c r="T63" s="2">
        <f t="shared" si="32"/>
        <v>0</v>
      </c>
      <c r="U63" s="81" t="str">
        <f>TEXT('MYP Assumptions'!H75,"0.00%")&amp;", CPI"</f>
        <v>2.73%, CPI</v>
      </c>
      <c r="W63" s="83" t="str">
        <f t="shared" si="28"/>
        <v>0.00%</v>
      </c>
      <c r="X63" s="2">
        <f t="shared" si="33"/>
        <v>0</v>
      </c>
      <c r="Y63" s="81" t="str">
        <f>TEXT('MYP Assumptions'!I75,"0.00%")&amp;", CPI"</f>
        <v>2.73%, CPI</v>
      </c>
      <c r="AA63" s="83" t="str">
        <f t="shared" si="29"/>
        <v>0.00%</v>
      </c>
      <c r="AB63" s="2">
        <f t="shared" si="34"/>
        <v>0</v>
      </c>
      <c r="AC63" s="81" t="str">
        <f>TEXT('MYP Assumptions'!J75,"0.00%")&amp;", CPI"</f>
        <v>2.73%, CPI</v>
      </c>
    </row>
    <row r="64" spans="1:29" hidden="1" x14ac:dyDescent="0.25">
      <c r="A64" s="152"/>
      <c r="B64" s="939"/>
      <c r="D64" s="2">
        <v>0</v>
      </c>
      <c r="E64" s="863"/>
      <c r="F64" s="2"/>
      <c r="G64" s="83" t="str">
        <f t="shared" si="23"/>
        <v>0.00%</v>
      </c>
      <c r="H64" s="2">
        <f t="shared" si="24"/>
        <v>0</v>
      </c>
      <c r="I64" s="854" t="str">
        <f>TEXT('MYP Assumptions'!E75,"0.00%")&amp;", CPI"</f>
        <v>3.42%, CPI</v>
      </c>
      <c r="J64" s="66"/>
      <c r="K64" s="83" t="str">
        <f t="shared" si="25"/>
        <v>0.00%</v>
      </c>
      <c r="L64" s="2">
        <f t="shared" si="30"/>
        <v>0</v>
      </c>
      <c r="M64" s="854" t="str">
        <f>TEXT('MYP Assumptions'!F75,"0.00%")&amp;", CPI"</f>
        <v>3.35%, CPI</v>
      </c>
      <c r="O64" s="83" t="str">
        <f t="shared" si="26"/>
        <v>0.00%</v>
      </c>
      <c r="P64" s="2">
        <f t="shared" si="31"/>
        <v>0</v>
      </c>
      <c r="Q64" s="854" t="str">
        <f>TEXT('MYP Assumptions'!G75,"0.00%")&amp;", CPI"</f>
        <v>3.02%, CPI</v>
      </c>
      <c r="S64" s="83" t="str">
        <f t="shared" si="27"/>
        <v>0.00%</v>
      </c>
      <c r="T64" s="2">
        <f t="shared" si="32"/>
        <v>0</v>
      </c>
      <c r="U64" s="81" t="str">
        <f>TEXT('MYP Assumptions'!H75,"0.00%")&amp;", CPI"</f>
        <v>2.73%, CPI</v>
      </c>
      <c r="W64" s="83" t="str">
        <f t="shared" si="28"/>
        <v>0.00%</v>
      </c>
      <c r="X64" s="2">
        <f t="shared" si="33"/>
        <v>0</v>
      </c>
      <c r="Y64" s="81" t="str">
        <f>TEXT('MYP Assumptions'!I75,"0.00%")&amp;", CPI"</f>
        <v>2.73%, CPI</v>
      </c>
      <c r="AA64" s="83" t="str">
        <f t="shared" si="29"/>
        <v>0.00%</v>
      </c>
      <c r="AB64" s="2">
        <f t="shared" si="34"/>
        <v>0</v>
      </c>
      <c r="AC64" s="81" t="str">
        <f>TEXT('MYP Assumptions'!J75,"0.00%")&amp;", CPI"</f>
        <v>2.73%, CPI</v>
      </c>
    </row>
    <row r="65" spans="1:29" hidden="1" x14ac:dyDescent="0.25">
      <c r="A65" s="152"/>
      <c r="B65" s="939"/>
      <c r="C65" s="941"/>
      <c r="D65" s="2">
        <v>0</v>
      </c>
      <c r="E65" s="863"/>
      <c r="F65" s="2"/>
      <c r="G65" s="83" t="str">
        <f t="shared" si="23"/>
        <v>0.00%</v>
      </c>
      <c r="H65" s="2">
        <f t="shared" si="24"/>
        <v>0</v>
      </c>
      <c r="I65" s="854" t="str">
        <f>TEXT('MYP Assumptions'!E75,"0.00%")&amp;", CPI"</f>
        <v>3.42%, CPI</v>
      </c>
      <c r="J65" s="66"/>
      <c r="K65" s="83" t="str">
        <f t="shared" si="25"/>
        <v>0.00%</v>
      </c>
      <c r="L65" s="2">
        <f t="shared" si="30"/>
        <v>0</v>
      </c>
      <c r="M65" s="854" t="str">
        <f>TEXT('MYP Assumptions'!F75,"0.00%")&amp;", CPI"</f>
        <v>3.35%, CPI</v>
      </c>
      <c r="O65" s="83" t="str">
        <f t="shared" si="26"/>
        <v>0.00%</v>
      </c>
      <c r="P65" s="2">
        <f t="shared" si="31"/>
        <v>0</v>
      </c>
      <c r="Q65" s="854" t="str">
        <f>TEXT('MYP Assumptions'!G75,"0.00%")&amp;", CPI"</f>
        <v>3.02%, CPI</v>
      </c>
      <c r="S65" s="83" t="str">
        <f t="shared" si="27"/>
        <v>0.00%</v>
      </c>
      <c r="T65" s="2">
        <f t="shared" si="32"/>
        <v>0</v>
      </c>
      <c r="U65" s="81" t="str">
        <f>TEXT('MYP Assumptions'!H75,"0.00%")&amp;", CPI"</f>
        <v>2.73%, CPI</v>
      </c>
      <c r="W65" s="83" t="str">
        <f t="shared" si="28"/>
        <v>0.00%</v>
      </c>
      <c r="X65" s="2">
        <f t="shared" si="33"/>
        <v>0</v>
      </c>
      <c r="Y65" s="81" t="str">
        <f>TEXT('MYP Assumptions'!I75,"0.00%")&amp;", CPI"</f>
        <v>2.73%, CPI</v>
      </c>
      <c r="AA65" s="83" t="str">
        <f t="shared" si="29"/>
        <v>0.00%</v>
      </c>
      <c r="AB65" s="2">
        <f t="shared" si="34"/>
        <v>0</v>
      </c>
      <c r="AC65" s="81" t="str">
        <f>TEXT('MYP Assumptions'!J75,"0.00%")&amp;", CPI"</f>
        <v>2.73%, CPI</v>
      </c>
    </row>
    <row r="66" spans="1:29" hidden="1" x14ac:dyDescent="0.25">
      <c r="A66" s="153"/>
      <c r="B66" s="857"/>
      <c r="D66" s="8">
        <f>SUM(D59:D65)</f>
        <v>0</v>
      </c>
      <c r="E66" s="863"/>
      <c r="F66" s="2"/>
      <c r="G66" s="83" t="str">
        <f t="shared" si="23"/>
        <v>0.00%</v>
      </c>
      <c r="H66" s="8">
        <f>SUM(H59:H65)</f>
        <v>0</v>
      </c>
      <c r="I66" s="872"/>
      <c r="J66" s="29"/>
      <c r="K66" s="83" t="str">
        <f t="shared" si="25"/>
        <v>0.00%</v>
      </c>
      <c r="L66" s="8">
        <f>SUM(L59:L65)</f>
        <v>0</v>
      </c>
      <c r="M66" s="948"/>
      <c r="O66" s="83" t="str">
        <f t="shared" si="26"/>
        <v>0.00%</v>
      </c>
      <c r="P66" s="8">
        <f>SUM(P59:P65)</f>
        <v>0</v>
      </c>
      <c r="Q66" s="948"/>
      <c r="S66" s="83" t="str">
        <f t="shared" si="27"/>
        <v>0.00%</v>
      </c>
      <c r="T66" s="8">
        <f>SUM(T59:T65)</f>
        <v>0</v>
      </c>
      <c r="U66" s="73"/>
      <c r="W66" s="83" t="str">
        <f t="shared" si="28"/>
        <v>0.00%</v>
      </c>
      <c r="X66" s="8">
        <f>SUM(X59:X65)</f>
        <v>0</v>
      </c>
      <c r="Y66" s="73"/>
      <c r="AA66" s="83" t="str">
        <f t="shared" si="29"/>
        <v>0.00%</v>
      </c>
      <c r="AB66" s="8">
        <f>SUM(AB59:AB65)</f>
        <v>0</v>
      </c>
      <c r="AC66" s="73"/>
    </row>
    <row r="67" spans="1:29" hidden="1" x14ac:dyDescent="0.25">
      <c r="A67" s="152"/>
      <c r="E67" s="863"/>
      <c r="F67" s="2"/>
      <c r="H67" s="2"/>
      <c r="I67" s="871"/>
      <c r="J67" s="66"/>
      <c r="L67" s="2"/>
      <c r="M67" s="948"/>
      <c r="Q67" s="948"/>
      <c r="T67" s="2"/>
      <c r="U67" s="73"/>
      <c r="X67" s="2"/>
      <c r="Y67" s="73"/>
      <c r="AB67" s="2"/>
      <c r="AC67" s="73"/>
    </row>
    <row r="68" spans="1:29" s="4" customFormat="1" x14ac:dyDescent="0.25">
      <c r="A68" s="150"/>
      <c r="B68" s="936" t="s">
        <v>16</v>
      </c>
      <c r="C68" s="873"/>
      <c r="D68" s="6"/>
      <c r="E68" s="864"/>
      <c r="F68" s="6"/>
      <c r="G68" s="373"/>
      <c r="H68" s="6"/>
      <c r="I68" s="873"/>
      <c r="J68" s="58"/>
      <c r="K68" s="380"/>
      <c r="L68" s="6"/>
      <c r="M68" s="950"/>
      <c r="O68" s="380"/>
      <c r="P68" s="6"/>
      <c r="Q68" s="950"/>
      <c r="R68" s="111"/>
      <c r="U68" s="71"/>
      <c r="Y68" s="71"/>
      <c r="AC68" s="71"/>
    </row>
    <row r="69" spans="1:29" x14ac:dyDescent="0.25">
      <c r="A69" s="152"/>
      <c r="B69" s="939">
        <v>5600</v>
      </c>
      <c r="C69" s="857" t="s">
        <v>329</v>
      </c>
      <c r="D69" s="2">
        <v>78823</v>
      </c>
      <c r="E69" s="863"/>
      <c r="F69" s="2"/>
      <c r="G69" s="83">
        <f t="shared" ref="G69:G74" si="35">IF(D69=0,"0.00%",(H69-D69)/D69)</f>
        <v>3.1865952831026476</v>
      </c>
      <c r="H69" s="2">
        <v>330000</v>
      </c>
      <c r="I69" s="854"/>
      <c r="J69" s="66"/>
      <c r="K69" s="83">
        <f t="shared" ref="K69:K82" si="36">IF(H69=0,"0.00%",(L69-H69)/H69)</f>
        <v>-1</v>
      </c>
      <c r="L69" s="2">
        <v>0</v>
      </c>
      <c r="M69" s="854"/>
      <c r="O69" s="83" t="str">
        <f t="shared" ref="O69:O82" si="37">IF(L69=0,"0.00%",(P69-L69)/L69)</f>
        <v>0.00%</v>
      </c>
      <c r="P69" s="2">
        <v>0</v>
      </c>
      <c r="Q69" s="854"/>
      <c r="S69" s="83" t="str">
        <f t="shared" ref="S69:S82" si="38">IF(P69=0,"0.00%",(T69-P69)/P69)</f>
        <v>0.00%</v>
      </c>
      <c r="T69" s="2">
        <f>ROUND(P69*(LEFT(U69,5)+1),0)</f>
        <v>0</v>
      </c>
      <c r="U69" s="81" t="str">
        <f>TEXT('MYP Assumptions'!H75,"0.00%")&amp;", CPI"</f>
        <v>2.73%, CPI</v>
      </c>
      <c r="W69" s="83" t="str">
        <f t="shared" ref="W69:W82" si="39">IF(T69=0,"0.00%",(X69-T69)/T69)</f>
        <v>0.00%</v>
      </c>
      <c r="X69" s="2">
        <f>ROUND(T69*(LEFT(Y69,5)+1),0)</f>
        <v>0</v>
      </c>
      <c r="Y69" s="81" t="str">
        <f>TEXT('MYP Assumptions'!I75,"0.00%")&amp;", CPI"</f>
        <v>2.73%, CPI</v>
      </c>
      <c r="AA69" s="83" t="str">
        <f t="shared" ref="AA69:AA82" si="40">IF(X69=0,"0.00%",(AB69-X69)/X69)</f>
        <v>0.00%</v>
      </c>
      <c r="AB69" s="2">
        <f>ROUND(X69*(LEFT(AC69,5)+1),0)</f>
        <v>0</v>
      </c>
      <c r="AC69" s="81" t="str">
        <f>TEXT('MYP Assumptions'!J75,"0.00%")&amp;", CPI"</f>
        <v>2.73%, CPI</v>
      </c>
    </row>
    <row r="70" spans="1:29" x14ac:dyDescent="0.25">
      <c r="A70" s="152"/>
      <c r="B70" s="939">
        <v>5809</v>
      </c>
      <c r="C70" s="857" t="s">
        <v>123</v>
      </c>
      <c r="D70" s="2">
        <v>2250</v>
      </c>
      <c r="E70" s="863"/>
      <c r="F70" s="2"/>
      <c r="G70" s="83">
        <f t="shared" si="35"/>
        <v>-0.9</v>
      </c>
      <c r="H70" s="2">
        <v>225</v>
      </c>
      <c r="I70" s="854"/>
      <c r="J70" s="66"/>
      <c r="K70" s="83">
        <f t="shared" si="36"/>
        <v>-1</v>
      </c>
      <c r="L70" s="2">
        <v>0</v>
      </c>
      <c r="M70" s="854"/>
      <c r="O70" s="83" t="str">
        <f t="shared" si="37"/>
        <v>0.00%</v>
      </c>
      <c r="Q70" s="854"/>
      <c r="S70" s="83" t="str">
        <f t="shared" si="38"/>
        <v>0.00%</v>
      </c>
      <c r="T70" s="2">
        <f t="shared" ref="T70:T81" si="41">ROUND(P70*(LEFT(U70,5)+1),0)</f>
        <v>0</v>
      </c>
      <c r="U70" s="81" t="str">
        <f>TEXT('MYP Assumptions'!H75,"0.00%")&amp;", CPI"</f>
        <v>2.73%, CPI</v>
      </c>
      <c r="W70" s="83" t="str">
        <f t="shared" si="39"/>
        <v>0.00%</v>
      </c>
      <c r="X70" s="2">
        <f t="shared" ref="X70:X81" si="42">ROUND(T70*(LEFT(Y70,5)+1),0)</f>
        <v>0</v>
      </c>
      <c r="Y70" s="81" t="str">
        <f>TEXT('MYP Assumptions'!I75,"0.00%")&amp;", CPI"</f>
        <v>2.73%, CPI</v>
      </c>
      <c r="AA70" s="83" t="str">
        <f t="shared" si="40"/>
        <v>0.00%</v>
      </c>
      <c r="AB70" s="2">
        <f t="shared" ref="AB70:AB81" si="43">ROUND(X70*(LEFT(AC70,5)+1),0)</f>
        <v>0</v>
      </c>
      <c r="AC70" s="81" t="str">
        <f>TEXT('MYP Assumptions'!J75,"0.00%")&amp;", CPI"</f>
        <v>2.73%, CPI</v>
      </c>
    </row>
    <row r="71" spans="1:29" x14ac:dyDescent="0.25">
      <c r="A71" s="152"/>
      <c r="B71" s="939"/>
      <c r="D71" s="2">
        <v>0</v>
      </c>
      <c r="E71" s="863"/>
      <c r="F71" s="2"/>
      <c r="G71" s="83" t="str">
        <f t="shared" si="35"/>
        <v>0.00%</v>
      </c>
      <c r="H71" s="2">
        <v>0</v>
      </c>
      <c r="I71" s="854"/>
      <c r="J71" s="66"/>
      <c r="K71" s="83" t="str">
        <f t="shared" si="36"/>
        <v>0.00%</v>
      </c>
      <c r="L71" s="2">
        <v>0</v>
      </c>
      <c r="M71" s="854"/>
      <c r="O71" s="83" t="str">
        <f t="shared" si="37"/>
        <v>0.00%</v>
      </c>
      <c r="Q71" s="854"/>
      <c r="S71" s="83" t="str">
        <f t="shared" si="38"/>
        <v>0.00%</v>
      </c>
      <c r="T71" s="2">
        <f t="shared" si="41"/>
        <v>0</v>
      </c>
      <c r="U71" s="81" t="str">
        <f>TEXT('MYP Assumptions'!H75,"0.00%")&amp;", CPI"</f>
        <v>2.73%, CPI</v>
      </c>
      <c r="W71" s="83" t="str">
        <f t="shared" si="39"/>
        <v>0.00%</v>
      </c>
      <c r="X71" s="2">
        <f t="shared" si="42"/>
        <v>0</v>
      </c>
      <c r="Y71" s="81" t="str">
        <f>TEXT('MYP Assumptions'!I75,"0.00%")&amp;", CPI"</f>
        <v>2.73%, CPI</v>
      </c>
      <c r="AA71" s="83" t="str">
        <f t="shared" si="40"/>
        <v>0.00%</v>
      </c>
      <c r="AB71" s="2">
        <f t="shared" si="43"/>
        <v>0</v>
      </c>
      <c r="AC71" s="81" t="str">
        <f>TEXT('MYP Assumptions'!J75,"0.00%")&amp;", CPI"</f>
        <v>2.73%, CPI</v>
      </c>
    </row>
    <row r="72" spans="1:29" hidden="1" x14ac:dyDescent="0.25">
      <c r="A72" s="152"/>
      <c r="B72" s="939"/>
      <c r="D72" s="2">
        <v>0</v>
      </c>
      <c r="E72" s="863"/>
      <c r="F72" s="2"/>
      <c r="G72" s="83" t="str">
        <f t="shared" si="35"/>
        <v>0.00%</v>
      </c>
      <c r="H72" s="2">
        <f t="shared" ref="H72:H76" si="44">ROUND(D72*(LEFT(I72,5)+1),0)</f>
        <v>0</v>
      </c>
      <c r="I72" s="854" t="str">
        <f>TEXT('MYP Assumptions'!E75,"0.00%")&amp;", CPI"</f>
        <v>3.42%, CPI</v>
      </c>
      <c r="J72" s="66"/>
      <c r="K72" s="83" t="str">
        <f t="shared" si="36"/>
        <v>0.00%</v>
      </c>
      <c r="L72" s="2">
        <f t="shared" ref="L72:L81" si="45">ROUND(H72*(LEFT(M72,5)+1),0)</f>
        <v>0</v>
      </c>
      <c r="M72" s="854" t="str">
        <f>TEXT('MYP Assumptions'!F75,"0.00%")&amp;", CPI"</f>
        <v>3.35%, CPI</v>
      </c>
      <c r="O72" s="83" t="str">
        <f t="shared" si="37"/>
        <v>0.00%</v>
      </c>
      <c r="P72" s="2">
        <f t="shared" ref="P72:P81" si="46">ROUND(L72*(LEFT(Q72,5)+1),0)</f>
        <v>0</v>
      </c>
      <c r="Q72" s="854" t="str">
        <f>TEXT('MYP Assumptions'!G75,"0.00%")&amp;", CPI"</f>
        <v>3.02%, CPI</v>
      </c>
      <c r="S72" s="83" t="str">
        <f t="shared" si="38"/>
        <v>0.00%</v>
      </c>
      <c r="T72" s="2">
        <f t="shared" si="41"/>
        <v>0</v>
      </c>
      <c r="U72" s="81" t="str">
        <f>TEXT('MYP Assumptions'!H75,"0.00%")&amp;", CPI"</f>
        <v>2.73%, CPI</v>
      </c>
      <c r="W72" s="83" t="str">
        <f t="shared" si="39"/>
        <v>0.00%</v>
      </c>
      <c r="X72" s="2">
        <f t="shared" si="42"/>
        <v>0</v>
      </c>
      <c r="Y72" s="81" t="str">
        <f>TEXT('MYP Assumptions'!I75,"0.00%")&amp;", CPI"</f>
        <v>2.73%, CPI</v>
      </c>
      <c r="AA72" s="83" t="str">
        <f t="shared" si="40"/>
        <v>0.00%</v>
      </c>
      <c r="AB72" s="2">
        <f t="shared" si="43"/>
        <v>0</v>
      </c>
      <c r="AC72" s="81" t="str">
        <f>TEXT('MYP Assumptions'!J75,"0.00%")&amp;", CPI"</f>
        <v>2.73%, CPI</v>
      </c>
    </row>
    <row r="73" spans="1:29" hidden="1" x14ac:dyDescent="0.25">
      <c r="A73" s="152"/>
      <c r="B73" s="939"/>
      <c r="D73" s="2">
        <v>0</v>
      </c>
      <c r="E73" s="863"/>
      <c r="F73" s="2"/>
      <c r="G73" s="83" t="str">
        <f t="shared" si="35"/>
        <v>0.00%</v>
      </c>
      <c r="H73" s="2">
        <f t="shared" si="44"/>
        <v>0</v>
      </c>
      <c r="I73" s="854" t="str">
        <f>TEXT('MYP Assumptions'!E75,"0.00%")&amp;", CPI"</f>
        <v>3.42%, CPI</v>
      </c>
      <c r="J73" s="66"/>
      <c r="K73" s="83" t="str">
        <f t="shared" si="36"/>
        <v>0.00%</v>
      </c>
      <c r="L73" s="2">
        <f t="shared" si="45"/>
        <v>0</v>
      </c>
      <c r="M73" s="854" t="str">
        <f>TEXT('MYP Assumptions'!F75,"0.00%")&amp;", CPI"</f>
        <v>3.35%, CPI</v>
      </c>
      <c r="O73" s="83" t="str">
        <f t="shared" si="37"/>
        <v>0.00%</v>
      </c>
      <c r="P73" s="2">
        <f t="shared" si="46"/>
        <v>0</v>
      </c>
      <c r="Q73" s="854" t="str">
        <f>TEXT('MYP Assumptions'!G75,"0.00%")&amp;", CPI"</f>
        <v>3.02%, CPI</v>
      </c>
      <c r="S73" s="83" t="str">
        <f t="shared" si="38"/>
        <v>0.00%</v>
      </c>
      <c r="T73" s="2">
        <f t="shared" si="41"/>
        <v>0</v>
      </c>
      <c r="U73" s="81" t="str">
        <f>TEXT('MYP Assumptions'!H75,"0.00%")&amp;", CPI"</f>
        <v>2.73%, CPI</v>
      </c>
      <c r="W73" s="83" t="str">
        <f t="shared" si="39"/>
        <v>0.00%</v>
      </c>
      <c r="X73" s="2">
        <f t="shared" si="42"/>
        <v>0</v>
      </c>
      <c r="Y73" s="81" t="str">
        <f>TEXT('MYP Assumptions'!I75,"0.00%")&amp;", CPI"</f>
        <v>2.73%, CPI</v>
      </c>
      <c r="AA73" s="83" t="str">
        <f t="shared" si="40"/>
        <v>0.00%</v>
      </c>
      <c r="AB73" s="2">
        <f t="shared" si="43"/>
        <v>0</v>
      </c>
      <c r="AC73" s="81" t="str">
        <f>TEXT('MYP Assumptions'!J75,"0.00%")&amp;", CPI"</f>
        <v>2.73%, CPI</v>
      </c>
    </row>
    <row r="74" spans="1:29" hidden="1" x14ac:dyDescent="0.25">
      <c r="A74" s="152"/>
      <c r="B74" s="939"/>
      <c r="D74" s="2">
        <v>0</v>
      </c>
      <c r="E74" s="863"/>
      <c r="F74" s="2"/>
      <c r="G74" s="83" t="str">
        <f t="shared" si="35"/>
        <v>0.00%</v>
      </c>
      <c r="H74" s="2">
        <f t="shared" si="44"/>
        <v>0</v>
      </c>
      <c r="I74" s="854" t="str">
        <f>TEXT('MYP Assumptions'!E75,"0.00%")&amp;", CPI"</f>
        <v>3.42%, CPI</v>
      </c>
      <c r="J74" s="66"/>
      <c r="K74" s="83" t="str">
        <f t="shared" si="36"/>
        <v>0.00%</v>
      </c>
      <c r="L74" s="2">
        <f t="shared" si="45"/>
        <v>0</v>
      </c>
      <c r="M74" s="854" t="str">
        <f>TEXT('MYP Assumptions'!F75,"0.00%")&amp;", CPI"</f>
        <v>3.35%, CPI</v>
      </c>
      <c r="O74" s="83" t="str">
        <f t="shared" si="37"/>
        <v>0.00%</v>
      </c>
      <c r="P74" s="2">
        <f t="shared" si="46"/>
        <v>0</v>
      </c>
      <c r="Q74" s="854" t="str">
        <f>TEXT('MYP Assumptions'!G75,"0.00%")&amp;", CPI"</f>
        <v>3.02%, CPI</v>
      </c>
      <c r="S74" s="83" t="str">
        <f t="shared" si="38"/>
        <v>0.00%</v>
      </c>
      <c r="T74" s="2">
        <f t="shared" si="41"/>
        <v>0</v>
      </c>
      <c r="U74" s="81" t="str">
        <f>TEXT('MYP Assumptions'!H75,"0.00%")&amp;", CPI"</f>
        <v>2.73%, CPI</v>
      </c>
      <c r="W74" s="83" t="str">
        <f t="shared" si="39"/>
        <v>0.00%</v>
      </c>
      <c r="X74" s="2">
        <f t="shared" si="42"/>
        <v>0</v>
      </c>
      <c r="Y74" s="81" t="str">
        <f>TEXT('MYP Assumptions'!I75,"0.00%")&amp;", CPI"</f>
        <v>2.73%, CPI</v>
      </c>
      <c r="AA74" s="83" t="str">
        <f t="shared" si="40"/>
        <v>0.00%</v>
      </c>
      <c r="AB74" s="2">
        <f t="shared" si="43"/>
        <v>0</v>
      </c>
      <c r="AC74" s="81" t="str">
        <f>TEXT('MYP Assumptions'!J75,"0.00%")&amp;", CPI"</f>
        <v>2.73%, CPI</v>
      </c>
    </row>
    <row r="75" spans="1:29" hidden="1" x14ac:dyDescent="0.25">
      <c r="A75" s="152"/>
      <c r="B75" s="939"/>
      <c r="D75" s="2">
        <v>0</v>
      </c>
      <c r="E75" s="863"/>
      <c r="F75" s="2"/>
      <c r="G75" s="83" t="str">
        <f>IF(D75=0,"0.00%",(H75-D75)/D75)</f>
        <v>0.00%</v>
      </c>
      <c r="H75" s="2">
        <f t="shared" si="44"/>
        <v>0</v>
      </c>
      <c r="I75" s="854" t="str">
        <f>TEXT('MYP Assumptions'!E75,"0.00%")&amp;", CPI"</f>
        <v>3.42%, CPI</v>
      </c>
      <c r="J75" s="66"/>
      <c r="K75" s="83" t="str">
        <f t="shared" si="36"/>
        <v>0.00%</v>
      </c>
      <c r="L75" s="2">
        <f t="shared" si="45"/>
        <v>0</v>
      </c>
      <c r="M75" s="854" t="str">
        <f>TEXT('MYP Assumptions'!F75,"0.00%")&amp;", CPI"</f>
        <v>3.35%, CPI</v>
      </c>
      <c r="O75" s="83" t="str">
        <f t="shared" si="37"/>
        <v>0.00%</v>
      </c>
      <c r="P75" s="2">
        <f t="shared" si="46"/>
        <v>0</v>
      </c>
      <c r="Q75" s="854" t="str">
        <f>TEXT('MYP Assumptions'!G75,"0.00%")&amp;", CPI"</f>
        <v>3.02%, CPI</v>
      </c>
      <c r="S75" s="83" t="str">
        <f t="shared" si="38"/>
        <v>0.00%</v>
      </c>
      <c r="T75" s="2">
        <f t="shared" si="41"/>
        <v>0</v>
      </c>
      <c r="U75" s="81" t="str">
        <f>TEXT('MYP Assumptions'!H75,"0.00%")&amp;", CPI"</f>
        <v>2.73%, CPI</v>
      </c>
      <c r="W75" s="83" t="str">
        <f t="shared" si="39"/>
        <v>0.00%</v>
      </c>
      <c r="X75" s="2">
        <f t="shared" si="42"/>
        <v>0</v>
      </c>
      <c r="Y75" s="81" t="str">
        <f>TEXT('MYP Assumptions'!I75,"0.00%")&amp;", CPI"</f>
        <v>2.73%, CPI</v>
      </c>
      <c r="AA75" s="83" t="str">
        <f t="shared" si="40"/>
        <v>0.00%</v>
      </c>
      <c r="AB75" s="2">
        <f t="shared" si="43"/>
        <v>0</v>
      </c>
      <c r="AC75" s="81" t="str">
        <f>TEXT('MYP Assumptions'!J75,"0.00%")&amp;", CPI"</f>
        <v>2.73%, CPI</v>
      </c>
    </row>
    <row r="76" spans="1:29" hidden="1" x14ac:dyDescent="0.25">
      <c r="A76" s="152"/>
      <c r="B76" s="939"/>
      <c r="D76" s="2">
        <v>0</v>
      </c>
      <c r="E76" s="863"/>
      <c r="F76" s="2"/>
      <c r="G76" s="83" t="str">
        <f t="shared" ref="G76:G82" si="47">IF(D76=0,"0.00%",(H76-D76)/D76)</f>
        <v>0.00%</v>
      </c>
      <c r="H76" s="2">
        <f t="shared" si="44"/>
        <v>0</v>
      </c>
      <c r="I76" s="854" t="str">
        <f>TEXT('MYP Assumptions'!E75,"0.00%")&amp;", CPI"</f>
        <v>3.42%, CPI</v>
      </c>
      <c r="J76" s="66"/>
      <c r="K76" s="83" t="str">
        <f t="shared" si="36"/>
        <v>0.00%</v>
      </c>
      <c r="L76" s="2">
        <f t="shared" si="45"/>
        <v>0</v>
      </c>
      <c r="M76" s="854" t="str">
        <f>TEXT('MYP Assumptions'!F75,"0.00%")&amp;", CPI"</f>
        <v>3.35%, CPI</v>
      </c>
      <c r="O76" s="83" t="str">
        <f t="shared" si="37"/>
        <v>0.00%</v>
      </c>
      <c r="P76" s="2">
        <f t="shared" si="46"/>
        <v>0</v>
      </c>
      <c r="Q76" s="854" t="str">
        <f>TEXT('MYP Assumptions'!G75,"0.00%")&amp;", CPI"</f>
        <v>3.02%, CPI</v>
      </c>
      <c r="S76" s="83" t="str">
        <f t="shared" si="38"/>
        <v>0.00%</v>
      </c>
      <c r="T76" s="2">
        <f t="shared" si="41"/>
        <v>0</v>
      </c>
      <c r="U76" s="81" t="str">
        <f>TEXT('MYP Assumptions'!H75,"0.00%")&amp;", CPI"</f>
        <v>2.73%, CPI</v>
      </c>
      <c r="W76" s="83" t="str">
        <f t="shared" si="39"/>
        <v>0.00%</v>
      </c>
      <c r="X76" s="2">
        <f t="shared" si="42"/>
        <v>0</v>
      </c>
      <c r="Y76" s="81" t="str">
        <f>TEXT('MYP Assumptions'!I75,"0.00%")&amp;", CPI"</f>
        <v>2.73%, CPI</v>
      </c>
      <c r="AA76" s="83" t="str">
        <f t="shared" si="40"/>
        <v>0.00%</v>
      </c>
      <c r="AB76" s="2">
        <f t="shared" si="43"/>
        <v>0</v>
      </c>
      <c r="AC76" s="81" t="str">
        <f>TEXT('MYP Assumptions'!J75,"0.00%")&amp;", CPI"</f>
        <v>2.73%, CPI</v>
      </c>
    </row>
    <row r="77" spans="1:29" hidden="1" x14ac:dyDescent="0.25">
      <c r="A77" s="152"/>
      <c r="B77" s="939"/>
      <c r="D77" s="2">
        <v>0</v>
      </c>
      <c r="E77" s="863"/>
      <c r="F77" s="2"/>
      <c r="G77" s="83" t="str">
        <f t="shared" si="47"/>
        <v>0.00%</v>
      </c>
      <c r="H77" s="2">
        <f>ROUND(D77*(LEFT(I77,5)+1),0)</f>
        <v>0</v>
      </c>
      <c r="I77" s="854" t="str">
        <f>TEXT('MYP Assumptions'!E75,"0.00%")&amp;", CPI"</f>
        <v>3.42%, CPI</v>
      </c>
      <c r="J77" s="66"/>
      <c r="K77" s="83" t="str">
        <f t="shared" si="36"/>
        <v>0.00%</v>
      </c>
      <c r="L77" s="2">
        <f t="shared" si="45"/>
        <v>0</v>
      </c>
      <c r="M77" s="854" t="str">
        <f>TEXT('MYP Assumptions'!F75,"0.00%")&amp;", CPI"</f>
        <v>3.35%, CPI</v>
      </c>
      <c r="O77" s="83" t="str">
        <f t="shared" si="37"/>
        <v>0.00%</v>
      </c>
      <c r="P77" s="2">
        <f t="shared" si="46"/>
        <v>0</v>
      </c>
      <c r="Q77" s="854" t="str">
        <f>TEXT('MYP Assumptions'!G75,"0.00%")&amp;", CPI"</f>
        <v>3.02%, CPI</v>
      </c>
      <c r="S77" s="83" t="str">
        <f t="shared" si="38"/>
        <v>0.00%</v>
      </c>
      <c r="T77" s="2">
        <f t="shared" si="41"/>
        <v>0</v>
      </c>
      <c r="U77" s="81" t="str">
        <f>TEXT('MYP Assumptions'!H75,"0.00%")&amp;", CPI"</f>
        <v>2.73%, CPI</v>
      </c>
      <c r="W77" s="83" t="str">
        <f t="shared" si="39"/>
        <v>0.00%</v>
      </c>
      <c r="X77" s="2">
        <f t="shared" si="42"/>
        <v>0</v>
      </c>
      <c r="Y77" s="81" t="str">
        <f>TEXT('MYP Assumptions'!I75,"0.00%")&amp;", CPI"</f>
        <v>2.73%, CPI</v>
      </c>
      <c r="AA77" s="83" t="str">
        <f t="shared" si="40"/>
        <v>0.00%</v>
      </c>
      <c r="AB77" s="2">
        <f t="shared" si="43"/>
        <v>0</v>
      </c>
      <c r="AC77" s="81" t="str">
        <f>TEXT('MYP Assumptions'!J75,"0.00%")&amp;", CPI"</f>
        <v>2.73%, CPI</v>
      </c>
    </row>
    <row r="78" spans="1:29" hidden="1" x14ac:dyDescent="0.25">
      <c r="A78" s="152"/>
      <c r="B78" s="939"/>
      <c r="D78" s="2">
        <v>0</v>
      </c>
      <c r="E78" s="863"/>
      <c r="F78" s="2"/>
      <c r="G78" s="83" t="str">
        <f t="shared" si="47"/>
        <v>0.00%</v>
      </c>
      <c r="H78" s="2">
        <f>ROUND(D78*(LEFT(I78,5)+1),0)</f>
        <v>0</v>
      </c>
      <c r="I78" s="854" t="str">
        <f>TEXT('MYP Assumptions'!E75,"0.00%")&amp;", CPI"</f>
        <v>3.42%, CPI</v>
      </c>
      <c r="J78" s="66"/>
      <c r="K78" s="83" t="str">
        <f t="shared" si="36"/>
        <v>0.00%</v>
      </c>
      <c r="L78" s="2">
        <f t="shared" si="45"/>
        <v>0</v>
      </c>
      <c r="M78" s="854" t="str">
        <f>TEXT('MYP Assumptions'!F75,"0.00%")&amp;", CPI"</f>
        <v>3.35%, CPI</v>
      </c>
      <c r="O78" s="83" t="str">
        <f t="shared" si="37"/>
        <v>0.00%</v>
      </c>
      <c r="P78" s="2">
        <f t="shared" si="46"/>
        <v>0</v>
      </c>
      <c r="Q78" s="854" t="str">
        <f>TEXT('MYP Assumptions'!G75,"0.00%")&amp;", CPI"</f>
        <v>3.02%, CPI</v>
      </c>
      <c r="S78" s="83" t="str">
        <f t="shared" si="38"/>
        <v>0.00%</v>
      </c>
      <c r="T78" s="2">
        <f t="shared" si="41"/>
        <v>0</v>
      </c>
      <c r="U78" s="81" t="str">
        <f>TEXT('MYP Assumptions'!H75,"0.00%")&amp;", CPI"</f>
        <v>2.73%, CPI</v>
      </c>
      <c r="W78" s="83" t="str">
        <f t="shared" si="39"/>
        <v>0.00%</v>
      </c>
      <c r="X78" s="2">
        <f t="shared" si="42"/>
        <v>0</v>
      </c>
      <c r="Y78" s="81" t="str">
        <f>TEXT('MYP Assumptions'!I75,"0.00%")&amp;", CPI"</f>
        <v>2.73%, CPI</v>
      </c>
      <c r="AA78" s="83" t="str">
        <f t="shared" si="40"/>
        <v>0.00%</v>
      </c>
      <c r="AB78" s="2">
        <f t="shared" si="43"/>
        <v>0</v>
      </c>
      <c r="AC78" s="81" t="str">
        <f>TEXT('MYP Assumptions'!J75,"0.00%")&amp;", CPI"</f>
        <v>2.73%, CPI</v>
      </c>
    </row>
    <row r="79" spans="1:29" hidden="1" x14ac:dyDescent="0.25">
      <c r="A79" s="152"/>
      <c r="B79" s="939"/>
      <c r="D79" s="2">
        <v>0</v>
      </c>
      <c r="E79" s="863"/>
      <c r="F79" s="2"/>
      <c r="G79" s="83" t="str">
        <f t="shared" si="47"/>
        <v>0.00%</v>
      </c>
      <c r="H79" s="2">
        <f>ROUND(D79*(LEFT(I79,5)+1),0)</f>
        <v>0</v>
      </c>
      <c r="I79" s="854" t="str">
        <f>TEXT('MYP Assumptions'!E75,"0.00%")&amp;", CPI"</f>
        <v>3.42%, CPI</v>
      </c>
      <c r="J79" s="66"/>
      <c r="K79" s="83" t="str">
        <f t="shared" si="36"/>
        <v>0.00%</v>
      </c>
      <c r="L79" s="2">
        <f t="shared" si="45"/>
        <v>0</v>
      </c>
      <c r="M79" s="854" t="str">
        <f>TEXT('MYP Assumptions'!F75,"0.00%")&amp;", CPI"</f>
        <v>3.35%, CPI</v>
      </c>
      <c r="O79" s="83" t="str">
        <f t="shared" si="37"/>
        <v>0.00%</v>
      </c>
      <c r="P79" s="2">
        <f t="shared" si="46"/>
        <v>0</v>
      </c>
      <c r="Q79" s="854" t="str">
        <f>TEXT('MYP Assumptions'!G75,"0.00%")&amp;", CPI"</f>
        <v>3.02%, CPI</v>
      </c>
      <c r="S79" s="83" t="str">
        <f t="shared" si="38"/>
        <v>0.00%</v>
      </c>
      <c r="T79" s="2">
        <f t="shared" si="41"/>
        <v>0</v>
      </c>
      <c r="U79" s="81" t="str">
        <f>TEXT('MYP Assumptions'!H75,"0.00%")&amp;", CPI"</f>
        <v>2.73%, CPI</v>
      </c>
      <c r="W79" s="83" t="str">
        <f t="shared" si="39"/>
        <v>0.00%</v>
      </c>
      <c r="X79" s="2">
        <f t="shared" si="42"/>
        <v>0</v>
      </c>
      <c r="Y79" s="81" t="str">
        <f>TEXT('MYP Assumptions'!I75,"0.00%")&amp;", CPI"</f>
        <v>2.73%, CPI</v>
      </c>
      <c r="AA79" s="83" t="str">
        <f t="shared" si="40"/>
        <v>0.00%</v>
      </c>
      <c r="AB79" s="2">
        <f t="shared" si="43"/>
        <v>0</v>
      </c>
      <c r="AC79" s="81" t="str">
        <f>TEXT('MYP Assumptions'!J75,"0.00%")&amp;", CPI"</f>
        <v>2.73%, CPI</v>
      </c>
    </row>
    <row r="80" spans="1:29" hidden="1" x14ac:dyDescent="0.25">
      <c r="A80" s="152"/>
      <c r="B80" s="939"/>
      <c r="D80" s="2">
        <v>0</v>
      </c>
      <c r="E80" s="863"/>
      <c r="F80" s="2"/>
      <c r="G80" s="83" t="str">
        <f t="shared" si="47"/>
        <v>0.00%</v>
      </c>
      <c r="H80" s="2">
        <f>ROUND(D80*(LEFT(I80,5)+1),0)</f>
        <v>0</v>
      </c>
      <c r="I80" s="854" t="str">
        <f>TEXT('MYP Assumptions'!E75,"0.00%")&amp;", CPI"</f>
        <v>3.42%, CPI</v>
      </c>
      <c r="J80" s="66"/>
      <c r="K80" s="83" t="str">
        <f t="shared" si="36"/>
        <v>0.00%</v>
      </c>
      <c r="L80" s="2">
        <f t="shared" si="45"/>
        <v>0</v>
      </c>
      <c r="M80" s="854" t="str">
        <f>TEXT('MYP Assumptions'!F75,"0.00%")&amp;", CPI"</f>
        <v>3.35%, CPI</v>
      </c>
      <c r="O80" s="83" t="str">
        <f t="shared" si="37"/>
        <v>0.00%</v>
      </c>
      <c r="P80" s="2">
        <f t="shared" si="46"/>
        <v>0</v>
      </c>
      <c r="Q80" s="854" t="str">
        <f>TEXT('MYP Assumptions'!G75,"0.00%")&amp;", CPI"</f>
        <v>3.02%, CPI</v>
      </c>
      <c r="S80" s="83" t="str">
        <f t="shared" si="38"/>
        <v>0.00%</v>
      </c>
      <c r="T80" s="2">
        <f t="shared" si="41"/>
        <v>0</v>
      </c>
      <c r="U80" s="81" t="str">
        <f>TEXT('MYP Assumptions'!H75,"0.00%")&amp;", CPI"</f>
        <v>2.73%, CPI</v>
      </c>
      <c r="W80" s="83" t="str">
        <f t="shared" si="39"/>
        <v>0.00%</v>
      </c>
      <c r="X80" s="2">
        <f t="shared" si="42"/>
        <v>0</v>
      </c>
      <c r="Y80" s="81" t="str">
        <f>TEXT('MYP Assumptions'!I75,"0.00%")&amp;", CPI"</f>
        <v>2.73%, CPI</v>
      </c>
      <c r="AA80" s="83" t="str">
        <f t="shared" si="40"/>
        <v>0.00%</v>
      </c>
      <c r="AB80" s="2">
        <f t="shared" si="43"/>
        <v>0</v>
      </c>
      <c r="AC80" s="81" t="str">
        <f>TEXT('MYP Assumptions'!J75,"0.00%")&amp;", CPI"</f>
        <v>2.73%, CPI</v>
      </c>
    </row>
    <row r="81" spans="1:29" hidden="1" x14ac:dyDescent="0.25">
      <c r="A81" s="152"/>
      <c r="B81" s="939"/>
      <c r="D81" s="2">
        <f>'RS 3010-ALL'!AF80</f>
        <v>0</v>
      </c>
      <c r="E81" s="863"/>
      <c r="F81" s="2"/>
      <c r="G81" s="83" t="str">
        <f t="shared" si="47"/>
        <v>0.00%</v>
      </c>
      <c r="H81" s="2">
        <f>ROUND(D81*(LEFT(I81,5)+1),0)</f>
        <v>0</v>
      </c>
      <c r="I81" s="854" t="str">
        <f>TEXT('MYP Assumptions'!E75,"0.00%")&amp;", CPI"</f>
        <v>3.42%, CPI</v>
      </c>
      <c r="J81" s="66"/>
      <c r="K81" s="83" t="str">
        <f t="shared" si="36"/>
        <v>0.00%</v>
      </c>
      <c r="L81" s="2">
        <f t="shared" si="45"/>
        <v>0</v>
      </c>
      <c r="M81" s="854" t="str">
        <f>TEXT('MYP Assumptions'!F75,"0.00%")&amp;", CPI"</f>
        <v>3.35%, CPI</v>
      </c>
      <c r="O81" s="83" t="str">
        <f t="shared" si="37"/>
        <v>0.00%</v>
      </c>
      <c r="P81" s="2">
        <f t="shared" si="46"/>
        <v>0</v>
      </c>
      <c r="Q81" s="854" t="str">
        <f>TEXT('MYP Assumptions'!G75,"0.00%")&amp;", CPI"</f>
        <v>3.02%, CPI</v>
      </c>
      <c r="S81" s="83" t="str">
        <f t="shared" si="38"/>
        <v>0.00%</v>
      </c>
      <c r="T81" s="2">
        <f t="shared" si="41"/>
        <v>0</v>
      </c>
      <c r="U81" s="81" t="str">
        <f>TEXT('MYP Assumptions'!H75,"0.00%")&amp;", CPI"</f>
        <v>2.73%, CPI</v>
      </c>
      <c r="W81" s="83" t="str">
        <f t="shared" si="39"/>
        <v>0.00%</v>
      </c>
      <c r="X81" s="2">
        <f t="shared" si="42"/>
        <v>0</v>
      </c>
      <c r="Y81" s="81" t="str">
        <f>TEXT('MYP Assumptions'!I75,"0.00%")&amp;", CPI"</f>
        <v>2.73%, CPI</v>
      </c>
      <c r="AA81" s="83" t="str">
        <f t="shared" si="40"/>
        <v>0.00%</v>
      </c>
      <c r="AB81" s="2">
        <f t="shared" si="43"/>
        <v>0</v>
      </c>
      <c r="AC81" s="81" t="str">
        <f>TEXT('MYP Assumptions'!J75,"0.00%")&amp;", CPI"</f>
        <v>2.73%, CPI</v>
      </c>
    </row>
    <row r="82" spans="1:29" x14ac:dyDescent="0.25">
      <c r="A82" s="153"/>
      <c r="D82" s="8">
        <f>SUM(D69:D81)</f>
        <v>81073</v>
      </c>
      <c r="E82" s="863"/>
      <c r="F82" s="2"/>
      <c r="G82" s="83">
        <f t="shared" si="47"/>
        <v>3.0731809603690503</v>
      </c>
      <c r="H82" s="8">
        <f>SUM(H69:H81)</f>
        <v>330225</v>
      </c>
      <c r="I82" s="1292">
        <f>+H82-D82</f>
        <v>249152</v>
      </c>
      <c r="J82" s="29"/>
      <c r="K82" s="83">
        <f t="shared" si="36"/>
        <v>-1</v>
      </c>
      <c r="L82" s="8">
        <f>SUM(L69:L81)</f>
        <v>0</v>
      </c>
      <c r="M82" s="1292">
        <f>+L82-H82</f>
        <v>-330225</v>
      </c>
      <c r="O82" s="83" t="str">
        <f t="shared" si="37"/>
        <v>0.00%</v>
      </c>
      <c r="P82" s="8">
        <f>SUM(P69:P81)</f>
        <v>0</v>
      </c>
      <c r="Q82" s="1292">
        <f>+P82-L82</f>
        <v>0</v>
      </c>
      <c r="S82" s="83" t="str">
        <f t="shared" si="38"/>
        <v>0.00%</v>
      </c>
      <c r="T82" s="8">
        <f>SUM(T69:T81)</f>
        <v>0</v>
      </c>
      <c r="U82" s="73"/>
      <c r="W82" s="83" t="str">
        <f t="shared" si="39"/>
        <v>0.00%</v>
      </c>
      <c r="X82" s="8">
        <f>SUM(X69:X81)</f>
        <v>0</v>
      </c>
      <c r="Y82" s="73"/>
      <c r="AA82" s="83" t="str">
        <f t="shared" si="40"/>
        <v>0.00%</v>
      </c>
      <c r="AB82" s="8">
        <f>SUM(AB69:AB81)</f>
        <v>0</v>
      </c>
      <c r="AC82" s="73"/>
    </row>
    <row r="83" spans="1:29" x14ac:dyDescent="0.25">
      <c r="A83" s="152"/>
      <c r="B83" s="936"/>
      <c r="E83" s="863"/>
      <c r="F83" s="2"/>
      <c r="G83" s="83"/>
      <c r="H83" s="2"/>
      <c r="I83" s="871"/>
      <c r="J83" s="66"/>
      <c r="L83" s="2"/>
      <c r="M83" s="948"/>
      <c r="Q83" s="948"/>
      <c r="T83" s="2"/>
      <c r="U83" s="73"/>
      <c r="X83" s="2"/>
      <c r="Y83" s="73"/>
      <c r="AB83" s="2"/>
      <c r="AC83" s="73"/>
    </row>
    <row r="84" spans="1:29" x14ac:dyDescent="0.25">
      <c r="A84" s="152"/>
      <c r="B84" s="936" t="s">
        <v>338</v>
      </c>
      <c r="E84" s="863"/>
      <c r="F84" s="2"/>
      <c r="G84" s="83"/>
      <c r="H84" s="2"/>
      <c r="I84" s="871"/>
      <c r="J84" s="66"/>
      <c r="L84" s="2"/>
      <c r="M84" s="948"/>
      <c r="Q84" s="948"/>
      <c r="T84" s="2"/>
      <c r="U84" s="73"/>
      <c r="X84" s="2"/>
      <c r="Y84" s="73"/>
      <c r="AB84" s="2"/>
      <c r="AC84" s="73"/>
    </row>
    <row r="85" spans="1:29" x14ac:dyDescent="0.25">
      <c r="A85" s="152"/>
      <c r="B85" s="930" t="s">
        <v>352</v>
      </c>
      <c r="C85" s="938" t="s">
        <v>338</v>
      </c>
      <c r="D85" s="2">
        <v>0</v>
      </c>
      <c r="E85" s="863"/>
      <c r="F85" s="2"/>
      <c r="G85" s="83" t="str">
        <f t="shared" ref="G85:G93" si="48">IF(D85=0,"0.00%",(H85-D85)/D85)</f>
        <v>0.00%</v>
      </c>
      <c r="H85" s="2">
        <v>0</v>
      </c>
      <c r="I85" s="871"/>
      <c r="J85" s="66"/>
      <c r="K85" s="83">
        <f>IF(H96=0,"0.00%",(L85-H96)/H96)</f>
        <v>-0.9170433724817918</v>
      </c>
      <c r="L85" s="2">
        <v>300000</v>
      </c>
      <c r="M85" s="948"/>
      <c r="O85" s="83">
        <f>IF(L96=0,"0.00%",(P85-L96)/L96)</f>
        <v>0</v>
      </c>
      <c r="P85" s="2">
        <v>300000</v>
      </c>
      <c r="Q85" s="948"/>
      <c r="T85" s="2">
        <v>0</v>
      </c>
      <c r="U85" s="73"/>
      <c r="X85" s="2">
        <v>0</v>
      </c>
      <c r="Y85" s="73"/>
      <c r="AB85" s="2">
        <v>0</v>
      </c>
      <c r="AC85" s="73"/>
    </row>
    <row r="86" spans="1:29" x14ac:dyDescent="0.25">
      <c r="A86" s="152"/>
      <c r="B86" s="939">
        <v>6157</v>
      </c>
      <c r="C86" s="857" t="s">
        <v>345</v>
      </c>
      <c r="D86" s="2">
        <v>19150.189999999999</v>
      </c>
      <c r="E86" s="863"/>
      <c r="F86" s="2"/>
      <c r="G86" s="83">
        <f t="shared" si="48"/>
        <v>-1</v>
      </c>
      <c r="H86" s="2">
        <v>0</v>
      </c>
      <c r="I86" s="871"/>
      <c r="J86" s="66"/>
      <c r="L86" s="2">
        <v>0</v>
      </c>
      <c r="M86" s="948"/>
      <c r="P86" s="2">
        <v>0</v>
      </c>
      <c r="Q86" s="948"/>
      <c r="T86" s="2">
        <v>0</v>
      </c>
      <c r="U86" s="73"/>
      <c r="X86" s="2">
        <v>0</v>
      </c>
      <c r="Y86" s="73"/>
      <c r="AB86" s="2">
        <v>0</v>
      </c>
      <c r="AC86" s="73"/>
    </row>
    <row r="87" spans="1:29" x14ac:dyDescent="0.25">
      <c r="A87" s="152"/>
      <c r="B87" s="939">
        <v>6210</v>
      </c>
      <c r="C87" s="857" t="s">
        <v>335</v>
      </c>
      <c r="D87" s="2">
        <v>178018.6</v>
      </c>
      <c r="E87" s="863"/>
      <c r="F87" s="2"/>
      <c r="G87" s="83">
        <f t="shared" si="48"/>
        <v>-0.52926267255219395</v>
      </c>
      <c r="H87" s="2">
        <v>83800</v>
      </c>
      <c r="I87" s="871"/>
      <c r="J87" s="66"/>
      <c r="L87" s="2">
        <v>0</v>
      </c>
      <c r="M87" s="948"/>
      <c r="P87" s="2">
        <v>0</v>
      </c>
      <c r="Q87" s="948"/>
      <c r="T87" s="2">
        <v>0</v>
      </c>
      <c r="U87" s="73"/>
      <c r="X87" s="2">
        <v>0</v>
      </c>
      <c r="Y87" s="73"/>
      <c r="AB87" s="2">
        <v>0</v>
      </c>
      <c r="AC87" s="73"/>
    </row>
    <row r="88" spans="1:29" x14ac:dyDescent="0.25">
      <c r="A88" s="152"/>
      <c r="B88" s="939">
        <v>6220</v>
      </c>
      <c r="C88" s="857" t="s">
        <v>346</v>
      </c>
      <c r="D88" s="2">
        <v>16768.75</v>
      </c>
      <c r="E88" s="863"/>
      <c r="F88" s="2"/>
      <c r="G88" s="83">
        <f t="shared" si="48"/>
        <v>1.2661200149086842</v>
      </c>
      <c r="H88" s="2">
        <v>38000</v>
      </c>
      <c r="I88" s="871"/>
      <c r="J88" s="66"/>
      <c r="L88" s="2">
        <v>0</v>
      </c>
      <c r="M88" s="948"/>
      <c r="P88" s="2">
        <v>0</v>
      </c>
      <c r="Q88" s="948"/>
      <c r="T88" s="2">
        <v>0</v>
      </c>
      <c r="U88" s="73"/>
      <c r="X88" s="2">
        <v>0</v>
      </c>
      <c r="Y88" s="73"/>
      <c r="AB88" s="2">
        <v>0</v>
      </c>
      <c r="AC88" s="73"/>
    </row>
    <row r="89" spans="1:29" x14ac:dyDescent="0.25">
      <c r="A89" s="152"/>
      <c r="B89" s="939">
        <v>6270</v>
      </c>
      <c r="C89" s="857" t="s">
        <v>347</v>
      </c>
      <c r="D89" s="2">
        <v>1112577.31</v>
      </c>
      <c r="E89" s="863"/>
      <c r="F89" s="2"/>
      <c r="G89" s="83">
        <f t="shared" si="48"/>
        <v>1.9432494807933838</v>
      </c>
      <c r="H89" s="2">
        <v>3274592.59</v>
      </c>
      <c r="I89" s="871"/>
      <c r="J89" s="66"/>
      <c r="L89" s="2">
        <v>0</v>
      </c>
      <c r="M89" s="948"/>
      <c r="P89" s="2">
        <v>0</v>
      </c>
      <c r="Q89" s="948"/>
      <c r="T89" s="2">
        <v>0</v>
      </c>
      <c r="U89" s="73"/>
      <c r="X89" s="2">
        <v>0</v>
      </c>
      <c r="Y89" s="73"/>
      <c r="AB89" s="2">
        <v>0</v>
      </c>
      <c r="AC89" s="73"/>
    </row>
    <row r="90" spans="1:29" x14ac:dyDescent="0.25">
      <c r="A90" s="152"/>
      <c r="B90" s="939">
        <v>6275</v>
      </c>
      <c r="C90" s="857" t="s">
        <v>348</v>
      </c>
      <c r="D90" s="2">
        <v>74232.490000000005</v>
      </c>
      <c r="E90" s="863"/>
      <c r="F90" s="2"/>
      <c r="G90" s="83">
        <f t="shared" si="48"/>
        <v>-0.46115238758662147</v>
      </c>
      <c r="H90" s="2">
        <v>40000</v>
      </c>
      <c r="I90" s="871"/>
      <c r="J90" s="66"/>
      <c r="L90" s="2">
        <v>0</v>
      </c>
      <c r="M90" s="948"/>
      <c r="P90" s="2">
        <v>0</v>
      </c>
      <c r="Q90" s="948"/>
      <c r="T90" s="2">
        <v>0</v>
      </c>
      <c r="U90" s="73"/>
      <c r="X90" s="2">
        <v>0</v>
      </c>
      <c r="Y90" s="73"/>
      <c r="AB90" s="2">
        <v>0</v>
      </c>
      <c r="AC90" s="73"/>
    </row>
    <row r="91" spans="1:29" x14ac:dyDescent="0.25">
      <c r="A91" s="152"/>
      <c r="B91" s="939">
        <v>6279</v>
      </c>
      <c r="C91" s="857" t="s">
        <v>349</v>
      </c>
      <c r="D91" s="2">
        <v>14976</v>
      </c>
      <c r="E91" s="863"/>
      <c r="F91" s="2"/>
      <c r="G91" s="83">
        <f t="shared" si="48"/>
        <v>-0.79967948717948723</v>
      </c>
      <c r="H91" s="2">
        <v>3000</v>
      </c>
      <c r="I91" s="871"/>
      <c r="J91" s="66"/>
      <c r="L91" s="2">
        <v>0</v>
      </c>
      <c r="M91" s="948"/>
      <c r="P91" s="2">
        <v>0</v>
      </c>
      <c r="Q91" s="948"/>
      <c r="T91" s="2">
        <v>0</v>
      </c>
      <c r="U91" s="73"/>
      <c r="X91" s="2">
        <v>0</v>
      </c>
      <c r="Y91" s="73"/>
      <c r="AB91" s="2">
        <v>0</v>
      </c>
      <c r="AC91" s="73"/>
    </row>
    <row r="92" spans="1:29" x14ac:dyDescent="0.25">
      <c r="A92" s="152"/>
      <c r="B92" s="939">
        <v>6280</v>
      </c>
      <c r="C92" s="857" t="s">
        <v>350</v>
      </c>
      <c r="D92" s="2">
        <v>10143.5</v>
      </c>
      <c r="E92" s="863"/>
      <c r="F92" s="2"/>
      <c r="G92" s="83">
        <f t="shared" si="48"/>
        <v>1.2674619214275151</v>
      </c>
      <c r="H92" s="2">
        <v>23000</v>
      </c>
      <c r="I92" s="871"/>
      <c r="J92" s="66"/>
      <c r="L92" s="2">
        <v>0</v>
      </c>
      <c r="M92" s="948"/>
      <c r="P92" s="2">
        <v>0</v>
      </c>
      <c r="Q92" s="948"/>
      <c r="T92" s="2">
        <v>0</v>
      </c>
      <c r="U92" s="73"/>
      <c r="X92" s="2">
        <v>0</v>
      </c>
      <c r="Y92" s="73"/>
      <c r="AB92" s="2">
        <v>0</v>
      </c>
      <c r="AC92" s="73"/>
    </row>
    <row r="93" spans="1:29" x14ac:dyDescent="0.25">
      <c r="A93" s="152"/>
      <c r="B93" s="939">
        <v>6290</v>
      </c>
      <c r="C93" s="857" t="s">
        <v>351</v>
      </c>
      <c r="D93" s="2">
        <v>65900</v>
      </c>
      <c r="E93" s="863"/>
      <c r="F93" s="2"/>
      <c r="G93" s="83">
        <f t="shared" si="48"/>
        <v>1.3361911987860395</v>
      </c>
      <c r="H93" s="2">
        <v>153955</v>
      </c>
      <c r="I93" s="871"/>
      <c r="J93" s="66"/>
      <c r="L93" s="2">
        <v>0</v>
      </c>
      <c r="M93" s="948"/>
      <c r="P93" s="2">
        <v>0</v>
      </c>
      <c r="Q93" s="948"/>
      <c r="T93" s="2">
        <v>0</v>
      </c>
      <c r="U93" s="73"/>
      <c r="X93" s="2">
        <v>0</v>
      </c>
      <c r="Y93" s="73"/>
      <c r="AB93" s="2">
        <v>0</v>
      </c>
      <c r="AC93" s="73"/>
    </row>
    <row r="94" spans="1:29" hidden="1" x14ac:dyDescent="0.25">
      <c r="A94" s="152"/>
      <c r="B94" s="939"/>
      <c r="D94" s="2">
        <v>0</v>
      </c>
      <c r="E94" s="863"/>
      <c r="F94" s="2"/>
      <c r="G94" s="83"/>
      <c r="H94" s="2">
        <v>0</v>
      </c>
      <c r="I94" s="871"/>
      <c r="J94" s="66"/>
      <c r="L94" s="2">
        <v>0</v>
      </c>
      <c r="M94" s="948"/>
      <c r="P94" s="2">
        <v>0</v>
      </c>
      <c r="Q94" s="948"/>
      <c r="T94" s="2">
        <v>0</v>
      </c>
      <c r="U94" s="73"/>
      <c r="X94" s="2">
        <v>0</v>
      </c>
      <c r="Y94" s="73"/>
      <c r="AB94" s="2">
        <v>0</v>
      </c>
      <c r="AC94" s="73"/>
    </row>
    <row r="95" spans="1:29" x14ac:dyDescent="0.25">
      <c r="A95" s="152"/>
      <c r="B95" s="936"/>
      <c r="G95" s="377"/>
      <c r="H95" s="2"/>
      <c r="I95" s="871"/>
      <c r="J95" s="66"/>
      <c r="L95" s="2"/>
      <c r="M95" s="948"/>
      <c r="Q95" s="948"/>
      <c r="T95" s="2"/>
      <c r="U95" s="73"/>
      <c r="X95" s="2"/>
      <c r="Y95" s="73"/>
      <c r="AB95" s="2"/>
      <c r="AC95" s="73"/>
    </row>
    <row r="96" spans="1:29" x14ac:dyDescent="0.25">
      <c r="A96" s="152"/>
      <c r="D96" s="160">
        <f>SUM(D85:D95)</f>
        <v>1491766.84</v>
      </c>
      <c r="E96" s="861"/>
      <c r="F96" s="10"/>
      <c r="G96" s="1862"/>
      <c r="H96" s="160">
        <f>SUM(H85:H95)</f>
        <v>3616347.59</v>
      </c>
      <c r="I96" s="1292">
        <f>+H96-D96</f>
        <v>2124580.75</v>
      </c>
      <c r="J96" s="57"/>
      <c r="K96" s="379"/>
      <c r="L96" s="160">
        <f>SUM(L85:L95)</f>
        <v>300000</v>
      </c>
      <c r="M96" s="1292">
        <f>+L96-H96</f>
        <v>-3316347.59</v>
      </c>
      <c r="N96" s="13"/>
      <c r="O96" s="379"/>
      <c r="P96" s="160">
        <f>SUM(P85:P95)</f>
        <v>300000</v>
      </c>
      <c r="Q96" s="1292">
        <f>+P96-L96</f>
        <v>0</v>
      </c>
      <c r="T96" s="112">
        <f>SUM(T85:T95)</f>
        <v>0</v>
      </c>
      <c r="U96" s="73"/>
      <c r="X96" s="112">
        <f>SUM(X85:X95)</f>
        <v>0</v>
      </c>
      <c r="Y96" s="73"/>
      <c r="AB96" s="112">
        <f>SUM(AB85:AB95)</f>
        <v>0</v>
      </c>
      <c r="AC96" s="73"/>
    </row>
    <row r="97" spans="1:29" x14ac:dyDescent="0.25">
      <c r="A97" s="152"/>
      <c r="E97" s="863"/>
      <c r="F97" s="2"/>
      <c r="H97" s="2"/>
      <c r="I97" s="871"/>
      <c r="J97" s="66"/>
      <c r="L97" s="2"/>
      <c r="M97" s="948"/>
      <c r="Q97" s="948"/>
      <c r="T97" s="2"/>
      <c r="U97" s="73"/>
      <c r="X97" s="2"/>
      <c r="Y97" s="73"/>
      <c r="AB97" s="2"/>
      <c r="AC97" s="73"/>
    </row>
    <row r="98" spans="1:29" x14ac:dyDescent="0.25">
      <c r="A98" s="152"/>
      <c r="E98" s="863"/>
      <c r="F98" s="2"/>
      <c r="H98" s="2"/>
      <c r="I98" s="871"/>
      <c r="J98" s="66"/>
      <c r="L98" s="2"/>
      <c r="M98" s="948"/>
      <c r="Q98" s="948"/>
      <c r="T98" s="2"/>
      <c r="U98" s="73"/>
      <c r="X98" s="2"/>
      <c r="Y98" s="73"/>
      <c r="AB98" s="2"/>
      <c r="AC98" s="73"/>
    </row>
    <row r="99" spans="1:29" x14ac:dyDescent="0.25">
      <c r="A99" s="153"/>
      <c r="B99" s="936" t="s">
        <v>0</v>
      </c>
      <c r="D99" s="8">
        <f>SUM(D82,D66,D55,D13+D96)</f>
        <v>1572839.84</v>
      </c>
      <c r="E99" s="863"/>
      <c r="F99" s="2"/>
      <c r="G99" s="83">
        <f>IF(D99=0,"0.00%",(H99-D99)/D99)</f>
        <v>1.5092018205744331</v>
      </c>
      <c r="H99" s="8">
        <f>SUM(H82,H66,H55,H13+H96)</f>
        <v>3946572.59</v>
      </c>
      <c r="I99" s="1292">
        <f>+H99-D99</f>
        <v>2373732.75</v>
      </c>
      <c r="J99" s="29"/>
      <c r="K99" s="83">
        <f>IF(H99=0,"0.00%",(L99-H99)/H99)</f>
        <v>-0.92398467450968635</v>
      </c>
      <c r="L99" s="8">
        <f>SUM(L82,L66,L55,L13+L96)</f>
        <v>300000</v>
      </c>
      <c r="M99" s="1292">
        <f>+L99-H99</f>
        <v>-3646572.59</v>
      </c>
      <c r="O99" s="83">
        <f>IF(L99=0,"0.00%",(P99-L99)/L99)</f>
        <v>0</v>
      </c>
      <c r="P99" s="8">
        <f>SUM(P82,P66,P55,P13+P96)</f>
        <v>300000</v>
      </c>
      <c r="Q99" s="1292">
        <f>+P99-L99</f>
        <v>0</v>
      </c>
      <c r="S99" s="83">
        <f>IF(P99=0,"0.00%",(T99-P99)/P99)</f>
        <v>-1</v>
      </c>
      <c r="T99" s="8">
        <f>SUM(T82,T66,T55,T13+T96)</f>
        <v>0</v>
      </c>
      <c r="U99" s="73"/>
      <c r="W99" s="83" t="str">
        <f>IF(T99=0,"0.00%",(X99-T99)/T99)</f>
        <v>0.00%</v>
      </c>
      <c r="X99" s="8">
        <f>SUM(X82,X66,X55,X13+X96)</f>
        <v>0</v>
      </c>
      <c r="Y99" s="73"/>
      <c r="AA99" s="83" t="str">
        <f>IF(X99=0,"0.00%",(AB99-X99)/X99)</f>
        <v>0.00%</v>
      </c>
      <c r="AB99" s="8">
        <f>SUM(AB82,AB66,AB55,AB13+AB96)</f>
        <v>0</v>
      </c>
      <c r="AC99" s="73"/>
    </row>
    <row r="100" spans="1:29" x14ac:dyDescent="0.25">
      <c r="A100" s="152"/>
      <c r="E100" s="863"/>
      <c r="F100" s="2"/>
      <c r="H100" s="2"/>
      <c r="I100" s="871"/>
      <c r="J100" s="66"/>
      <c r="L100" s="2"/>
      <c r="M100" s="948"/>
      <c r="Q100" s="948"/>
      <c r="T100" s="2"/>
      <c r="U100" s="73"/>
      <c r="X100" s="2"/>
      <c r="Y100" s="73"/>
      <c r="AB100" s="2"/>
      <c r="AC100" s="73"/>
    </row>
    <row r="101" spans="1:29" x14ac:dyDescent="0.25">
      <c r="A101" s="152"/>
      <c r="B101" s="936" t="s">
        <v>138</v>
      </c>
      <c r="D101" s="3">
        <f>D11-D99</f>
        <v>388478.15999999992</v>
      </c>
      <c r="G101" s="83">
        <f>IF(D101=0,"0.00%",(H101-D101)/D101)</f>
        <v>-10.386814924164593</v>
      </c>
      <c r="H101" s="3">
        <f>H11-H99</f>
        <v>-3646572.59</v>
      </c>
      <c r="I101" s="871"/>
      <c r="J101" s="66"/>
      <c r="K101" s="83">
        <f>IF(H101=0,"0.00%",(L101-H101)/H101)</f>
        <v>-1</v>
      </c>
      <c r="L101" s="3">
        <f>L11-L99</f>
        <v>0</v>
      </c>
      <c r="M101" s="948"/>
      <c r="O101" s="83" t="str">
        <f>IF(L101=0,"0.00%",(P101-L101)/L101)</f>
        <v>0.00%</v>
      </c>
      <c r="P101" s="3">
        <f>P11-P99</f>
        <v>0</v>
      </c>
      <c r="Q101" s="948"/>
      <c r="S101" s="83" t="str">
        <f>IF(P101=0,"0.00%",(T101-P101)/P101)</f>
        <v>0.00%</v>
      </c>
      <c r="T101" s="3">
        <f>T11-T99</f>
        <v>300000</v>
      </c>
      <c r="U101" s="73"/>
      <c r="W101" s="83">
        <f>IF(T101=0,"0.00%",(X101-T101)/T101)</f>
        <v>0</v>
      </c>
      <c r="X101" s="3">
        <f>X11-X99</f>
        <v>300000</v>
      </c>
      <c r="Y101" s="73"/>
      <c r="AA101" s="83">
        <f>IF(X101=0,"0.00%",(AB101-X101)/X101)</f>
        <v>0</v>
      </c>
      <c r="AB101" s="3">
        <f>AB11-AB99</f>
        <v>300000</v>
      </c>
      <c r="AC101" s="73"/>
    </row>
    <row r="102" spans="1:29" x14ac:dyDescent="0.25">
      <c r="B102" s="936"/>
      <c r="C102" s="930"/>
      <c r="D102" s="3"/>
      <c r="H102" s="3"/>
      <c r="I102" s="871"/>
      <c r="J102" s="66"/>
      <c r="L102" s="3"/>
      <c r="M102" s="948"/>
      <c r="P102" s="3"/>
      <c r="Q102" s="948"/>
      <c r="T102" s="44"/>
      <c r="U102" s="73"/>
      <c r="X102" s="44"/>
      <c r="Y102" s="73"/>
      <c r="AB102" s="44"/>
      <c r="AC102" s="73"/>
    </row>
    <row r="103" spans="1:29" x14ac:dyDescent="0.25">
      <c r="B103" s="936" t="s">
        <v>136</v>
      </c>
      <c r="C103" s="932"/>
      <c r="D103" s="3">
        <f>D7+D101</f>
        <v>3646572.59</v>
      </c>
      <c r="G103" s="83">
        <f>IF(D103=0,"0.00%",(H103-D103)/D103)</f>
        <v>-1</v>
      </c>
      <c r="H103" s="3">
        <f>H7+H101</f>
        <v>0</v>
      </c>
      <c r="I103" s="1292">
        <f>+H103-D103</f>
        <v>-3646572.59</v>
      </c>
      <c r="J103" s="66"/>
      <c r="K103" s="83" t="str">
        <f>IF(H103=0,"0.00%",(L103-H103)/H103)</f>
        <v>0.00%</v>
      </c>
      <c r="L103" s="3">
        <f>L7+L101</f>
        <v>0</v>
      </c>
      <c r="M103" s="1292">
        <f>+L103-H103</f>
        <v>0</v>
      </c>
      <c r="O103" s="83" t="str">
        <f>IF(L103=0,"0.00%",(P103-L103)/L103)</f>
        <v>0.00%</v>
      </c>
      <c r="P103" s="3">
        <f>P7+P101</f>
        <v>0</v>
      </c>
      <c r="Q103" s="1292">
        <f>+P103-L103</f>
        <v>0</v>
      </c>
      <c r="S103" s="83" t="str">
        <f>IF(P103=0,"0.00%",(T103-P103)/P103)</f>
        <v>0.00%</v>
      </c>
      <c r="T103" s="49">
        <f>T7+T101</f>
        <v>300000</v>
      </c>
      <c r="U103" s="73"/>
      <c r="W103" s="83">
        <f>IF(T103=0,"0.00%",(X103-T103)/T103)</f>
        <v>1</v>
      </c>
      <c r="X103" s="49">
        <f>X7+X101</f>
        <v>600000</v>
      </c>
      <c r="Y103" s="73"/>
      <c r="AA103" s="83">
        <f>IF(X103=0,"0.00%",(AB103-X103)/X103)</f>
        <v>0.5</v>
      </c>
      <c r="AB103" s="49">
        <f>AB7+AB101</f>
        <v>900000</v>
      </c>
      <c r="AC103" s="73"/>
    </row>
    <row r="104" spans="1:29" x14ac:dyDescent="0.25">
      <c r="C104" s="873"/>
      <c r="G104" s="374"/>
      <c r="H104" s="5"/>
      <c r="I104" s="872"/>
      <c r="J104" s="29"/>
      <c r="L104" s="5"/>
      <c r="M104" s="948"/>
      <c r="P104" s="5"/>
      <c r="Q104" s="948"/>
      <c r="T104" s="5"/>
      <c r="U104" s="73"/>
      <c r="X104" s="5"/>
      <c r="Y104" s="73"/>
      <c r="AB104" s="5"/>
      <c r="AC104" s="73"/>
    </row>
    <row r="105" spans="1:29" x14ac:dyDescent="0.25">
      <c r="C105" s="868"/>
      <c r="G105" s="374"/>
      <c r="H105" s="36"/>
      <c r="I105" s="871"/>
      <c r="J105" s="66"/>
      <c r="L105" s="2"/>
      <c r="M105" s="948"/>
      <c r="Q105" s="948"/>
      <c r="T105" s="2"/>
      <c r="U105" s="73"/>
      <c r="X105" s="2"/>
      <c r="Y105" s="73"/>
      <c r="AB105" s="2"/>
      <c r="AC105" s="73"/>
    </row>
    <row r="106" spans="1:29" x14ac:dyDescent="0.25">
      <c r="C106" s="868"/>
      <c r="G106" s="374"/>
      <c r="H106" s="36"/>
      <c r="I106" s="871"/>
      <c r="J106" s="66"/>
      <c r="L106" s="2"/>
      <c r="M106" s="948"/>
      <c r="Q106" s="948"/>
      <c r="T106" s="2"/>
      <c r="U106" s="73"/>
      <c r="X106" s="2"/>
      <c r="Y106" s="73"/>
      <c r="AB106" s="2"/>
      <c r="AC106" s="73"/>
    </row>
    <row r="107" spans="1:29" x14ac:dyDescent="0.25">
      <c r="C107" s="868"/>
      <c r="G107" s="374"/>
      <c r="H107" s="36"/>
      <c r="I107" s="871"/>
      <c r="J107" s="66"/>
      <c r="L107" s="2"/>
      <c r="M107" s="948"/>
      <c r="Q107" s="948"/>
      <c r="T107" s="2"/>
      <c r="U107" s="73"/>
      <c r="X107" s="2"/>
      <c r="Y107" s="73"/>
      <c r="AB107" s="2"/>
      <c r="AC107" s="73"/>
    </row>
    <row r="108" spans="1:29" x14ac:dyDescent="0.25">
      <c r="C108" s="868"/>
      <c r="G108" s="374"/>
      <c r="H108" s="36"/>
      <c r="I108" s="871"/>
      <c r="J108" s="66"/>
      <c r="L108" s="2"/>
      <c r="M108" s="948"/>
      <c r="Q108" s="948"/>
      <c r="T108" s="2"/>
      <c r="U108" s="73"/>
      <c r="X108" s="2"/>
      <c r="Y108" s="73"/>
      <c r="AB108" s="2"/>
      <c r="AC108" s="73"/>
    </row>
    <row r="109" spans="1:29" s="137" customFormat="1" ht="11.25" x14ac:dyDescent="0.2">
      <c r="A109" s="156"/>
      <c r="B109" s="942"/>
      <c r="C109" s="943" t="s">
        <v>269</v>
      </c>
      <c r="D109" s="134">
        <f>+D82+D66+D53+D41+D30+D96</f>
        <v>1572839.84</v>
      </c>
      <c r="E109" s="865"/>
      <c r="G109" s="133" t="s">
        <v>269</v>
      </c>
      <c r="H109" s="134">
        <f>+H82+H66+H53+H41+H30+H96</f>
        <v>3946572.59</v>
      </c>
      <c r="I109" s="874"/>
      <c r="J109" s="135"/>
      <c r="K109" s="133" t="s">
        <v>269</v>
      </c>
      <c r="L109" s="134">
        <f>+L82+L66+L53+L41+L30+L96</f>
        <v>300000</v>
      </c>
      <c r="M109" s="951"/>
      <c r="O109" s="133" t="s">
        <v>269</v>
      </c>
      <c r="P109" s="134">
        <f>+P82+P66+P53+P41+P30+P96</f>
        <v>300000</v>
      </c>
      <c r="Q109" s="951"/>
      <c r="R109" s="139"/>
      <c r="S109" s="157" t="s">
        <v>269</v>
      </c>
      <c r="T109" s="134">
        <f>+T82+T66+T53+T41+T30+T96</f>
        <v>0</v>
      </c>
      <c r="U109" s="138"/>
      <c r="W109" s="157" t="s">
        <v>269</v>
      </c>
      <c r="X109" s="134">
        <f>+X82+X66+X53+X41+X30+X96</f>
        <v>0</v>
      </c>
      <c r="Y109" s="138"/>
      <c r="AA109" s="157" t="s">
        <v>269</v>
      </c>
      <c r="AB109" s="134">
        <f>+AB82+AB66+AB53+AB41+AB30+AB96</f>
        <v>0</v>
      </c>
      <c r="AC109" s="138"/>
    </row>
    <row r="110" spans="1:29" s="137" customFormat="1" ht="11.25" x14ac:dyDescent="0.2">
      <c r="A110" s="158"/>
      <c r="B110" s="942"/>
      <c r="C110" s="944" t="s">
        <v>224</v>
      </c>
      <c r="D110" s="142">
        <f>+D13</f>
        <v>0</v>
      </c>
      <c r="E110" s="866"/>
      <c r="F110" s="144"/>
      <c r="G110" s="375" t="s">
        <v>224</v>
      </c>
      <c r="H110" s="142">
        <f>+H13</f>
        <v>0</v>
      </c>
      <c r="I110" s="875"/>
      <c r="J110" s="143"/>
      <c r="K110" s="375" t="s">
        <v>224</v>
      </c>
      <c r="L110" s="142">
        <f>+L13</f>
        <v>0</v>
      </c>
      <c r="M110" s="951"/>
      <c r="O110" s="375" t="s">
        <v>224</v>
      </c>
      <c r="P110" s="142">
        <f>+P13</f>
        <v>0</v>
      </c>
      <c r="Q110" s="865"/>
      <c r="R110" s="139"/>
      <c r="S110" s="159" t="s">
        <v>224</v>
      </c>
      <c r="T110" s="142">
        <f>+T13</f>
        <v>0</v>
      </c>
      <c r="W110" s="159" t="s">
        <v>224</v>
      </c>
      <c r="X110" s="142">
        <f>+X13</f>
        <v>0</v>
      </c>
      <c r="AA110" s="159" t="s">
        <v>224</v>
      </c>
      <c r="AB110" s="142">
        <f>+AB13</f>
        <v>0</v>
      </c>
    </row>
    <row r="111" spans="1:29" s="137" customFormat="1" ht="11.25" x14ac:dyDescent="0.2">
      <c r="A111" s="158"/>
      <c r="B111" s="942"/>
      <c r="C111" s="944"/>
      <c r="D111" s="145">
        <f>+D109+D110</f>
        <v>1572839.84</v>
      </c>
      <c r="E111" s="866"/>
      <c r="F111" s="144"/>
      <c r="G111" s="375"/>
      <c r="H111" s="145">
        <f>+H109+H110</f>
        <v>3946572.59</v>
      </c>
      <c r="I111" s="875"/>
      <c r="J111" s="143"/>
      <c r="K111" s="375"/>
      <c r="L111" s="145">
        <f>+L109+L110</f>
        <v>300000</v>
      </c>
      <c r="M111" s="865"/>
      <c r="O111" s="375"/>
      <c r="P111" s="145">
        <f>+P109+P110</f>
        <v>300000</v>
      </c>
      <c r="Q111" s="865"/>
      <c r="R111" s="139"/>
      <c r="S111" s="159"/>
      <c r="T111" s="145">
        <f>+T109+T110</f>
        <v>0</v>
      </c>
      <c r="W111" s="159"/>
      <c r="X111" s="145">
        <f>+X109+X110</f>
        <v>0</v>
      </c>
      <c r="AA111" s="159"/>
      <c r="AB111" s="145">
        <f>+AB109+AB110</f>
        <v>0</v>
      </c>
    </row>
    <row r="112" spans="1:29" ht="15" customHeight="1" x14ac:dyDescent="0.25">
      <c r="A112" s="152"/>
      <c r="B112" s="945"/>
      <c r="C112" s="945"/>
      <c r="D112" s="5">
        <f>+D99-D111</f>
        <v>0</v>
      </c>
      <c r="E112" s="863"/>
      <c r="F112" s="2"/>
      <c r="G112" s="376"/>
      <c r="H112" s="5">
        <f>+H99-H111</f>
        <v>0</v>
      </c>
      <c r="K112" s="376"/>
      <c r="L112" s="5">
        <f>+L99-L111</f>
        <v>0</v>
      </c>
      <c r="O112" s="376"/>
      <c r="P112" s="5">
        <f>+P99-P111</f>
        <v>0</v>
      </c>
      <c r="S112" s="103"/>
      <c r="T112" s="5">
        <f>+T99-T111</f>
        <v>0</v>
      </c>
      <c r="W112" s="103"/>
      <c r="X112" s="5">
        <f>+X99-X111</f>
        <v>0</v>
      </c>
      <c r="AA112" s="103"/>
      <c r="AB112" s="5">
        <f>+AB99-AB111</f>
        <v>0</v>
      </c>
    </row>
    <row r="113" spans="1:6" x14ac:dyDescent="0.25">
      <c r="A113" s="152"/>
      <c r="B113" s="945"/>
      <c r="C113" s="945"/>
      <c r="D113" s="36"/>
      <c r="E113" s="863"/>
      <c r="F113" s="2"/>
    </row>
    <row r="114" spans="1:6" x14ac:dyDescent="0.25">
      <c r="A114" s="152"/>
      <c r="B114" s="932"/>
      <c r="C114" s="868"/>
      <c r="D114" s="25"/>
      <c r="E114" s="863"/>
      <c r="F114" s="2"/>
    </row>
    <row r="115" spans="1:6" x14ac:dyDescent="0.25">
      <c r="B115" s="932"/>
      <c r="C115" s="868"/>
      <c r="D115" s="36"/>
    </row>
    <row r="116" spans="1:6" x14ac:dyDescent="0.25">
      <c r="B116" s="932"/>
      <c r="C116" s="868"/>
      <c r="D116" s="36"/>
    </row>
    <row r="117" spans="1:6" ht="15" customHeight="1" x14ac:dyDescent="0.25">
      <c r="B117" s="932"/>
      <c r="C117" s="868"/>
      <c r="D117" s="36"/>
    </row>
    <row r="118" spans="1:6" x14ac:dyDescent="0.25">
      <c r="B118" s="932"/>
      <c r="C118" s="868"/>
      <c r="D118" s="36"/>
    </row>
    <row r="119" spans="1:6" x14ac:dyDescent="0.25">
      <c r="B119" s="932"/>
      <c r="C119" s="868"/>
      <c r="D119" s="36"/>
    </row>
    <row r="120" spans="1:6" ht="15" customHeight="1" x14ac:dyDescent="0.25">
      <c r="B120" s="2209"/>
      <c r="C120" s="2209"/>
      <c r="D120" s="36"/>
    </row>
    <row r="121" spans="1:6" x14ac:dyDescent="0.25">
      <c r="B121" s="2209"/>
      <c r="C121" s="2209"/>
      <c r="D121" s="36"/>
    </row>
    <row r="122" spans="1:6" x14ac:dyDescent="0.25">
      <c r="B122" s="932"/>
      <c r="C122" s="868"/>
      <c r="D122" s="6"/>
    </row>
    <row r="123" spans="1:6" x14ac:dyDescent="0.25">
      <c r="B123" s="932"/>
      <c r="C123" s="868"/>
      <c r="D123" s="36"/>
    </row>
    <row r="124" spans="1:6" x14ac:dyDescent="0.25">
      <c r="B124" s="932"/>
      <c r="C124" s="868"/>
      <c r="D124" s="36"/>
    </row>
    <row r="125" spans="1:6" ht="28.5" customHeight="1" x14ac:dyDescent="0.25">
      <c r="B125" s="932"/>
      <c r="C125" s="868"/>
      <c r="D125" s="25"/>
    </row>
    <row r="126" spans="1:6" x14ac:dyDescent="0.25">
      <c r="B126" s="932"/>
      <c r="C126" s="868"/>
      <c r="D126" s="36"/>
    </row>
    <row r="127" spans="1:6" x14ac:dyDescent="0.25">
      <c r="B127" s="932"/>
      <c r="C127" s="868"/>
      <c r="D127" s="36"/>
    </row>
    <row r="128" spans="1:6" x14ac:dyDescent="0.25">
      <c r="B128" s="932"/>
      <c r="C128" s="868"/>
      <c r="D128" s="36"/>
    </row>
    <row r="129" spans="2:4" x14ac:dyDescent="0.25">
      <c r="B129" s="932"/>
      <c r="C129" s="868"/>
      <c r="D129" s="36"/>
    </row>
    <row r="130" spans="2:4" x14ac:dyDescent="0.25">
      <c r="B130" s="932"/>
      <c r="C130" s="868"/>
      <c r="D130" s="36"/>
    </row>
    <row r="131" spans="2:4" x14ac:dyDescent="0.25">
      <c r="B131" s="932"/>
      <c r="C131" s="868"/>
      <c r="D131" s="36"/>
    </row>
    <row r="132" spans="2:4" x14ac:dyDescent="0.25">
      <c r="B132" s="932"/>
      <c r="C132" s="868"/>
      <c r="D132" s="36"/>
    </row>
    <row r="133" spans="2:4" x14ac:dyDescent="0.25">
      <c r="B133" s="932"/>
      <c r="C133" s="868"/>
      <c r="D133" s="36"/>
    </row>
    <row r="134" spans="2:4" x14ac:dyDescent="0.25">
      <c r="B134" s="932"/>
      <c r="C134" s="868"/>
      <c r="D134" s="36"/>
    </row>
    <row r="135" spans="2:4" x14ac:dyDescent="0.25">
      <c r="B135" s="932"/>
      <c r="C135" s="868"/>
      <c r="D135" s="36"/>
    </row>
    <row r="136" spans="2:4" x14ac:dyDescent="0.25">
      <c r="B136" s="932"/>
      <c r="C136" s="868"/>
      <c r="D136" s="36"/>
    </row>
    <row r="137" spans="2:4" x14ac:dyDescent="0.25">
      <c r="B137" s="932"/>
      <c r="C137" s="868"/>
      <c r="D137" s="36"/>
    </row>
    <row r="138" spans="2:4" x14ac:dyDescent="0.25">
      <c r="B138" s="932"/>
      <c r="C138" s="868"/>
      <c r="D138" s="36"/>
    </row>
    <row r="139" spans="2:4" x14ac:dyDescent="0.25">
      <c r="B139" s="932"/>
      <c r="C139" s="868"/>
      <c r="D139" s="36"/>
    </row>
    <row r="140" spans="2:4" x14ac:dyDescent="0.25">
      <c r="B140" s="932"/>
      <c r="C140" s="868"/>
      <c r="D140" s="36"/>
    </row>
  </sheetData>
  <sheetProtection password="B79F" sheet="1" objects="1" scenarios="1"/>
  <mergeCells count="1">
    <mergeCell ref="B120:C121"/>
  </mergeCells>
  <pageMargins left="0.25" right="0.25" top="0.5" bottom="0.5" header="0.25" footer="0.25"/>
  <pageSetup paperSize="5" scale="72" orientation="portrait" r:id="rId1"/>
  <headerFooter>
    <oddHeader>&amp;L&amp;F</oddHeader>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107"/>
  <sheetViews>
    <sheetView showGridLines="0" zoomScale="85" zoomScaleNormal="85" workbookViewId="0">
      <pane ySplit="2" topLeftCell="A3" activePane="bottomLeft" state="frozen"/>
      <selection activeCell="G26" sqref="G26"/>
      <selection pane="bottomLeft" activeCell="F37" sqref="F37"/>
    </sheetView>
  </sheetViews>
  <sheetFormatPr defaultColWidth="0" defaultRowHeight="15.75" zeroHeight="1" x14ac:dyDescent="0.25"/>
  <cols>
    <col min="1" max="1" width="1.28515625" style="1371" customWidth="1"/>
    <col min="2" max="2" width="1.85546875" style="1371" customWidth="1"/>
    <col min="3" max="3" width="1.85546875" style="1370" customWidth="1"/>
    <col min="4" max="4" width="69" style="1370" customWidth="1"/>
    <col min="5" max="5" width="3.5703125" style="228" hidden="1" customWidth="1"/>
    <col min="6" max="9" width="21.7109375" style="228" customWidth="1"/>
    <col min="10" max="12" width="21.7109375" style="228" hidden="1" customWidth="1"/>
    <col min="13" max="13" width="18.7109375" style="1974" hidden="1" customWidth="1"/>
    <col min="14" max="14" width="18.7109375" style="1944" hidden="1" customWidth="1"/>
    <col min="15" max="15" width="18.7109375" style="1976" hidden="1" customWidth="1"/>
    <col min="16" max="16" width="18.7109375" style="1939" hidden="1" customWidth="1"/>
    <col min="17" max="17" width="18.7109375" style="1976" hidden="1" customWidth="1"/>
    <col min="18" max="18" width="12.7109375" style="1798" hidden="1" customWidth="1"/>
    <col min="19" max="19" width="3.5703125" style="1798" customWidth="1"/>
    <col min="20" max="20" width="4.5703125" style="1798" hidden="1" customWidth="1"/>
    <col min="21" max="22" width="23.28515625" style="1826" hidden="1" customWidth="1"/>
    <col min="23" max="23" width="23.28515625" style="1572" hidden="1" customWidth="1"/>
    <col min="24" max="24" width="23.28515625" style="802" hidden="1" customWidth="1"/>
    <col min="25" max="25" width="17.28515625" style="1296" hidden="1" customWidth="1"/>
    <col min="26" max="26" width="26.140625" style="1296" hidden="1" customWidth="1"/>
    <col min="27" max="27" width="19.5703125" style="1296" hidden="1" customWidth="1"/>
    <col min="28" max="28" width="13.140625" style="1296" hidden="1" customWidth="1"/>
    <col min="29" max="31" width="13.5703125" style="1296" hidden="1" customWidth="1"/>
    <col min="32" max="32" width="4" style="1296" hidden="1" customWidth="1"/>
    <col min="33" max="33" width="7.85546875" style="1296" hidden="1" customWidth="1"/>
    <col min="34" max="37" width="11" style="1296" hidden="1" customWidth="1"/>
    <col min="38" max="39" width="9.140625" style="1296" hidden="1" customWidth="1"/>
    <col min="40" max="40" width="18.28515625" style="1296" hidden="1" customWidth="1"/>
    <col min="41" max="44" width="0" style="1296" hidden="1" customWidth="1"/>
    <col min="45" max="16384" width="9.140625" style="1296" hidden="1"/>
  </cols>
  <sheetData>
    <row r="1" spans="1:44" s="1295" customFormat="1" ht="18" customHeight="1" thickTop="1" x14ac:dyDescent="0.3">
      <c r="A1" s="2189" t="s">
        <v>353</v>
      </c>
      <c r="B1" s="2190"/>
      <c r="C1" s="2190"/>
      <c r="D1" s="2190"/>
      <c r="E1" s="1527" t="str">
        <f>+COMBINED!E1</f>
        <v>2015-2016</v>
      </c>
      <c r="F1" s="1544" t="str">
        <f>+COMBINED!F1</f>
        <v>2016-2017</v>
      </c>
      <c r="G1" s="1545" t="str">
        <f>+COMBINED!G1</f>
        <v>2017-2018</v>
      </c>
      <c r="H1" s="1546" t="str">
        <f>+COMBINED!H1</f>
        <v>2018-2019</v>
      </c>
      <c r="I1" s="1547" t="str">
        <f>+COMBINED!I1</f>
        <v>2019-2020</v>
      </c>
      <c r="J1" s="1547" t="str">
        <f>+COMBINED!J1</f>
        <v>2020-2021</v>
      </c>
      <c r="K1" s="1547" t="str">
        <f>+COMBINED!K1</f>
        <v>2021-2022</v>
      </c>
      <c r="L1" s="1547" t="str">
        <f>+COMBINED!L1</f>
        <v>2022-2023</v>
      </c>
      <c r="M1" s="1960"/>
      <c r="N1" s="1945"/>
      <c r="O1" s="1975"/>
      <c r="P1" s="1947"/>
      <c r="Q1" s="1975"/>
      <c r="R1" s="1946"/>
      <c r="S1" s="1946"/>
      <c r="T1" s="1946"/>
      <c r="U1" s="1825"/>
      <c r="V1" s="1809"/>
      <c r="W1" s="1809"/>
      <c r="X1" s="1810"/>
      <c r="Y1" s="1772"/>
    </row>
    <row r="2" spans="1:44" s="1295" customFormat="1" ht="36" x14ac:dyDescent="0.3">
      <c r="A2" s="2191"/>
      <c r="B2" s="2192"/>
      <c r="C2" s="2192"/>
      <c r="D2" s="2192"/>
      <c r="E2" s="1541"/>
      <c r="F2" s="1582" t="s">
        <v>902</v>
      </c>
      <c r="G2" s="1907" t="s">
        <v>1006</v>
      </c>
      <c r="H2" s="1760" t="s">
        <v>903</v>
      </c>
      <c r="I2" s="1761" t="s">
        <v>903</v>
      </c>
      <c r="J2" s="1542" t="s">
        <v>903</v>
      </c>
      <c r="K2" s="1542" t="s">
        <v>903</v>
      </c>
      <c r="L2" s="1542" t="s">
        <v>903</v>
      </c>
      <c r="M2" s="1960"/>
      <c r="N2" s="1945"/>
      <c r="O2" s="1975"/>
      <c r="P2" s="1947"/>
      <c r="Q2" s="1975"/>
      <c r="R2" s="1946"/>
      <c r="S2" s="1946"/>
      <c r="T2" s="1946"/>
      <c r="U2" s="1825"/>
      <c r="V2" s="1809"/>
      <c r="W2" s="1809"/>
      <c r="X2" s="1810"/>
      <c r="Y2" s="1772"/>
    </row>
    <row r="3" spans="1:44" x14ac:dyDescent="0.25">
      <c r="A3" s="1533"/>
      <c r="B3" s="1534"/>
      <c r="C3" s="1535"/>
      <c r="D3" s="1535"/>
      <c r="E3" s="219"/>
      <c r="F3" s="1536"/>
      <c r="G3" s="1537"/>
      <c r="H3" s="1538"/>
      <c r="I3" s="1539"/>
      <c r="J3" s="1539"/>
      <c r="K3" s="1539"/>
      <c r="L3" s="1539"/>
      <c r="M3" s="1961"/>
      <c r="V3" s="1572"/>
      <c r="X3" s="456"/>
      <c r="Y3" s="1773"/>
      <c r="AA3" s="1774"/>
    </row>
    <row r="4" spans="1:44" ht="18" x14ac:dyDescent="0.25">
      <c r="A4" s="1372"/>
      <c r="B4" s="1329" t="s">
        <v>354</v>
      </c>
      <c r="C4" s="1330"/>
      <c r="D4" s="1330"/>
      <c r="E4" s="673"/>
      <c r="F4" s="1092"/>
      <c r="G4" s="1160"/>
      <c r="H4" s="1129"/>
      <c r="I4" s="674"/>
      <c r="J4" s="674"/>
      <c r="K4" s="674"/>
      <c r="L4" s="674"/>
      <c r="M4" s="1962"/>
      <c r="N4" s="1948"/>
      <c r="O4" s="1977"/>
      <c r="P4" s="1950"/>
      <c r="Q4" s="1977"/>
      <c r="R4" s="1949"/>
      <c r="S4" s="1949"/>
      <c r="T4" s="1949"/>
      <c r="V4" s="1572"/>
      <c r="X4" s="456"/>
      <c r="Y4" s="1773"/>
      <c r="AA4" s="1775"/>
      <c r="AB4" s="1775"/>
      <c r="AC4" s="1775"/>
    </row>
    <row r="5" spans="1:44" ht="18" x14ac:dyDescent="0.25">
      <c r="A5" s="1373"/>
      <c r="B5" s="1332"/>
      <c r="C5" s="745" t="s">
        <v>706</v>
      </c>
      <c r="D5" s="745"/>
      <c r="E5" s="623"/>
      <c r="F5" s="1093">
        <f>+'RS 00XX &amp; 1400'!D10+'RS 0653'!D9+'RS 0654'!D9+'RS 0655'!D9+'RS 0617'!D9</f>
        <v>64149318.060000002</v>
      </c>
      <c r="G5" s="1161">
        <f>+'RS 00XX &amp; 1400'!H10+'RS 0653'!H9+'RS 0654'!H9+'RS 0655'!H9+'RS 0617'!H11</f>
        <v>65001038</v>
      </c>
      <c r="H5" s="1901">
        <f>+'RS 00XX &amp; 1400'!L10+'RS 0653'!L9+'RS 0654'!L9+'RS 0655'!L9+'RS 0617'!L11</f>
        <v>66791784</v>
      </c>
      <c r="I5" s="669">
        <f>+'RS 00XX &amp; 1400'!P10+'RS 0653'!P9+'RS 0654'!P9+'RS 0655'!P9+'RS 0617'!P11</f>
        <v>68529222</v>
      </c>
      <c r="J5" s="669">
        <v>71555411</v>
      </c>
      <c r="K5" s="669">
        <f>+J5*1.0266</f>
        <v>73458784.932599992</v>
      </c>
      <c r="L5" s="669">
        <f>+K5*1.0266</f>
        <v>75412788.611807153</v>
      </c>
      <c r="M5" s="1963">
        <f>+G5-F5</f>
        <v>851719.93999999762</v>
      </c>
      <c r="N5" s="1940">
        <f>IFERROR(M5/F5,0)</f>
        <v>1.3277147220853833E-2</v>
      </c>
      <c r="O5" s="1963">
        <f>+H5-G5</f>
        <v>1790746</v>
      </c>
      <c r="P5" s="1940">
        <f>IFERROR(O5/G5,0)</f>
        <v>2.7549498517239063E-2</v>
      </c>
      <c r="Q5" s="1963">
        <f>+I5-H5</f>
        <v>1737438</v>
      </c>
      <c r="R5" s="1940">
        <f>IFERROR(Q5/H5,0)</f>
        <v>2.6012750310726841E-2</v>
      </c>
      <c r="S5" s="1953"/>
      <c r="T5" s="1953"/>
      <c r="V5" s="1572"/>
      <c r="X5" s="456"/>
      <c r="Y5" s="1773"/>
      <c r="AA5" s="1776"/>
      <c r="AB5" s="1776"/>
      <c r="AC5" s="1776"/>
    </row>
    <row r="6" spans="1:44" ht="18" x14ac:dyDescent="0.25">
      <c r="A6" s="1373"/>
      <c r="B6" s="1332"/>
      <c r="C6" s="745"/>
      <c r="D6" s="1374" t="s">
        <v>879</v>
      </c>
      <c r="E6" s="1091"/>
      <c r="F6" s="1094">
        <v>0</v>
      </c>
      <c r="G6" s="1162">
        <v>0</v>
      </c>
      <c r="H6" s="1902">
        <v>0</v>
      </c>
      <c r="I6" s="654">
        <v>0</v>
      </c>
      <c r="J6" s="654"/>
      <c r="K6" s="654"/>
      <c r="L6" s="654"/>
      <c r="M6" s="1963">
        <f>+G6-F6</f>
        <v>0</v>
      </c>
      <c r="N6" s="1940">
        <f t="shared" ref="N6:N13" si="0">IFERROR(M6/F6,0)</f>
        <v>0</v>
      </c>
      <c r="O6" s="1963">
        <f>+H6-G6</f>
        <v>0</v>
      </c>
      <c r="P6" s="1940">
        <f t="shared" ref="P6:P13" si="1">IFERROR(O6/G6,0)</f>
        <v>0</v>
      </c>
      <c r="Q6" s="1963">
        <f t="shared" ref="Q6:Q13" si="2">+I6-H6</f>
        <v>0</v>
      </c>
      <c r="R6" s="1940">
        <f t="shared" ref="R6:R13" si="3">IFERROR(Q6/H6,0)</f>
        <v>0</v>
      </c>
      <c r="S6" s="1953"/>
      <c r="T6" s="1953"/>
      <c r="V6" s="1807"/>
      <c r="W6" s="1807"/>
      <c r="X6" s="457"/>
      <c r="Y6" s="1306"/>
      <c r="Z6" s="1297"/>
      <c r="AA6" s="1776"/>
      <c r="AB6" s="1776"/>
      <c r="AC6" s="1776"/>
    </row>
    <row r="7" spans="1:44" ht="18" x14ac:dyDescent="0.25">
      <c r="A7" s="1375"/>
      <c r="B7" s="1334"/>
      <c r="C7" s="737" t="s">
        <v>531</v>
      </c>
      <c r="D7" s="737"/>
      <c r="E7" s="625"/>
      <c r="F7" s="1095">
        <f>+'RS 00XX &amp; 1400'!D11</f>
        <v>100830.73</v>
      </c>
      <c r="G7" s="1163">
        <f>+'RS 00XX &amp; 1400'!H11</f>
        <v>51751</v>
      </c>
      <c r="H7" s="1903">
        <f>+'RS 00XX &amp; 1400'!L11</f>
        <v>0</v>
      </c>
      <c r="I7" s="653">
        <f>+'RS 00XX &amp; 1400'!P11</f>
        <v>0</v>
      </c>
      <c r="J7" s="653"/>
      <c r="K7" s="653"/>
      <c r="L7" s="653"/>
      <c r="M7" s="1963">
        <f t="shared" ref="M7:M13" si="4">+G7-F7</f>
        <v>-49079.729999999996</v>
      </c>
      <c r="N7" s="1940">
        <f t="shared" si="0"/>
        <v>-0.48675369106223865</v>
      </c>
      <c r="O7" s="1963">
        <f>+H7-G7</f>
        <v>-51751</v>
      </c>
      <c r="P7" s="1940">
        <f t="shared" si="1"/>
        <v>-1</v>
      </c>
      <c r="Q7" s="1963">
        <f t="shared" si="2"/>
        <v>0</v>
      </c>
      <c r="R7" s="1940">
        <f t="shared" si="3"/>
        <v>0</v>
      </c>
      <c r="S7" s="1953"/>
      <c r="T7" s="1953"/>
      <c r="U7" s="1827"/>
      <c r="V7" s="1807"/>
      <c r="W7" s="1807"/>
      <c r="X7" s="457"/>
      <c r="Y7" s="1306"/>
      <c r="Z7" s="1297"/>
    </row>
    <row r="8" spans="1:44" ht="18" hidden="1" x14ac:dyDescent="0.25">
      <c r="A8" s="1489"/>
      <c r="B8" s="1490"/>
      <c r="C8" s="1491"/>
      <c r="D8" s="1491"/>
      <c r="E8" s="1492"/>
      <c r="F8" s="1095"/>
      <c r="G8" s="1163"/>
      <c r="H8" s="1903"/>
      <c r="I8" s="653"/>
      <c r="J8" s="653"/>
      <c r="K8" s="653"/>
      <c r="L8" s="653"/>
      <c r="M8" s="1963">
        <f t="shared" si="4"/>
        <v>0</v>
      </c>
      <c r="N8" s="1940">
        <f t="shared" si="0"/>
        <v>0</v>
      </c>
      <c r="O8" s="1963">
        <f t="shared" ref="O8:O13" si="5">+H8-G8</f>
        <v>0</v>
      </c>
      <c r="P8" s="1940">
        <f t="shared" si="1"/>
        <v>0</v>
      </c>
      <c r="Q8" s="1963">
        <f t="shared" si="2"/>
        <v>0</v>
      </c>
      <c r="R8" s="1940">
        <f t="shared" si="3"/>
        <v>0</v>
      </c>
      <c r="S8" s="1953"/>
      <c r="T8" s="1953"/>
      <c r="U8" s="1827"/>
      <c r="V8" s="1807"/>
      <c r="W8" s="1807"/>
      <c r="X8" s="457"/>
      <c r="Y8" s="1306"/>
      <c r="Z8" s="1297"/>
    </row>
    <row r="9" spans="1:44" ht="18" x14ac:dyDescent="0.25">
      <c r="A9" s="1375"/>
      <c r="B9" s="1334"/>
      <c r="C9" s="737" t="s">
        <v>357</v>
      </c>
      <c r="D9" s="737"/>
      <c r="E9" s="625"/>
      <c r="F9" s="1095">
        <f>+'RS 00XX &amp; 1400'!D12+'RS 00XX &amp; 1400'!D14+'RS 1100'!D9</f>
        <v>1417478.97</v>
      </c>
      <c r="G9" s="1163">
        <f>+'RS 00XX &amp; 1400'!H12+'RS 00XX &amp; 1400'!H14+'RS 1100'!H11</f>
        <v>1435696</v>
      </c>
      <c r="H9" s="1903">
        <f>+'RS 00XX &amp; 1400'!L12+'RS 00XX &amp; 1400'!L14+'RS 1100'!L9</f>
        <v>1432542.2515</v>
      </c>
      <c r="I9" s="653">
        <f>+'RS 00XX &amp; 1400'!P12+'RS 00XX &amp; 1400'!P14+'RS 1100'!P9</f>
        <v>1460316.8244102499</v>
      </c>
      <c r="J9" s="653" t="e">
        <f>(I9)*(1+#REF!)</f>
        <v>#REF!</v>
      </c>
      <c r="K9" s="653" t="e">
        <f>(J9)*(1+#REF!)</f>
        <v>#REF!</v>
      </c>
      <c r="L9" s="653" t="e">
        <f>(K9)*(1+#REF!)</f>
        <v>#REF!</v>
      </c>
      <c r="M9" s="1963">
        <f t="shared" si="4"/>
        <v>18217.030000000028</v>
      </c>
      <c r="N9" s="1940">
        <f t="shared" si="0"/>
        <v>1.2851710949898627E-2</v>
      </c>
      <c r="O9" s="1963">
        <f t="shared" si="5"/>
        <v>-3153.748499999987</v>
      </c>
      <c r="P9" s="1940">
        <f t="shared" si="1"/>
        <v>-2.1966687237409501E-3</v>
      </c>
      <c r="Q9" s="1963">
        <f t="shared" si="2"/>
        <v>27774.572910249932</v>
      </c>
      <c r="R9" s="1940">
        <f t="shared" si="3"/>
        <v>1.9388309755727948E-2</v>
      </c>
      <c r="S9" s="1953"/>
      <c r="T9" s="1953"/>
      <c r="U9" s="1827"/>
      <c r="V9" s="1807"/>
      <c r="W9" s="1807"/>
      <c r="X9" s="457"/>
      <c r="Y9" s="1306"/>
      <c r="Z9" s="1297"/>
    </row>
    <row r="10" spans="1:44" ht="18" x14ac:dyDescent="0.25">
      <c r="A10" s="1376"/>
      <c r="B10" s="1377"/>
      <c r="C10" s="1378"/>
      <c r="D10" s="1335" t="s">
        <v>358</v>
      </c>
      <c r="E10" s="626"/>
      <c r="F10" s="1094">
        <f>+'RS 00XX &amp; 1400'!D13</f>
        <v>1687542</v>
      </c>
      <c r="G10" s="1162">
        <f>+'RS 00XX &amp; 1400'!H13</f>
        <v>1143299</v>
      </c>
      <c r="H10" s="1902">
        <f>+'RS 00XX &amp; 1400'!L13</f>
        <v>0</v>
      </c>
      <c r="I10" s="654">
        <f>+'RS 00XX &amp; 1400'!P13</f>
        <v>0</v>
      </c>
      <c r="J10" s="654">
        <v>0</v>
      </c>
      <c r="K10" s="654">
        <v>0</v>
      </c>
      <c r="L10" s="654">
        <v>0</v>
      </c>
      <c r="M10" s="1963">
        <f>+G10-F10</f>
        <v>-544243</v>
      </c>
      <c r="N10" s="1940">
        <f t="shared" si="0"/>
        <v>-0.32250634354581992</v>
      </c>
      <c r="O10" s="1963">
        <f t="shared" si="5"/>
        <v>-1143299</v>
      </c>
      <c r="P10" s="1940">
        <f t="shared" si="1"/>
        <v>-1</v>
      </c>
      <c r="Q10" s="1963">
        <f t="shared" si="2"/>
        <v>0</v>
      </c>
      <c r="R10" s="1940">
        <f t="shared" si="3"/>
        <v>0</v>
      </c>
      <c r="S10" s="1953"/>
      <c r="T10" s="1953"/>
      <c r="U10" s="1827"/>
      <c r="V10" s="1807"/>
      <c r="W10" s="1807"/>
      <c r="X10" s="457"/>
      <c r="Y10" s="1306"/>
      <c r="Z10" s="1297"/>
    </row>
    <row r="11" spans="1:44" ht="18.75" x14ac:dyDescent="0.3">
      <c r="A11" s="1375"/>
      <c r="B11" s="1334"/>
      <c r="C11" s="737" t="s">
        <v>359</v>
      </c>
      <c r="D11" s="737"/>
      <c r="E11" s="625"/>
      <c r="F11" s="1095">
        <f>+SUM('RS 00XX &amp; 1400'!D17:D23)+'RS 0655'!D10</f>
        <v>629241.15000000014</v>
      </c>
      <c r="G11" s="1163">
        <f>+SUM('RS 00XX &amp; 1400'!H15:H23)+'RS 0655'!H10</f>
        <v>490368</v>
      </c>
      <c r="H11" s="1903">
        <f>+SUM('RS 00XX &amp; 1400'!L17:L23)+'RS 0655'!L10</f>
        <v>500760.41200000001</v>
      </c>
      <c r="I11" s="653">
        <f>+SUM('RS 00XX &amp; 1400'!P17:P23)+'RS 0655'!P10</f>
        <v>512363.78168200003</v>
      </c>
      <c r="J11" s="653">
        <f t="shared" ref="J11:L11" si="6">+I11</f>
        <v>512363.78168200003</v>
      </c>
      <c r="K11" s="653">
        <f t="shared" si="6"/>
        <v>512363.78168200003</v>
      </c>
      <c r="L11" s="653">
        <f t="shared" si="6"/>
        <v>512363.78168200003</v>
      </c>
      <c r="M11" s="1963">
        <f t="shared" si="4"/>
        <v>-138873.15000000014</v>
      </c>
      <c r="N11" s="1940">
        <f t="shared" si="0"/>
        <v>-0.2206994091216064</v>
      </c>
      <c r="O11" s="1963">
        <f t="shared" si="5"/>
        <v>10392.412000000011</v>
      </c>
      <c r="P11" s="1940">
        <f t="shared" si="1"/>
        <v>2.1193087640302817E-2</v>
      </c>
      <c r="Q11" s="1963">
        <f t="shared" si="2"/>
        <v>11603.369682000019</v>
      </c>
      <c r="R11" s="1940">
        <f t="shared" si="3"/>
        <v>2.3171499591305589E-2</v>
      </c>
      <c r="S11" s="1953"/>
      <c r="T11" s="1953"/>
      <c r="U11" s="1803"/>
      <c r="V11" s="1807"/>
      <c r="W11" s="1807"/>
      <c r="X11" s="457"/>
      <c r="Y11" s="1306"/>
      <c r="Z11" s="1297"/>
    </row>
    <row r="12" spans="1:44" ht="20.25" x14ac:dyDescent="0.4">
      <c r="A12" s="1379"/>
      <c r="B12" s="1380"/>
      <c r="C12" s="1381"/>
      <c r="D12" s="1382" t="s">
        <v>1060</v>
      </c>
      <c r="E12" s="240"/>
      <c r="F12" s="1096">
        <f>+'RS 00XX &amp; 1400'!D15+'RS 00XX &amp; 1400'!D16</f>
        <v>807000</v>
      </c>
      <c r="G12" s="1164">
        <f>+'RS 00XX &amp; 1400'!H15+'RS 00XX &amp; 1400'!H16</f>
        <v>0</v>
      </c>
      <c r="H12" s="1904">
        <f>+'RS 00XX &amp; 1400'!L15+'RS 00XX &amp; 1400'!L16</f>
        <v>0</v>
      </c>
      <c r="I12" s="675">
        <f>+'RS 00XX &amp; 1400'!P15+'RS 00XX &amp; 1400'!P16</f>
        <v>0</v>
      </c>
      <c r="J12" s="675">
        <v>0</v>
      </c>
      <c r="K12" s="675">
        <v>0</v>
      </c>
      <c r="L12" s="675">
        <v>0</v>
      </c>
      <c r="M12" s="1963">
        <f t="shared" si="4"/>
        <v>-807000</v>
      </c>
      <c r="N12" s="1940">
        <f t="shared" si="0"/>
        <v>-1</v>
      </c>
      <c r="O12" s="1963">
        <f t="shared" si="5"/>
        <v>0</v>
      </c>
      <c r="P12" s="1940">
        <f t="shared" si="1"/>
        <v>0</v>
      </c>
      <c r="Q12" s="1963">
        <f t="shared" si="2"/>
        <v>0</v>
      </c>
      <c r="R12" s="1940">
        <f t="shared" si="3"/>
        <v>0</v>
      </c>
      <c r="S12" s="1953"/>
      <c r="T12" s="1953"/>
      <c r="U12" s="1828"/>
      <c r="V12" s="1807"/>
      <c r="W12" s="1807"/>
      <c r="X12" s="457"/>
      <c r="Y12" s="1306"/>
      <c r="Z12" s="1297"/>
    </row>
    <row r="13" spans="1:44" ht="18" customHeight="1" thickBot="1" x14ac:dyDescent="0.3">
      <c r="A13" s="1339"/>
      <c r="B13" s="1340" t="s">
        <v>360</v>
      </c>
      <c r="C13" s="1348"/>
      <c r="D13" s="1348"/>
      <c r="E13" s="630"/>
      <c r="F13" s="1097">
        <f>SUM(F5:F12)</f>
        <v>68791410.909999996</v>
      </c>
      <c r="G13" s="1165">
        <f>SUM(G5:G12)</f>
        <v>68122152</v>
      </c>
      <c r="H13" s="1133">
        <f>SUM(H5:H12)</f>
        <v>68725086.663499996</v>
      </c>
      <c r="I13" s="660">
        <f>SUM(I5:I12)</f>
        <v>70501902.606092244</v>
      </c>
      <c r="J13" s="660" t="e">
        <f t="shared" ref="J13:L13" si="7">SUM(J5:J12)</f>
        <v>#REF!</v>
      </c>
      <c r="K13" s="660" t="e">
        <f t="shared" si="7"/>
        <v>#REF!</v>
      </c>
      <c r="L13" s="660" t="e">
        <f t="shared" si="7"/>
        <v>#REF!</v>
      </c>
      <c r="M13" s="1963">
        <f t="shared" si="4"/>
        <v>-669258.90999999642</v>
      </c>
      <c r="N13" s="1940">
        <f t="shared" si="0"/>
        <v>-9.7288149951683615E-3</v>
      </c>
      <c r="O13" s="1963">
        <f t="shared" si="5"/>
        <v>602934.66349999607</v>
      </c>
      <c r="P13" s="1940">
        <f t="shared" si="1"/>
        <v>8.8507870905193374E-3</v>
      </c>
      <c r="Q13" s="1963">
        <f t="shared" si="2"/>
        <v>1776815.9425922483</v>
      </c>
      <c r="R13" s="1940">
        <f t="shared" si="3"/>
        <v>2.5853964379733814E-2</v>
      </c>
      <c r="S13" s="1953"/>
      <c r="T13" s="1953"/>
      <c r="U13" s="1829"/>
      <c r="V13" s="1830"/>
      <c r="W13" s="1830"/>
      <c r="X13" s="637"/>
      <c r="Y13" s="1777"/>
      <c r="Z13" s="1297"/>
    </row>
    <row r="14" spans="1:44" ht="18" customHeight="1" thickTop="1" x14ac:dyDescent="0.25">
      <c r="A14" s="1383"/>
      <c r="B14" s="1384"/>
      <c r="C14" s="1385"/>
      <c r="D14" s="1385"/>
      <c r="E14" s="689"/>
      <c r="F14" s="1098"/>
      <c r="G14" s="1166"/>
      <c r="H14" s="1134"/>
      <c r="I14" s="657"/>
      <c r="J14" s="657"/>
      <c r="K14" s="657"/>
      <c r="L14" s="657"/>
      <c r="M14" s="1963"/>
      <c r="N14" s="1940"/>
      <c r="O14" s="1963"/>
      <c r="P14" s="1940"/>
      <c r="Q14" s="1963"/>
      <c r="R14" s="1940"/>
      <c r="S14" s="1953"/>
      <c r="T14" s="1953"/>
      <c r="U14" s="1827"/>
      <c r="V14" s="1830"/>
      <c r="W14" s="1830"/>
      <c r="X14" s="637"/>
      <c r="Y14" s="1777"/>
      <c r="Z14" s="1297"/>
    </row>
    <row r="15" spans="1:44" ht="18" customHeight="1" x14ac:dyDescent="0.25">
      <c r="A15" s="1372"/>
      <c r="B15" s="1329" t="s">
        <v>707</v>
      </c>
      <c r="C15" s="1330"/>
      <c r="D15" s="1330"/>
      <c r="E15" s="667"/>
      <c r="F15" s="1099"/>
      <c r="G15" s="1167"/>
      <c r="H15" s="1135"/>
      <c r="I15" s="668"/>
      <c r="J15" s="668"/>
      <c r="K15" s="668"/>
      <c r="L15" s="668"/>
      <c r="M15" s="1963"/>
      <c r="N15" s="1940"/>
      <c r="O15" s="1963"/>
      <c r="P15" s="1940"/>
      <c r="Q15" s="1963"/>
      <c r="R15" s="1940"/>
      <c r="S15" s="1953"/>
      <c r="T15" s="1953"/>
      <c r="U15" s="1827"/>
      <c r="V15" s="1830"/>
      <c r="W15" s="1830"/>
      <c r="X15" s="637"/>
      <c r="Y15" s="1777"/>
      <c r="Z15" s="1297"/>
    </row>
    <row r="16" spans="1:44" ht="18" x14ac:dyDescent="0.25">
      <c r="A16" s="1373"/>
      <c r="B16" s="1332"/>
      <c r="C16" s="745" t="s">
        <v>371</v>
      </c>
      <c r="D16" s="745"/>
      <c r="E16" s="624"/>
      <c r="F16" s="1093">
        <v>0</v>
      </c>
      <c r="G16" s="1161">
        <v>0</v>
      </c>
      <c r="H16" s="1130">
        <v>0</v>
      </c>
      <c r="I16" s="669">
        <v>0</v>
      </c>
      <c r="J16" s="669">
        <v>0</v>
      </c>
      <c r="K16" s="669">
        <v>0</v>
      </c>
      <c r="L16" s="669">
        <v>0</v>
      </c>
      <c r="M16" s="1963">
        <f t="shared" ref="M16:M61" si="8">+G16-F16</f>
        <v>0</v>
      </c>
      <c r="N16" s="1940">
        <f t="shared" ref="N16:N61" si="9">IFERROR(M16/F16,0)</f>
        <v>0</v>
      </c>
      <c r="O16" s="1963">
        <f t="shared" ref="O16:O61" si="10">+H16-G16</f>
        <v>0</v>
      </c>
      <c r="P16" s="1940">
        <f t="shared" ref="P16:P61" si="11">IFERROR(O16/G16,0)</f>
        <v>0</v>
      </c>
      <c r="Q16" s="1963">
        <f t="shared" ref="Q16:Q61" si="12">+I16-H16</f>
        <v>0</v>
      </c>
      <c r="R16" s="1940">
        <f t="shared" ref="R16:R61" si="13">IFERROR(Q16/H16,0)</f>
        <v>0</v>
      </c>
      <c r="S16" s="1953"/>
      <c r="T16" s="1953"/>
      <c r="U16" s="1831"/>
      <c r="V16" s="1832"/>
      <c r="W16" s="1832"/>
      <c r="X16" s="1811"/>
      <c r="Y16" s="1304"/>
      <c r="Z16" s="1304"/>
      <c r="AA16" s="1304"/>
      <c r="AB16" s="1297"/>
      <c r="AC16" s="1297"/>
      <c r="AD16" s="1297"/>
      <c r="AE16" s="1297"/>
      <c r="AF16" s="1297"/>
      <c r="AG16" s="1297"/>
      <c r="AH16" s="1297"/>
      <c r="AI16" s="1297"/>
      <c r="AJ16" s="1297"/>
      <c r="AK16" s="1297"/>
      <c r="AL16" s="1297"/>
      <c r="AM16" s="1297"/>
      <c r="AN16" s="1297"/>
      <c r="AO16" s="1297"/>
      <c r="AP16" s="1297"/>
      <c r="AQ16" s="1297"/>
      <c r="AR16" s="1297"/>
    </row>
    <row r="17" spans="1:44" s="1299" customFormat="1" ht="18" x14ac:dyDescent="0.25">
      <c r="A17" s="1375"/>
      <c r="B17" s="1334"/>
      <c r="C17" s="737" t="s">
        <v>278</v>
      </c>
      <c r="D17" s="737"/>
      <c r="E17" s="625"/>
      <c r="F17" s="1100">
        <v>0</v>
      </c>
      <c r="G17" s="1163">
        <v>0</v>
      </c>
      <c r="H17" s="1132">
        <v>0</v>
      </c>
      <c r="I17" s="653">
        <v>0</v>
      </c>
      <c r="J17" s="653">
        <v>0</v>
      </c>
      <c r="K17" s="653">
        <v>0</v>
      </c>
      <c r="L17" s="653">
        <v>0</v>
      </c>
      <c r="M17" s="1963">
        <f t="shared" si="8"/>
        <v>0</v>
      </c>
      <c r="N17" s="1940">
        <f t="shared" si="9"/>
        <v>0</v>
      </c>
      <c r="O17" s="1963">
        <f t="shared" si="10"/>
        <v>0</v>
      </c>
      <c r="P17" s="1940">
        <f t="shared" si="11"/>
        <v>0</v>
      </c>
      <c r="Q17" s="1963">
        <f t="shared" si="12"/>
        <v>0</v>
      </c>
      <c r="R17" s="1940">
        <f t="shared" si="13"/>
        <v>0</v>
      </c>
      <c r="S17" s="1953"/>
      <c r="T17" s="1953"/>
      <c r="U17" s="1831"/>
      <c r="V17" s="1832"/>
      <c r="W17" s="1832"/>
      <c r="X17" s="1811"/>
      <c r="Y17" s="1304"/>
      <c r="Z17" s="1304"/>
      <c r="AA17" s="1304"/>
      <c r="AB17" s="1298"/>
      <c r="AC17" s="1298"/>
      <c r="AD17" s="1298"/>
      <c r="AE17" s="1298"/>
      <c r="AF17" s="1298"/>
      <c r="AG17" s="1298"/>
      <c r="AH17" s="1298"/>
      <c r="AI17" s="1298"/>
      <c r="AJ17" s="1298"/>
      <c r="AK17" s="1298"/>
      <c r="AL17" s="1298"/>
      <c r="AM17" s="1298"/>
      <c r="AN17" s="1298"/>
      <c r="AO17" s="1298"/>
      <c r="AP17" s="1298"/>
      <c r="AQ17" s="1298"/>
      <c r="AR17" s="1298"/>
    </row>
    <row r="18" spans="1:44" ht="24.75" customHeight="1" x14ac:dyDescent="0.25">
      <c r="A18" s="1375"/>
      <c r="B18" s="1334"/>
      <c r="C18" s="737" t="s">
        <v>406</v>
      </c>
      <c r="D18" s="737"/>
      <c r="E18" s="625"/>
      <c r="F18" s="1100"/>
      <c r="G18" s="1163"/>
      <c r="H18" s="1132"/>
      <c r="I18" s="653"/>
      <c r="J18" s="653" t="e">
        <f>-#REF!</f>
        <v>#REF!</v>
      </c>
      <c r="K18" s="653" t="e">
        <f>-#REF!</f>
        <v>#REF!</v>
      </c>
      <c r="L18" s="653" t="e">
        <f>-#REF!</f>
        <v>#REF!</v>
      </c>
      <c r="M18" s="1963"/>
      <c r="N18" s="1940"/>
      <c r="O18" s="1963"/>
      <c r="P18" s="1940"/>
      <c r="Q18" s="1963"/>
      <c r="R18" s="1940"/>
      <c r="S18" s="1953"/>
      <c r="T18" s="1953"/>
      <c r="U18" s="1832"/>
      <c r="V18" s="1831"/>
      <c r="W18" s="1831"/>
      <c r="X18" s="1812"/>
      <c r="Y18" s="1305"/>
      <c r="Z18" s="1297"/>
      <c r="AA18" s="1297"/>
      <c r="AB18" s="1297"/>
      <c r="AC18" s="1297"/>
      <c r="AD18" s="1297"/>
      <c r="AE18" s="1297"/>
      <c r="AF18" s="1297"/>
      <c r="AG18" s="1297"/>
      <c r="AH18" s="1297"/>
      <c r="AI18" s="1297"/>
      <c r="AJ18" s="1297"/>
      <c r="AK18" s="1297"/>
      <c r="AL18" s="1297"/>
      <c r="AM18" s="1297"/>
      <c r="AN18" s="1297"/>
      <c r="AO18" s="1297"/>
      <c r="AP18" s="1297"/>
      <c r="AQ18" s="1297"/>
      <c r="AR18" s="1297"/>
    </row>
    <row r="19" spans="1:44" ht="18" x14ac:dyDescent="0.25">
      <c r="A19" s="1375"/>
      <c r="B19" s="1334"/>
      <c r="C19" s="737"/>
      <c r="D19" s="737" t="str">
        <f>+RESTRICTED!D19</f>
        <v>Special Education (RS 6500)</v>
      </c>
      <c r="E19" s="625">
        <f>-RESTRICTED!E19</f>
        <v>0</v>
      </c>
      <c r="F19" s="1100">
        <f>-RESTRICTED!F19</f>
        <v>-11011522.92</v>
      </c>
      <c r="G19" s="1163">
        <f>-RESTRICTED!G19</f>
        <v>-12523071</v>
      </c>
      <c r="H19" s="1132">
        <f>-RESTRICTED!H19</f>
        <v>-12774650</v>
      </c>
      <c r="I19" s="653">
        <f>-RESTRICTED!I19</f>
        <v>-13188038</v>
      </c>
      <c r="J19" s="653"/>
      <c r="K19" s="653"/>
      <c r="L19" s="653"/>
      <c r="M19" s="1963">
        <f t="shared" si="8"/>
        <v>-1511548.08</v>
      </c>
      <c r="N19" s="1940">
        <f t="shared" si="9"/>
        <v>0.13726966660121159</v>
      </c>
      <c r="O19" s="1963">
        <f>+H19-G19</f>
        <v>-251579</v>
      </c>
      <c r="P19" s="1940">
        <f>IFERROR(O19/G19,0)</f>
        <v>2.0089241688400553E-2</v>
      </c>
      <c r="Q19" s="1963">
        <f t="shared" si="12"/>
        <v>-413388</v>
      </c>
      <c r="R19" s="1940">
        <f t="shared" si="13"/>
        <v>3.236002551929016E-2</v>
      </c>
      <c r="S19" s="1953"/>
      <c r="T19" s="1953"/>
      <c r="U19" s="1832"/>
      <c r="V19" s="1831"/>
      <c r="W19" s="1831"/>
      <c r="X19" s="1812"/>
      <c r="Y19" s="1305"/>
      <c r="Z19" s="1297"/>
      <c r="AA19" s="1297"/>
      <c r="AB19" s="1297"/>
      <c r="AC19" s="1297"/>
      <c r="AD19" s="1297"/>
      <c r="AE19" s="1297"/>
      <c r="AF19" s="1297"/>
      <c r="AG19" s="1297"/>
      <c r="AH19" s="1297"/>
      <c r="AI19" s="1297"/>
      <c r="AJ19" s="1297"/>
      <c r="AK19" s="1297"/>
      <c r="AL19" s="1297"/>
      <c r="AM19" s="1297"/>
      <c r="AN19" s="1297"/>
      <c r="AO19" s="1297"/>
      <c r="AP19" s="1297"/>
      <c r="AQ19" s="1297"/>
      <c r="AR19" s="1297"/>
    </row>
    <row r="20" spans="1:44" ht="18" x14ac:dyDescent="0.25">
      <c r="A20" s="1375"/>
      <c r="B20" s="1334"/>
      <c r="C20" s="737"/>
      <c r="D20" s="737" t="str">
        <f>+RESTRICTED!D20</f>
        <v>Ongoing &amp; Major Maintenance (RS 8150)</v>
      </c>
      <c r="E20" s="625">
        <f>-RESTRICTED!E20</f>
        <v>0</v>
      </c>
      <c r="F20" s="1100">
        <f>-RESTRICTED!F20</f>
        <v>-2400861</v>
      </c>
      <c r="G20" s="1163">
        <f>-RESTRICTED!G20</f>
        <v>-2608798</v>
      </c>
      <c r="H20" s="1132">
        <f>-RESTRICTED!H20</f>
        <v>-2468427</v>
      </c>
      <c r="I20" s="653">
        <f>-RESTRICTED!I20</f>
        <v>-2468674</v>
      </c>
      <c r="J20" s="653"/>
      <c r="K20" s="653"/>
      <c r="L20" s="653"/>
      <c r="M20" s="1963">
        <f t="shared" si="8"/>
        <v>-207937</v>
      </c>
      <c r="N20" s="1940">
        <f t="shared" si="9"/>
        <v>8.6609345563945603E-2</v>
      </c>
      <c r="O20" s="1963">
        <f t="shared" si="10"/>
        <v>140371</v>
      </c>
      <c r="P20" s="1940">
        <f t="shared" si="11"/>
        <v>-5.3806772314299534E-2</v>
      </c>
      <c r="Q20" s="1963">
        <f t="shared" si="12"/>
        <v>-247</v>
      </c>
      <c r="R20" s="1940">
        <f t="shared" si="13"/>
        <v>1.0006372479315775E-4</v>
      </c>
      <c r="S20" s="1953"/>
      <c r="T20" s="1953"/>
      <c r="U20" s="1831"/>
      <c r="V20" s="1831"/>
      <c r="W20" s="1831"/>
      <c r="X20" s="1812"/>
      <c r="Y20" s="1305"/>
      <c r="Z20" s="1297"/>
      <c r="AA20" s="1297"/>
      <c r="AB20" s="1297"/>
      <c r="AC20" s="1297"/>
      <c r="AD20" s="1297"/>
      <c r="AE20" s="1297"/>
      <c r="AF20" s="1297"/>
      <c r="AG20" s="1297"/>
      <c r="AH20" s="1297"/>
      <c r="AI20" s="1297"/>
      <c r="AJ20" s="1297"/>
      <c r="AK20" s="1297"/>
      <c r="AL20" s="1297"/>
      <c r="AM20" s="1297"/>
      <c r="AN20" s="1297"/>
      <c r="AO20" s="1297"/>
      <c r="AP20" s="1297"/>
      <c r="AQ20" s="1297"/>
      <c r="AR20" s="1297"/>
    </row>
    <row r="21" spans="1:44" ht="18" x14ac:dyDescent="0.25">
      <c r="A21" s="1386"/>
      <c r="B21" s="1337"/>
      <c r="C21" s="1338"/>
      <c r="D21" s="1338" t="str">
        <f>+RESTRICTED!D21</f>
        <v>Facilities Improvement (RS 9225)</v>
      </c>
      <c r="E21" s="631">
        <f>-RESTRICTED!E21</f>
        <v>0</v>
      </c>
      <c r="F21" s="1101">
        <f>-RESTRICTED!F21</f>
        <v>-1961318</v>
      </c>
      <c r="G21" s="1168">
        <f>-RESTRICTED!G21</f>
        <v>-300000</v>
      </c>
      <c r="H21" s="1136">
        <f>-RESTRICTED!H21</f>
        <v>-300000</v>
      </c>
      <c r="I21" s="655">
        <f>-RESTRICTED!I21</f>
        <v>-300000</v>
      </c>
      <c r="J21" s="655"/>
      <c r="K21" s="655"/>
      <c r="L21" s="655"/>
      <c r="M21" s="1963">
        <f t="shared" si="8"/>
        <v>1661318</v>
      </c>
      <c r="N21" s="1940">
        <f t="shared" si="9"/>
        <v>-0.84704163220854545</v>
      </c>
      <c r="O21" s="1963">
        <f t="shared" si="10"/>
        <v>0</v>
      </c>
      <c r="P21" s="1940">
        <f t="shared" si="11"/>
        <v>0</v>
      </c>
      <c r="Q21" s="1963">
        <f t="shared" si="12"/>
        <v>0</v>
      </c>
      <c r="R21" s="1940">
        <f t="shared" si="13"/>
        <v>0</v>
      </c>
      <c r="S21" s="1953"/>
      <c r="T21" s="1953"/>
      <c r="U21" s="1831"/>
      <c r="V21" s="1832"/>
      <c r="W21" s="1832"/>
      <c r="X21" s="1811"/>
      <c r="Y21" s="1304"/>
      <c r="Z21" s="1297"/>
      <c r="AA21" s="1297"/>
      <c r="AB21" s="1297"/>
      <c r="AC21" s="1297"/>
      <c r="AD21" s="1297"/>
      <c r="AE21" s="1297"/>
      <c r="AF21" s="1297"/>
      <c r="AG21" s="1297"/>
      <c r="AH21" s="1297"/>
      <c r="AI21" s="1297"/>
      <c r="AJ21" s="1297"/>
      <c r="AK21" s="1297"/>
      <c r="AL21" s="1297"/>
      <c r="AM21" s="1297"/>
      <c r="AN21" s="1297"/>
      <c r="AO21" s="1297"/>
      <c r="AP21" s="1297"/>
      <c r="AQ21" s="1297"/>
      <c r="AR21" s="1297"/>
    </row>
    <row r="22" spans="1:44" ht="18" customHeight="1" thickBot="1" x14ac:dyDescent="0.3">
      <c r="A22" s="1339"/>
      <c r="B22" s="1340" t="s">
        <v>708</v>
      </c>
      <c r="C22" s="1348"/>
      <c r="D22" s="1348"/>
      <c r="E22" s="641"/>
      <c r="F22" s="1102">
        <f>SUM(F16:F21)</f>
        <v>-15373701.92</v>
      </c>
      <c r="G22" s="1169">
        <f t="shared" ref="G22:I22" si="14">SUM(G16:G21)</f>
        <v>-15431869</v>
      </c>
      <c r="H22" s="1137">
        <f t="shared" si="14"/>
        <v>-15543077</v>
      </c>
      <c r="I22" s="676">
        <f t="shared" si="14"/>
        <v>-15956712</v>
      </c>
      <c r="J22" s="676"/>
      <c r="K22" s="676"/>
      <c r="L22" s="676"/>
      <c r="M22" s="1963">
        <f t="shared" si="8"/>
        <v>-58167.080000000075</v>
      </c>
      <c r="N22" s="1940">
        <f t="shared" si="9"/>
        <v>3.7835441523898154E-3</v>
      </c>
      <c r="O22" s="1963">
        <f t="shared" si="10"/>
        <v>-111208</v>
      </c>
      <c r="P22" s="1940">
        <f t="shared" si="11"/>
        <v>7.206385694435327E-3</v>
      </c>
      <c r="Q22" s="1963">
        <f t="shared" si="12"/>
        <v>-413635</v>
      </c>
      <c r="R22" s="1940">
        <f t="shared" si="13"/>
        <v>2.6612169520874147E-2</v>
      </c>
      <c r="S22" s="1953"/>
      <c r="T22" s="1953"/>
      <c r="U22" s="1827"/>
      <c r="V22" s="1830"/>
      <c r="W22" s="1830"/>
      <c r="X22" s="637"/>
      <c r="Y22" s="1777"/>
    </row>
    <row r="23" spans="1:44" ht="18" customHeight="1" thickTop="1" x14ac:dyDescent="0.25">
      <c r="A23" s="1387"/>
      <c r="B23" s="1349"/>
      <c r="C23" s="1343"/>
      <c r="D23" s="1343"/>
      <c r="E23" s="224"/>
      <c r="F23" s="1103"/>
      <c r="G23" s="1170"/>
      <c r="H23" s="1138"/>
      <c r="I23" s="658"/>
      <c r="J23" s="658"/>
      <c r="K23" s="658"/>
      <c r="L23" s="658"/>
      <c r="M23" s="1963"/>
      <c r="N23" s="1940"/>
      <c r="O23" s="1963"/>
      <c r="P23" s="1940"/>
      <c r="Q23" s="1963"/>
      <c r="R23" s="1940"/>
      <c r="S23" s="1953"/>
      <c r="T23" s="1953"/>
      <c r="U23" s="1827"/>
      <c r="V23" s="1830"/>
      <c r="W23" s="1830"/>
      <c r="X23" s="637"/>
      <c r="Y23" s="1777"/>
    </row>
    <row r="24" spans="1:44" s="1295" customFormat="1" ht="25.5" customHeight="1" x14ac:dyDescent="0.25">
      <c r="A24" s="1388"/>
      <c r="B24" s="1389" t="s">
        <v>709</v>
      </c>
      <c r="C24" s="1389"/>
      <c r="D24" s="1389"/>
      <c r="E24" s="690"/>
      <c r="F24" s="1104">
        <f>SUM(F13,F22)</f>
        <v>53417708.989999995</v>
      </c>
      <c r="G24" s="1171">
        <f t="shared" ref="G24:I24" si="15">SUM(G13,G22)</f>
        <v>52690283</v>
      </c>
      <c r="H24" s="1139">
        <f t="shared" si="15"/>
        <v>53182009.663499996</v>
      </c>
      <c r="I24" s="691">
        <f t="shared" si="15"/>
        <v>54545190.606092244</v>
      </c>
      <c r="J24" s="691"/>
      <c r="K24" s="691"/>
      <c r="L24" s="691"/>
      <c r="M24" s="1963">
        <f t="shared" si="8"/>
        <v>-727425.98999999464</v>
      </c>
      <c r="N24" s="1940">
        <f t="shared" si="9"/>
        <v>-1.3617693528117644E-2</v>
      </c>
      <c r="O24" s="1963">
        <f t="shared" si="10"/>
        <v>491726.66349999607</v>
      </c>
      <c r="P24" s="1940">
        <f t="shared" si="11"/>
        <v>9.3323974650125919E-3</v>
      </c>
      <c r="Q24" s="1963">
        <f t="shared" si="12"/>
        <v>1363180.9425922483</v>
      </c>
      <c r="R24" s="1940">
        <f t="shared" si="13"/>
        <v>2.5632369878790608E-2</v>
      </c>
      <c r="S24" s="1953"/>
      <c r="T24" s="1953"/>
      <c r="U24" s="1833"/>
      <c r="V24" s="1834"/>
      <c r="W24" s="1834"/>
      <c r="X24" s="642"/>
      <c r="Y24" s="1322"/>
    </row>
    <row r="25" spans="1:44" ht="18" customHeight="1" x14ac:dyDescent="0.25">
      <c r="A25" s="1390"/>
      <c r="B25" s="1352"/>
      <c r="C25" s="1353"/>
      <c r="D25" s="1353"/>
      <c r="E25" s="692"/>
      <c r="F25" s="1105"/>
      <c r="G25" s="1172"/>
      <c r="H25" s="1140"/>
      <c r="I25" s="693"/>
      <c r="J25" s="693"/>
      <c r="K25" s="693"/>
      <c r="L25" s="693"/>
      <c r="M25" s="1963"/>
      <c r="N25" s="1940"/>
      <c r="O25" s="1963"/>
      <c r="P25" s="1940"/>
      <c r="Q25" s="1963"/>
      <c r="R25" s="1940"/>
      <c r="S25" s="1953"/>
      <c r="T25" s="1953"/>
      <c r="U25" s="1835"/>
      <c r="V25" s="1831"/>
      <c r="W25" s="1830"/>
      <c r="X25" s="637"/>
      <c r="Y25" s="1777"/>
    </row>
    <row r="26" spans="1:44" ht="20.25" x14ac:dyDescent="0.25">
      <c r="A26" s="1372"/>
      <c r="B26" s="1329" t="s">
        <v>361</v>
      </c>
      <c r="C26" s="1330"/>
      <c r="D26" s="1330"/>
      <c r="E26" s="667"/>
      <c r="F26" s="1099"/>
      <c r="G26" s="1167"/>
      <c r="H26" s="1135"/>
      <c r="I26" s="668"/>
      <c r="J26" s="668"/>
      <c r="K26" s="668"/>
      <c r="L26" s="668"/>
      <c r="M26" s="1963"/>
      <c r="N26" s="1940"/>
      <c r="O26" s="1963"/>
      <c r="P26" s="1940"/>
      <c r="Q26" s="1963"/>
      <c r="R26" s="1940"/>
      <c r="S26" s="1953"/>
      <c r="T26" s="1953"/>
      <c r="U26" s="1836"/>
      <c r="V26" s="1835"/>
    </row>
    <row r="27" spans="1:44" ht="18" x14ac:dyDescent="0.25">
      <c r="A27" s="1373"/>
      <c r="B27" s="1332"/>
      <c r="C27" s="745" t="s">
        <v>362</v>
      </c>
      <c r="D27" s="745"/>
      <c r="E27" s="624"/>
      <c r="F27" s="1106">
        <f>+'RS 00XX &amp; 1400'!D65+'RS 0653'!D32+'RS 0654'!D33+'RS 0655'!D32+'RS 1100'!D24</f>
        <v>31226621.970000003</v>
      </c>
      <c r="G27" s="1161">
        <f>+'RS 00XX &amp; 1400'!H65+'RS 0653'!H32+'RS 0654'!H33+'RS 0655'!H32+'RS 1100'!H24</f>
        <v>31612940.079999998</v>
      </c>
      <c r="H27" s="1130">
        <f>+'RS 00XX &amp; 1400'!L65+'RS 0653'!L32+'RS 0654'!L33+'RS 0655'!L32+'RS 1100'!L24</f>
        <v>31609301.626025468</v>
      </c>
      <c r="I27" s="669">
        <f>+'RS 00XX &amp; 1400'!P65+'RS 0653'!P32+'RS 0654'!P33+'RS 0655'!P32+'RS 1100'!P24</f>
        <v>31642808.269451134</v>
      </c>
      <c r="J27" s="669" t="e">
        <f>(+I27*(1+#REF!))</f>
        <v>#REF!</v>
      </c>
      <c r="K27" s="669" t="e">
        <f>(+J27*(1+#REF!))</f>
        <v>#REF!</v>
      </c>
      <c r="L27" s="669" t="e">
        <f>(+K27*(1+#REF!))</f>
        <v>#REF!</v>
      </c>
      <c r="M27" s="1963">
        <f t="shared" si="8"/>
        <v>386318.10999999568</v>
      </c>
      <c r="N27" s="1940">
        <f t="shared" si="9"/>
        <v>1.2371434552579485E-2</v>
      </c>
      <c r="O27" s="1963">
        <f t="shared" si="10"/>
        <v>-3638.4539745301008</v>
      </c>
      <c r="P27" s="1940">
        <f t="shared" si="11"/>
        <v>-1.1509381807964067E-4</v>
      </c>
      <c r="Q27" s="1963">
        <f t="shared" si="12"/>
        <v>33506.643425665796</v>
      </c>
      <c r="R27" s="1940">
        <f t="shared" si="13"/>
        <v>1.0600247934006285E-3</v>
      </c>
      <c r="S27" s="1953"/>
      <c r="T27" s="1953"/>
      <c r="U27" s="1932">
        <v>584764</v>
      </c>
      <c r="V27" s="1576" t="s">
        <v>888</v>
      </c>
      <c r="W27" s="1837"/>
      <c r="X27" s="1813"/>
      <c r="Y27" s="1778"/>
      <c r="Z27" s="1778"/>
      <c r="AN27" s="1300"/>
    </row>
    <row r="28" spans="1:44" ht="18" x14ac:dyDescent="0.25">
      <c r="A28" s="1375"/>
      <c r="B28" s="1334"/>
      <c r="C28" s="737" t="s">
        <v>363</v>
      </c>
      <c r="D28" s="737"/>
      <c r="E28" s="625"/>
      <c r="F28" s="1107">
        <f>+'RS 00XX &amp; 1400'!D80+'RS 0653'!D43+'RS 0654'!D51+'RS 0655'!D45+'RS 1100'!D31</f>
        <v>6576599.799999998</v>
      </c>
      <c r="G28" s="1163">
        <f>+'RS 00XX &amp; 1400'!H80+'RS 0653'!H43+'RS 0654'!H51+'RS 0655'!H45+'RS 1100'!H31</f>
        <v>7113392</v>
      </c>
      <c r="H28" s="1132">
        <f>+'RS 00XX &amp; 1400'!L80+'RS 0653'!L43+'RS 0654'!L51+'RS 0655'!L45+'RS 1100'!L31</f>
        <v>7218021</v>
      </c>
      <c r="I28" s="653">
        <f>+'RS 00XX &amp; 1400'!P80+'RS 0653'!P43+'RS 0654'!P51+'RS 0655'!P45+'RS 1100'!P31</f>
        <v>7324219</v>
      </c>
      <c r="J28" s="653" t="e">
        <f>+I28*(1+#REF!)</f>
        <v>#REF!</v>
      </c>
      <c r="K28" s="653" t="e">
        <f>+J28*(1+#REF!)</f>
        <v>#REF!</v>
      </c>
      <c r="L28" s="653" t="e">
        <f>+K28*(1+#REF!)</f>
        <v>#REF!</v>
      </c>
      <c r="M28" s="1963">
        <f t="shared" si="8"/>
        <v>536792.20000000205</v>
      </c>
      <c r="N28" s="1940">
        <f t="shared" si="9"/>
        <v>8.1621539446569677E-2</v>
      </c>
      <c r="O28" s="1963">
        <f t="shared" si="10"/>
        <v>104629</v>
      </c>
      <c r="P28" s="1940">
        <f t="shared" si="11"/>
        <v>1.4708735298153117E-2</v>
      </c>
      <c r="Q28" s="1963">
        <f t="shared" si="12"/>
        <v>106198</v>
      </c>
      <c r="R28" s="1940">
        <f t="shared" si="13"/>
        <v>1.4712897066938431E-2</v>
      </c>
      <c r="S28" s="1953"/>
      <c r="T28" s="1953"/>
      <c r="U28" s="1838">
        <v>0</v>
      </c>
      <c r="V28" s="1577" t="s">
        <v>1016</v>
      </c>
      <c r="W28" s="1837"/>
      <c r="X28" s="1813"/>
      <c r="Y28" s="1778"/>
      <c r="Z28" s="1778"/>
      <c r="AA28" s="1297"/>
      <c r="AB28" s="1297"/>
      <c r="AC28" s="1297"/>
      <c r="AD28" s="1297"/>
      <c r="AE28" s="1297"/>
      <c r="AF28" s="1297"/>
      <c r="AG28" s="1297"/>
      <c r="AH28" s="1297"/>
      <c r="AI28" s="1297"/>
      <c r="AJ28" s="1297"/>
      <c r="AK28" s="1297"/>
      <c r="AL28" s="1297"/>
      <c r="AM28" s="1297"/>
      <c r="AN28" s="1301"/>
      <c r="AO28" s="1297"/>
      <c r="AP28" s="1297"/>
      <c r="AQ28" s="1297"/>
      <c r="AR28" s="1297"/>
    </row>
    <row r="29" spans="1:44" ht="20.25" hidden="1" x14ac:dyDescent="0.3">
      <c r="A29" s="1391"/>
      <c r="B29" s="738"/>
      <c r="C29" s="738"/>
      <c r="D29" s="1508" t="str">
        <f>"Cost of "&amp;U28&amp;"% salary increase, incl. statutory benefits"</f>
        <v>Cost of 0% salary increase, incl. statutory benefits</v>
      </c>
      <c r="E29" s="1509"/>
      <c r="F29" s="1983"/>
      <c r="G29" s="1173">
        <f>+U29</f>
        <v>0</v>
      </c>
      <c r="H29" s="1141">
        <f>+G29</f>
        <v>0</v>
      </c>
      <c r="I29" s="677">
        <f>+H29</f>
        <v>0</v>
      </c>
      <c r="J29" s="677"/>
      <c r="K29" s="677"/>
      <c r="L29" s="677"/>
      <c r="M29" s="1963">
        <f t="shared" si="8"/>
        <v>0</v>
      </c>
      <c r="N29" s="1940">
        <f t="shared" si="9"/>
        <v>0</v>
      </c>
      <c r="O29" s="1963">
        <f t="shared" si="10"/>
        <v>0</v>
      </c>
      <c r="P29" s="1940">
        <f t="shared" si="11"/>
        <v>0</v>
      </c>
      <c r="Q29" s="1963">
        <f t="shared" si="12"/>
        <v>0</v>
      </c>
      <c r="R29" s="1940">
        <f t="shared" si="13"/>
        <v>0</v>
      </c>
      <c r="S29" s="1953"/>
      <c r="T29" s="1953"/>
      <c r="U29" s="1807">
        <f>+U27*U28</f>
        <v>0</v>
      </c>
      <c r="V29" s="1577">
        <f>D28</f>
        <v>0</v>
      </c>
      <c r="W29" s="1837"/>
      <c r="X29" s="1813"/>
      <c r="Y29" s="1778"/>
      <c r="Z29" s="1778"/>
      <c r="AA29" s="1297"/>
      <c r="AB29" s="1297"/>
      <c r="AC29" s="1297"/>
      <c r="AD29" s="1297"/>
      <c r="AE29" s="1297"/>
      <c r="AF29" s="1297"/>
      <c r="AG29" s="1297"/>
      <c r="AH29" s="1297"/>
      <c r="AI29" s="1297"/>
      <c r="AJ29" s="1297"/>
      <c r="AK29" s="1297"/>
      <c r="AL29" s="1297"/>
      <c r="AM29" s="1297"/>
      <c r="AN29" s="1297"/>
      <c r="AO29" s="1297"/>
      <c r="AP29" s="1297"/>
      <c r="AQ29" s="1297"/>
      <c r="AR29" s="1297"/>
    </row>
    <row r="30" spans="1:44" ht="20.25" hidden="1" x14ac:dyDescent="0.3">
      <c r="A30" s="1391"/>
      <c r="B30" s="738"/>
      <c r="C30" s="738"/>
      <c r="D30" s="1508"/>
      <c r="E30" s="1509"/>
      <c r="F30" s="1983"/>
      <c r="G30" s="1173"/>
      <c r="H30" s="1141"/>
      <c r="I30" s="677"/>
      <c r="J30" s="1510"/>
      <c r="K30" s="1510"/>
      <c r="L30" s="1510"/>
      <c r="M30" s="1963">
        <f t="shared" si="8"/>
        <v>0</v>
      </c>
      <c r="N30" s="1940">
        <f t="shared" si="9"/>
        <v>0</v>
      </c>
      <c r="O30" s="1963">
        <f t="shared" si="10"/>
        <v>0</v>
      </c>
      <c r="P30" s="1940">
        <f t="shared" si="11"/>
        <v>0</v>
      </c>
      <c r="Q30" s="1963">
        <f t="shared" si="12"/>
        <v>0</v>
      </c>
      <c r="R30" s="1940">
        <f t="shared" si="13"/>
        <v>0</v>
      </c>
      <c r="S30" s="1953"/>
      <c r="T30" s="1953"/>
      <c r="U30" s="1837"/>
      <c r="V30" s="1837"/>
      <c r="W30" s="1837"/>
      <c r="X30" s="1813"/>
      <c r="Y30" s="1778"/>
      <c r="Z30" s="1778"/>
      <c r="AA30" s="1297"/>
      <c r="AB30" s="1297"/>
      <c r="AC30" s="1297"/>
      <c r="AD30" s="1297"/>
      <c r="AE30" s="1297"/>
      <c r="AF30" s="1297"/>
      <c r="AG30" s="1297"/>
      <c r="AH30" s="1297"/>
      <c r="AI30" s="1297"/>
      <c r="AJ30" s="1297"/>
      <c r="AK30" s="1297"/>
      <c r="AL30" s="1297"/>
      <c r="AM30" s="1297"/>
      <c r="AN30" s="1297"/>
      <c r="AO30" s="1297"/>
      <c r="AP30" s="1297"/>
      <c r="AQ30" s="1297"/>
      <c r="AR30" s="1297"/>
    </row>
    <row r="31" spans="1:44" ht="20.25" hidden="1" x14ac:dyDescent="0.3">
      <c r="A31" s="1391"/>
      <c r="B31" s="738"/>
      <c r="C31" s="738"/>
      <c r="D31" s="1508"/>
      <c r="E31" s="1509"/>
      <c r="F31" s="1983"/>
      <c r="G31" s="1173"/>
      <c r="H31" s="1141"/>
      <c r="I31" s="677"/>
      <c r="J31" s="1510"/>
      <c r="K31" s="1510"/>
      <c r="L31" s="1510"/>
      <c r="M31" s="1963">
        <f t="shared" si="8"/>
        <v>0</v>
      </c>
      <c r="N31" s="1940">
        <f t="shared" si="9"/>
        <v>0</v>
      </c>
      <c r="O31" s="1963">
        <f t="shared" si="10"/>
        <v>0</v>
      </c>
      <c r="P31" s="1940">
        <f t="shared" si="11"/>
        <v>0</v>
      </c>
      <c r="Q31" s="1963">
        <f t="shared" si="12"/>
        <v>0</v>
      </c>
      <c r="R31" s="1940">
        <f t="shared" si="13"/>
        <v>0</v>
      </c>
      <c r="S31" s="1953"/>
      <c r="T31" s="1953"/>
      <c r="U31" s="1837"/>
      <c r="V31" s="1837"/>
      <c r="W31" s="1837"/>
      <c r="X31" s="1813"/>
      <c r="Y31" s="1778"/>
      <c r="Z31" s="1778"/>
      <c r="AA31" s="1297"/>
      <c r="AB31" s="1297"/>
      <c r="AC31" s="1297"/>
      <c r="AD31" s="1297"/>
      <c r="AE31" s="1297"/>
      <c r="AF31" s="1297"/>
      <c r="AG31" s="1297"/>
      <c r="AH31" s="1297"/>
      <c r="AI31" s="1297"/>
      <c r="AJ31" s="1297"/>
      <c r="AK31" s="1297"/>
      <c r="AL31" s="1297"/>
      <c r="AM31" s="1297"/>
      <c r="AN31" s="1297"/>
      <c r="AO31" s="1297"/>
      <c r="AP31" s="1297"/>
      <c r="AQ31" s="1297"/>
      <c r="AR31" s="1297"/>
    </row>
    <row r="32" spans="1:44" ht="20.25" hidden="1" x14ac:dyDescent="0.3">
      <c r="A32" s="1391"/>
      <c r="B32" s="738"/>
      <c r="C32" s="738"/>
      <c r="D32" s="1508"/>
      <c r="E32" s="1509"/>
      <c r="F32" s="1983"/>
      <c r="G32" s="1173"/>
      <c r="H32" s="1141"/>
      <c r="I32" s="677"/>
      <c r="J32" s="1510"/>
      <c r="K32" s="1510"/>
      <c r="L32" s="1510"/>
      <c r="M32" s="1963">
        <f t="shared" si="8"/>
        <v>0</v>
      </c>
      <c r="N32" s="1940">
        <f t="shared" si="9"/>
        <v>0</v>
      </c>
      <c r="O32" s="1963">
        <f t="shared" si="10"/>
        <v>0</v>
      </c>
      <c r="P32" s="1940">
        <f t="shared" si="11"/>
        <v>0</v>
      </c>
      <c r="Q32" s="1963">
        <f t="shared" si="12"/>
        <v>0</v>
      </c>
      <c r="R32" s="1940">
        <f t="shared" si="13"/>
        <v>0</v>
      </c>
      <c r="S32" s="1953"/>
      <c r="T32" s="1953"/>
      <c r="U32" s="1837"/>
      <c r="V32" s="1579"/>
      <c r="W32" s="1837"/>
      <c r="X32" s="1813"/>
      <c r="Y32" s="1778"/>
      <c r="Z32" s="1778"/>
      <c r="AA32" s="1297"/>
      <c r="AB32" s="1297"/>
      <c r="AC32" s="1297"/>
      <c r="AD32" s="1297"/>
      <c r="AE32" s="1297"/>
      <c r="AF32" s="1297"/>
      <c r="AG32" s="1297"/>
      <c r="AH32" s="1297"/>
      <c r="AI32" s="1297"/>
      <c r="AJ32" s="1297"/>
      <c r="AK32" s="1297"/>
      <c r="AL32" s="1297"/>
      <c r="AM32" s="1297"/>
      <c r="AN32" s="1297"/>
      <c r="AO32" s="1297"/>
      <c r="AP32" s="1297"/>
      <c r="AQ32" s="1297"/>
      <c r="AR32" s="1297"/>
    </row>
    <row r="33" spans="1:44" s="1303" customFormat="1" ht="18" x14ac:dyDescent="0.25">
      <c r="A33" s="1375"/>
      <c r="B33" s="1334"/>
      <c r="C33" s="737" t="s">
        <v>364</v>
      </c>
      <c r="D33" s="737"/>
      <c r="E33" s="625"/>
      <c r="F33" s="1107"/>
      <c r="G33" s="1163"/>
      <c r="H33" s="1132"/>
      <c r="I33" s="653"/>
      <c r="J33" s="653"/>
      <c r="K33" s="653"/>
      <c r="L33" s="653"/>
      <c r="M33" s="1963">
        <f t="shared" si="8"/>
        <v>0</v>
      </c>
      <c r="N33" s="1940">
        <f t="shared" si="9"/>
        <v>0</v>
      </c>
      <c r="O33" s="1963">
        <f t="shared" si="10"/>
        <v>0</v>
      </c>
      <c r="P33" s="1940">
        <f t="shared" si="11"/>
        <v>0</v>
      </c>
      <c r="Q33" s="1963">
        <f t="shared" si="12"/>
        <v>0</v>
      </c>
      <c r="R33" s="1940">
        <f t="shared" si="13"/>
        <v>0</v>
      </c>
      <c r="S33" s="1953"/>
      <c r="T33" s="1953"/>
      <c r="U33" s="1837"/>
      <c r="V33" s="1837"/>
      <c r="W33" s="1837"/>
      <c r="X33" s="1813"/>
      <c r="Y33" s="1778"/>
      <c r="Z33" s="1778"/>
      <c r="AA33" s="1304"/>
      <c r="AB33" s="1304"/>
      <c r="AC33" s="1304"/>
      <c r="AD33" s="1304"/>
      <c r="AE33" s="1304"/>
      <c r="AF33" s="1304"/>
      <c r="AG33" s="1304"/>
      <c r="AH33" s="1304"/>
      <c r="AI33" s="1304"/>
      <c r="AJ33" s="1304"/>
      <c r="AK33" s="1304"/>
      <c r="AL33" s="1302"/>
      <c r="AM33" s="1302"/>
      <c r="AN33" s="1302"/>
      <c r="AO33" s="1302"/>
      <c r="AP33" s="1302"/>
      <c r="AQ33" s="1302"/>
      <c r="AR33" s="1302"/>
    </row>
    <row r="34" spans="1:44" ht="18" x14ac:dyDescent="0.25">
      <c r="A34" s="1375"/>
      <c r="B34" s="1334"/>
      <c r="C34" s="737"/>
      <c r="D34" s="1335" t="s">
        <v>76</v>
      </c>
      <c r="E34" s="626"/>
      <c r="F34" s="1109">
        <f>+'RS 00XX &amp; 1400'!D83+'RS 0653'!D46+'RS 0654'!D54+'RS 0655'!D48</f>
        <v>3943449.73</v>
      </c>
      <c r="G34" s="1162">
        <f>+'RS 00XX &amp; 1400'!H83+'RS 0653'!H46+'RS 0654'!H54+'RS 0655'!H48+'RS 1100'!H34</f>
        <v>4636096</v>
      </c>
      <c r="H34" s="1131">
        <f>+'RS 00XX &amp; 1400'!L83+'RS 0653'!L46+'RS 0654'!L54+'RS 0655'!L48+'RS 1100'!L34</f>
        <v>5145994</v>
      </c>
      <c r="I34" s="654">
        <f>+'RS 00XX &amp; 1400'!P83+'RS 0653'!P46+'RS 0654'!P54+'RS 0655'!P48+'RS 1100'!P34</f>
        <v>5736841</v>
      </c>
      <c r="J34" s="654">
        <v>6164433.5664931554</v>
      </c>
      <c r="K34" s="654">
        <v>6862934.8935236689</v>
      </c>
      <c r="L34" s="654">
        <v>7581004.2628126368</v>
      </c>
      <c r="M34" s="1963">
        <f t="shared" si="8"/>
        <v>692646.27</v>
      </c>
      <c r="N34" s="1940">
        <f t="shared" si="9"/>
        <v>0.17564475710965891</v>
      </c>
      <c r="O34" s="1963">
        <f t="shared" si="10"/>
        <v>509898</v>
      </c>
      <c r="P34" s="1940">
        <f t="shared" si="11"/>
        <v>0.10998434890045418</v>
      </c>
      <c r="Q34" s="1963">
        <f t="shared" si="12"/>
        <v>590847</v>
      </c>
      <c r="R34" s="1940">
        <f t="shared" si="13"/>
        <v>0.11481688474568762</v>
      </c>
      <c r="S34" s="1953"/>
      <c r="T34" s="1953"/>
      <c r="U34" s="1837"/>
      <c r="V34" s="1837"/>
      <c r="W34" s="1837"/>
      <c r="X34" s="1813"/>
      <c r="Y34" s="1778"/>
      <c r="Z34" s="1778"/>
      <c r="AA34" s="1780"/>
      <c r="AB34" s="1305"/>
      <c r="AC34" s="1304"/>
      <c r="AD34" s="1304"/>
      <c r="AE34" s="1304"/>
      <c r="AF34" s="1304"/>
      <c r="AG34" s="1304"/>
      <c r="AH34" s="1305"/>
      <c r="AI34" s="1304"/>
      <c r="AJ34" s="1304"/>
      <c r="AK34" s="1304"/>
      <c r="AL34" s="1304"/>
      <c r="AM34" s="1297"/>
      <c r="AN34" s="1304"/>
      <c r="AO34" s="1305"/>
      <c r="AP34" s="1305"/>
      <c r="AQ34" s="1305"/>
      <c r="AR34" s="1305"/>
    </row>
    <row r="35" spans="1:44" ht="19.5" x14ac:dyDescent="0.35">
      <c r="A35" s="1375"/>
      <c r="B35" s="1334"/>
      <c r="C35" s="737"/>
      <c r="D35" s="1335" t="s">
        <v>77</v>
      </c>
      <c r="E35" s="626"/>
      <c r="F35" s="1109">
        <f>+'RS 00XX &amp; 1400'!D84+'RS 0653'!D47+'RS 0654'!D55+'RS 0655'!D49</f>
        <v>791905.79999999993</v>
      </c>
      <c r="G35" s="1162">
        <f>+'RS 00XX &amp; 1400'!H84+'RS 0653'!H47+'RS 0654'!H55+'RS 0655'!H49+'RS 1100'!H35</f>
        <v>1029244</v>
      </c>
      <c r="H35" s="1131">
        <f>+'RS 00XX &amp; 1400'!L84+'RS 0653'!L47+'RS 0654'!L55+'RS 0655'!L49+'RS 1100'!L35</f>
        <v>1306461</v>
      </c>
      <c r="I35" s="654">
        <f>+'RS 00XX &amp; 1400'!P84+'RS 0653'!P47+'RS 0654'!P55+'RS 0655'!P49+'RS 1100'!P35</f>
        <v>1523439</v>
      </c>
      <c r="J35" s="654">
        <v>1773281.2504106092</v>
      </c>
      <c r="K35" s="654">
        <v>1908307.0034539229</v>
      </c>
      <c r="L35" s="654">
        <v>2010300.2300400396</v>
      </c>
      <c r="M35" s="1963">
        <f t="shared" si="8"/>
        <v>237338.20000000007</v>
      </c>
      <c r="N35" s="1940">
        <f t="shared" si="9"/>
        <v>0.2997050911863508</v>
      </c>
      <c r="O35" s="1963">
        <f t="shared" si="10"/>
        <v>277217</v>
      </c>
      <c r="P35" s="1940">
        <f t="shared" si="11"/>
        <v>0.26934040907695356</v>
      </c>
      <c r="Q35" s="1963">
        <f t="shared" si="12"/>
        <v>216978</v>
      </c>
      <c r="R35" s="1940">
        <f t="shared" si="13"/>
        <v>0.16608073260510647</v>
      </c>
      <c r="S35" s="1953"/>
      <c r="T35" s="1953"/>
      <c r="U35" s="1837"/>
      <c r="V35" s="1837"/>
      <c r="W35" s="1837"/>
      <c r="X35" s="1813"/>
      <c r="Y35" s="1778"/>
      <c r="Z35" s="1778"/>
      <c r="AA35" s="1780"/>
      <c r="AB35" s="1305"/>
      <c r="AC35" s="1304"/>
      <c r="AD35" s="1304"/>
      <c r="AE35" s="1304"/>
      <c r="AF35" s="1304"/>
      <c r="AG35" s="1781"/>
      <c r="AH35" s="1781"/>
      <c r="AI35" s="1304"/>
      <c r="AJ35" s="1304"/>
      <c r="AK35" s="1304"/>
      <c r="AL35" s="1304"/>
      <c r="AM35" s="1297"/>
      <c r="AN35" s="1304"/>
      <c r="AO35" s="1305"/>
      <c r="AP35" s="1305"/>
      <c r="AQ35" s="1305"/>
      <c r="AR35" s="1305"/>
    </row>
    <row r="36" spans="1:44" ht="18" x14ac:dyDescent="0.25">
      <c r="A36" s="1375"/>
      <c r="B36" s="1334"/>
      <c r="C36" s="737"/>
      <c r="D36" s="737" t="s">
        <v>404</v>
      </c>
      <c r="E36" s="625"/>
      <c r="F36" s="1110">
        <f>+'RS 00XX &amp; 1400'!D85+'RS 0653'!D48+'RS 0654'!D56+'RS 0655'!D50</f>
        <v>364474.9</v>
      </c>
      <c r="G36" s="1163">
        <f>+'RS 00XX &amp; 1400'!H85+'RS 0653'!H48+'RS 0654'!H56+'RS 0655'!H50+'RS 1100'!H36</f>
        <v>409742</v>
      </c>
      <c r="H36" s="1132">
        <f>+'RS 00XX &amp; 1400'!L85+'RS 0653'!L48+'RS 0654'!L56+'RS 0655'!L50+'RS 1100'!L36</f>
        <v>447517</v>
      </c>
      <c r="I36" s="653">
        <f>+'RS 00XX &amp; 1400'!P85+'RS 0653'!P48+'RS 0654'!P56+'RS 0655'!P50+'RS 1100'!P36</f>
        <v>454102</v>
      </c>
      <c r="J36" s="653">
        <v>441539.90974079422</v>
      </c>
      <c r="K36" s="653">
        <v>448163.00838690612</v>
      </c>
      <c r="L36" s="653">
        <v>454885.45351270965</v>
      </c>
      <c r="M36" s="1963">
        <f t="shared" si="8"/>
        <v>45267.099999999977</v>
      </c>
      <c r="N36" s="1940">
        <f t="shared" si="9"/>
        <v>0.12419812722357554</v>
      </c>
      <c r="O36" s="1963">
        <f t="shared" si="10"/>
        <v>37775</v>
      </c>
      <c r="P36" s="1940">
        <f t="shared" si="11"/>
        <v>9.2192159944550475E-2</v>
      </c>
      <c r="Q36" s="1963">
        <f t="shared" si="12"/>
        <v>6585</v>
      </c>
      <c r="R36" s="1940">
        <f t="shared" si="13"/>
        <v>1.4714524811347949E-2</v>
      </c>
      <c r="S36" s="1953"/>
      <c r="T36" s="1953"/>
      <c r="U36" s="1837"/>
      <c r="V36" s="1837"/>
      <c r="W36" s="1837"/>
      <c r="X36" s="1813"/>
      <c r="Y36" s="1778"/>
      <c r="Z36" s="1778"/>
      <c r="AA36" s="1780"/>
      <c r="AB36" s="1305"/>
      <c r="AC36" s="1304"/>
      <c r="AD36" s="1304"/>
      <c r="AE36" s="1304"/>
      <c r="AF36" s="1304"/>
      <c r="AG36" s="1304"/>
      <c r="AH36" s="1304"/>
      <c r="AI36" s="1304"/>
      <c r="AJ36" s="1304"/>
      <c r="AK36" s="1304"/>
      <c r="AL36" s="1304"/>
      <c r="AM36" s="1297"/>
      <c r="AN36" s="1304"/>
      <c r="AO36" s="1305"/>
      <c r="AP36" s="1305"/>
      <c r="AQ36" s="1305"/>
      <c r="AR36" s="1305"/>
    </row>
    <row r="37" spans="1:44" ht="19.5" x14ac:dyDescent="0.35">
      <c r="A37" s="1375"/>
      <c r="B37" s="1334"/>
      <c r="C37" s="737"/>
      <c r="D37" s="737" t="s">
        <v>79</v>
      </c>
      <c r="E37" s="625"/>
      <c r="F37" s="1110">
        <f>+'RS 00XX &amp; 1400'!D86+'RS 0653'!D49+'RS 0654'!D57+'RS 0655'!D51</f>
        <v>514906.07000000007</v>
      </c>
      <c r="G37" s="1163">
        <f>+'RS 00XX &amp; 1400'!H86+'RS 0653'!H49+'RS 0654'!H57+'RS 0655'!H51+'RS 1100'!H37</f>
        <v>548867</v>
      </c>
      <c r="H37" s="1132">
        <f>+'RS 00XX &amp; 1400'!L86+'RS 0653'!L49+'RS 0654'!L57+'RS 0655'!L51+'RS 1100'!L37</f>
        <v>562997</v>
      </c>
      <c r="I37" s="653">
        <f>+'RS 00XX &amp; 1400'!P86+'RS 0653'!P49+'RS 0654'!P57+'RS 0655'!P51+'RS 1100'!P37</f>
        <v>565021</v>
      </c>
      <c r="J37" s="653">
        <v>571243.92470059753</v>
      </c>
      <c r="K37" s="653">
        <v>579812.58357110654</v>
      </c>
      <c r="L37" s="653">
        <v>588509.77232467302</v>
      </c>
      <c r="M37" s="1963">
        <f t="shared" si="8"/>
        <v>33960.929999999935</v>
      </c>
      <c r="N37" s="1940">
        <f t="shared" si="9"/>
        <v>6.5955582927969617E-2</v>
      </c>
      <c r="O37" s="1963">
        <f t="shared" si="10"/>
        <v>14130</v>
      </c>
      <c r="P37" s="1940">
        <f t="shared" si="11"/>
        <v>2.5743941610626982E-2</v>
      </c>
      <c r="Q37" s="1963">
        <f t="shared" si="12"/>
        <v>2024</v>
      </c>
      <c r="R37" s="1940">
        <f t="shared" si="13"/>
        <v>3.5950457995335677E-3</v>
      </c>
      <c r="S37" s="1953"/>
      <c r="T37" s="1953"/>
      <c r="U37" s="1837"/>
      <c r="V37" s="1837"/>
      <c r="W37" s="1837"/>
      <c r="X37" s="1813"/>
      <c r="Y37" s="1778"/>
      <c r="Z37" s="1778"/>
      <c r="AA37" s="1782"/>
      <c r="AB37" s="1305"/>
      <c r="AC37" s="1304"/>
      <c r="AD37" s="1304"/>
      <c r="AE37" s="1304"/>
      <c r="AF37" s="1304"/>
      <c r="AG37" s="1305"/>
      <c r="AH37" s="1305"/>
      <c r="AI37" s="1304"/>
      <c r="AJ37" s="1304"/>
      <c r="AK37" s="1304"/>
      <c r="AL37" s="1304"/>
      <c r="AM37" s="1297"/>
      <c r="AN37" s="1304"/>
      <c r="AO37" s="1305"/>
      <c r="AP37" s="1305"/>
      <c r="AQ37" s="1305"/>
      <c r="AR37" s="1305"/>
    </row>
    <row r="38" spans="1:44" ht="18" x14ac:dyDescent="0.25">
      <c r="A38" s="1375"/>
      <c r="B38" s="1334"/>
      <c r="C38" s="737"/>
      <c r="D38" s="1356" t="s">
        <v>80</v>
      </c>
      <c r="E38" s="625"/>
      <c r="F38" s="1110">
        <f>+'RS 00XX &amp; 1400'!D87+'RS 0653'!D50+'RS 0654'!D58+'RS 0655'!D52</f>
        <v>3787299.2800000003</v>
      </c>
      <c r="G38" s="1163">
        <f>+'RS 00XX &amp; 1400'!H87+'RS 0653'!H50+'RS 0654'!H58+'RS 0655'!H52+'RS 1100'!H38</f>
        <v>3888620.63</v>
      </c>
      <c r="H38" s="1132">
        <f>+'RS 00XX &amp; 1400'!L87+'RS 0653'!L50+'RS 0654'!L58+'RS 0655'!L52+'RS 1100'!L38</f>
        <v>4160824</v>
      </c>
      <c r="I38" s="653">
        <f>+'RS 00XX &amp; 1400'!P87+'RS 0653'!P50+'RS 0654'!P58+'RS 0655'!P52+'RS 1100'!P38</f>
        <v>4452082</v>
      </c>
      <c r="J38" s="653">
        <v>19698.066368986121</v>
      </c>
      <c r="K38" s="653">
        <v>19993.537364520915</v>
      </c>
      <c r="L38" s="653">
        <v>20293.440424988727</v>
      </c>
      <c r="M38" s="1963">
        <f t="shared" si="8"/>
        <v>101321.34999999963</v>
      </c>
      <c r="N38" s="1940">
        <f t="shared" si="9"/>
        <v>2.6752929332798759E-2</v>
      </c>
      <c r="O38" s="1963">
        <f t="shared" si="10"/>
        <v>272203.37000000011</v>
      </c>
      <c r="P38" s="1940">
        <f t="shared" si="11"/>
        <v>6.9999980944399839E-2</v>
      </c>
      <c r="Q38" s="1963">
        <f t="shared" si="12"/>
        <v>291258</v>
      </c>
      <c r="R38" s="1940">
        <f t="shared" si="13"/>
        <v>7.0000076907843253E-2</v>
      </c>
      <c r="S38" s="1953"/>
      <c r="T38" s="1953"/>
      <c r="U38" s="1837"/>
      <c r="V38" s="1837"/>
      <c r="W38" s="1837"/>
      <c r="X38" s="1813"/>
      <c r="Y38" s="1778"/>
      <c r="Z38" s="1778"/>
      <c r="AA38" s="1780"/>
      <c r="AB38" s="1305"/>
      <c r="AC38" s="1304"/>
      <c r="AD38" s="1304"/>
      <c r="AE38" s="1304"/>
      <c r="AF38" s="1304"/>
      <c r="AG38" s="1305"/>
      <c r="AH38" s="1305"/>
      <c r="AI38" s="1304"/>
      <c r="AJ38" s="1304"/>
      <c r="AK38" s="1304"/>
      <c r="AL38" s="1304"/>
      <c r="AM38" s="1297"/>
      <c r="AN38" s="1304"/>
      <c r="AO38" s="1305"/>
      <c r="AP38" s="1305"/>
      <c r="AQ38" s="1305"/>
      <c r="AR38" s="1305"/>
    </row>
    <row r="39" spans="1:44" ht="18" x14ac:dyDescent="0.25">
      <c r="A39" s="1375"/>
      <c r="B39" s="1334"/>
      <c r="C39" s="737"/>
      <c r="D39" s="737" t="s">
        <v>81</v>
      </c>
      <c r="E39" s="625"/>
      <c r="F39" s="1110">
        <f>+'RS 00XX &amp; 1400'!D88+'RS 0653'!D51+'RS 0654'!D59+'RS 0655'!D53</f>
        <v>17794.439999999999</v>
      </c>
      <c r="G39" s="1163">
        <f>+'RS 00XX &amp; 1400'!H88+'RS 0653'!H51+'RS 0654'!H59+'RS 0655'!H53+'RS 1100'!H39</f>
        <v>19658</v>
      </c>
      <c r="H39" s="1132">
        <f>+'RS 00XX &amp; 1400'!L88+'RS 0653'!L51+'RS 0654'!L59+'RS 0655'!L53+'RS 1100'!L39</f>
        <v>19413</v>
      </c>
      <c r="I39" s="653">
        <f>+'RS 00XX &amp; 1400'!P88+'RS 0653'!P51+'RS 0654'!P59+'RS 0655'!P53+'RS 1100'!P39</f>
        <v>19485</v>
      </c>
      <c r="J39" s="653">
        <v>393961.3273797225</v>
      </c>
      <c r="K39" s="653">
        <v>399870.74729041825</v>
      </c>
      <c r="L39" s="653">
        <v>405868.80849977449</v>
      </c>
      <c r="M39" s="1963">
        <f t="shared" si="8"/>
        <v>1863.5600000000013</v>
      </c>
      <c r="N39" s="1940">
        <f t="shared" si="9"/>
        <v>0.10472709453065122</v>
      </c>
      <c r="O39" s="1963">
        <f t="shared" si="10"/>
        <v>-245</v>
      </c>
      <c r="P39" s="1940">
        <f t="shared" si="11"/>
        <v>-1.2463119340726421E-2</v>
      </c>
      <c r="Q39" s="1963">
        <f t="shared" si="12"/>
        <v>72</v>
      </c>
      <c r="R39" s="1940">
        <f t="shared" si="13"/>
        <v>3.7088548910523874E-3</v>
      </c>
      <c r="S39" s="1953"/>
      <c r="T39" s="1953"/>
      <c r="U39" s="1837"/>
      <c r="V39" s="1837"/>
      <c r="W39" s="1837"/>
      <c r="X39" s="1813"/>
      <c r="Y39" s="1778"/>
      <c r="Z39" s="1778"/>
      <c r="AA39" s="1297"/>
      <c r="AB39" s="1305"/>
      <c r="AC39" s="1304"/>
      <c r="AD39" s="1304"/>
      <c r="AE39" s="1304"/>
      <c r="AF39" s="1304"/>
      <c r="AG39" s="1305"/>
      <c r="AH39" s="1305"/>
      <c r="AI39" s="1304"/>
      <c r="AJ39" s="1304"/>
      <c r="AK39" s="1304"/>
      <c r="AL39" s="1304"/>
      <c r="AM39" s="1297"/>
      <c r="AN39" s="1304"/>
      <c r="AO39" s="1305"/>
      <c r="AP39" s="1305"/>
      <c r="AQ39" s="1305"/>
      <c r="AR39" s="1305"/>
    </row>
    <row r="40" spans="1:44" ht="20.25" x14ac:dyDescent="0.25">
      <c r="A40" s="1392"/>
      <c r="B40" s="1355"/>
      <c r="C40" s="1356"/>
      <c r="D40" s="737" t="s">
        <v>82</v>
      </c>
      <c r="E40" s="627"/>
      <c r="F40" s="1110">
        <f>+'RS 00XX &amp; 1400'!D89+'RS 0653'!D52+'RS 0654'!D60+'RS 0655'!D54</f>
        <v>391198.78</v>
      </c>
      <c r="G40" s="1174">
        <f>+'RS 00XX &amp; 1400'!H89+'RS 0653'!H52+'RS 0654'!H60+'RS 0655'!H54+'RS 1100'!H40</f>
        <v>430634</v>
      </c>
      <c r="H40" s="1142">
        <f>+'RS 00XX &amp; 1400'!L89+'RS 0653'!L52+'RS 0654'!L60+'RS 0655'!L54+'RS 1100'!L40</f>
        <v>310620</v>
      </c>
      <c r="I40" s="662">
        <f>+'RS 00XX &amp; 1400'!P89+'RS 0653'!P52+'RS 0654'!P60+'RS 0655'!P54+'RS 1100'!P40</f>
        <v>311737</v>
      </c>
      <c r="J40" s="662">
        <v>5578501.4882336259</v>
      </c>
      <c r="K40" s="662">
        <v>5857426.5626453077</v>
      </c>
      <c r="L40" s="662">
        <v>6150297.890777573</v>
      </c>
      <c r="M40" s="1963">
        <f t="shared" si="8"/>
        <v>39435.219999999972</v>
      </c>
      <c r="N40" s="1940">
        <f t="shared" si="9"/>
        <v>0.10080609147093958</v>
      </c>
      <c r="O40" s="1963">
        <f t="shared" si="10"/>
        <v>-120014</v>
      </c>
      <c r="P40" s="1940">
        <f t="shared" si="11"/>
        <v>-0.27869141777007855</v>
      </c>
      <c r="Q40" s="1963">
        <f t="shared" si="12"/>
        <v>1117</v>
      </c>
      <c r="R40" s="1940">
        <f t="shared" si="13"/>
        <v>3.5960337389736655E-3</v>
      </c>
      <c r="S40" s="1953"/>
      <c r="T40" s="1953"/>
      <c r="U40" s="1836" t="s">
        <v>965</v>
      </c>
      <c r="V40" s="1837"/>
      <c r="W40" s="1837"/>
      <c r="X40" s="1813"/>
      <c r="Y40" s="1778"/>
      <c r="Z40" s="1778"/>
      <c r="AA40" s="1297"/>
      <c r="AB40" s="1305"/>
      <c r="AC40" s="1304"/>
      <c r="AD40" s="1304"/>
      <c r="AE40" s="1304"/>
      <c r="AF40" s="1304"/>
      <c r="AG40" s="1297"/>
      <c r="AH40" s="1297"/>
      <c r="AI40" s="1304"/>
      <c r="AJ40" s="1304"/>
      <c r="AK40" s="1304"/>
      <c r="AL40" s="1304"/>
      <c r="AM40" s="1297"/>
      <c r="AN40" s="1304"/>
      <c r="AO40" s="1305"/>
      <c r="AP40" s="1305"/>
      <c r="AQ40" s="1305"/>
      <c r="AR40" s="1305"/>
    </row>
    <row r="41" spans="1:44" ht="18" x14ac:dyDescent="0.25">
      <c r="A41" s="1392"/>
      <c r="B41" s="1355"/>
      <c r="C41" s="1356"/>
      <c r="D41" s="737" t="s">
        <v>93</v>
      </c>
      <c r="E41" s="627"/>
      <c r="F41" s="1110">
        <f>+'RS 00XX &amp; 1400'!D90+'RS 0653'!D53+'RS 0654'!D61+'RS 0655'!D55</f>
        <v>357161.19</v>
      </c>
      <c r="G41" s="1174">
        <f>+'RS 00XX &amp; 1400'!H90+'RS 0653'!H53+'RS 0654'!H61+'RS 0655'!H55+'RS 1100'!L41</f>
        <v>405678</v>
      </c>
      <c r="H41" s="1142">
        <f>+'RS 00XX &amp; 1400'!L90+'RS 0653'!L53+'RS 0654'!L61+'RS 0655'!L55+'RS 1100'!L41</f>
        <v>405678</v>
      </c>
      <c r="I41" s="662">
        <f>+'RS 00XX &amp; 1400'!P90+'RS 0653'!P53+'RS 0654'!P61+'RS 0655'!P55+'RS 1100'!P41</f>
        <v>405678</v>
      </c>
      <c r="J41" s="662"/>
      <c r="K41" s="662"/>
      <c r="L41" s="662"/>
      <c r="M41" s="1963">
        <f t="shared" si="8"/>
        <v>48516.81</v>
      </c>
      <c r="N41" s="1940">
        <f t="shared" si="9"/>
        <v>0.13584009505624056</v>
      </c>
      <c r="O41" s="1963">
        <f t="shared" si="10"/>
        <v>0</v>
      </c>
      <c r="P41" s="1940">
        <f t="shared" si="11"/>
        <v>0</v>
      </c>
      <c r="Q41" s="1963">
        <f t="shared" si="12"/>
        <v>0</v>
      </c>
      <c r="R41" s="1940">
        <f t="shared" si="13"/>
        <v>0</v>
      </c>
      <c r="S41" s="1953"/>
      <c r="T41" s="1953"/>
      <c r="U41" s="1849" t="str">
        <f>+F1</f>
        <v>2016-2017</v>
      </c>
      <c r="V41" s="1849" t="str">
        <f t="shared" ref="V41:X41" si="16">+G1</f>
        <v>2017-2018</v>
      </c>
      <c r="W41" s="1849" t="str">
        <f t="shared" si="16"/>
        <v>2018-2019</v>
      </c>
      <c r="X41" s="1821" t="str">
        <f t="shared" si="16"/>
        <v>2019-2020</v>
      </c>
      <c r="Y41" s="1778"/>
      <c r="Z41" s="1778"/>
      <c r="AA41" s="1297"/>
      <c r="AB41" s="1305"/>
      <c r="AC41" s="1304"/>
      <c r="AD41" s="1304"/>
      <c r="AE41" s="1304"/>
      <c r="AF41" s="1304"/>
      <c r="AG41" s="1297"/>
      <c r="AH41" s="1297"/>
      <c r="AI41" s="1304"/>
      <c r="AJ41" s="1304"/>
      <c r="AK41" s="1304"/>
      <c r="AL41" s="1304"/>
      <c r="AM41" s="1297"/>
      <c r="AN41" s="1304"/>
      <c r="AO41" s="1305"/>
      <c r="AP41" s="1305"/>
      <c r="AQ41" s="1305"/>
      <c r="AR41" s="1305"/>
    </row>
    <row r="42" spans="1:44" ht="18" x14ac:dyDescent="0.25">
      <c r="A42" s="1392"/>
      <c r="B42" s="1355"/>
      <c r="C42" s="1356"/>
      <c r="D42" s="737" t="s">
        <v>92</v>
      </c>
      <c r="E42" s="627"/>
      <c r="F42" s="1110">
        <f>+'RS 00XX &amp; 1400'!D91+'RS 0653'!D54+'RS 0654'!D62+'RS 0655'!D56</f>
        <v>304242.17000000004</v>
      </c>
      <c r="G42" s="1174">
        <f>+'RS 00XX &amp; 1400'!H91+'RS 0653'!H54+'RS 0654'!H62+'RS 0655'!H56</f>
        <v>330586</v>
      </c>
      <c r="H42" s="1142">
        <f>+'RS 00XX &amp; 1400'!L91+'RS 0653'!L54+'RS 0654'!L62+'RS 0655'!L56</f>
        <v>330586</v>
      </c>
      <c r="I42" s="662">
        <f>+'RS 00XX &amp; 1400'!P91+'RS 0653'!P54+'RS 0654'!P62+'RS 0655'!P56</f>
        <v>330586</v>
      </c>
      <c r="J42" s="662"/>
      <c r="K42" s="662"/>
      <c r="L42" s="662"/>
      <c r="M42" s="1963">
        <f t="shared" si="8"/>
        <v>26343.829999999958</v>
      </c>
      <c r="N42" s="1940">
        <f t="shared" si="9"/>
        <v>8.6588358214773301E-2</v>
      </c>
      <c r="O42" s="1963">
        <f t="shared" si="10"/>
        <v>0</v>
      </c>
      <c r="P42" s="1940">
        <f t="shared" si="11"/>
        <v>0</v>
      </c>
      <c r="Q42" s="1963">
        <f t="shared" si="12"/>
        <v>0</v>
      </c>
      <c r="R42" s="1940">
        <f t="shared" si="13"/>
        <v>0</v>
      </c>
      <c r="S42" s="1953"/>
      <c r="T42" s="1953"/>
      <c r="U42" s="1837">
        <f>+SUM(F34:F42)</f>
        <v>10472432.359999999</v>
      </c>
      <c r="V42" s="1837">
        <f>+SUM(G34:G42)</f>
        <v>11699125.629999999</v>
      </c>
      <c r="W42" s="1837">
        <f>+SUM(H34:H42)</f>
        <v>12690090</v>
      </c>
      <c r="X42" s="1578">
        <f>+SUM(I34:I42)</f>
        <v>13798971</v>
      </c>
      <c r="Y42" s="1778"/>
      <c r="Z42" s="1778"/>
      <c r="AA42" s="1297"/>
      <c r="AB42" s="1305"/>
      <c r="AC42" s="1304"/>
      <c r="AD42" s="1304"/>
      <c r="AE42" s="1304"/>
      <c r="AF42" s="1304"/>
      <c r="AG42" s="1297"/>
      <c r="AH42" s="1297"/>
      <c r="AI42" s="1304"/>
      <c r="AJ42" s="1304"/>
      <c r="AK42" s="1304"/>
      <c r="AL42" s="1304"/>
      <c r="AM42" s="1297"/>
      <c r="AN42" s="1304"/>
      <c r="AO42" s="1305"/>
      <c r="AP42" s="1305"/>
      <c r="AQ42" s="1305"/>
      <c r="AR42" s="1305"/>
    </row>
    <row r="43" spans="1:44" ht="27" customHeight="1" x14ac:dyDescent="0.25">
      <c r="A43" s="1375"/>
      <c r="B43" s="1334"/>
      <c r="C43" s="737" t="s">
        <v>365</v>
      </c>
      <c r="D43" s="737"/>
      <c r="E43" s="625"/>
      <c r="F43" s="1100">
        <f>+'RS 00XX &amp; 1400'!D108+'RS 0653'!D71+'RS 0654'!D79+'RS 0655'!D73+'RS 1100'!D59</f>
        <v>843522.15000000014</v>
      </c>
      <c r="G43" s="1163">
        <f>+'RS 00XX &amp; 1400'!H108+'RS 0653'!H71+'RS 0654'!H79+'RS 0655'!H73+'RS 1100'!H59</f>
        <v>1020239.15</v>
      </c>
      <c r="H43" s="1132">
        <f>+'RS 00XX &amp; 1400'!L108+'RS 0653'!L71+'RS 0654'!L79+'RS 0655'!L73+'RS 1100'!L59</f>
        <v>861350</v>
      </c>
      <c r="I43" s="653">
        <f>+'RS 00XX &amp; 1400'!P108+'RS 0653'!P71+'RS 0654'!P79+'RS 0655'!P73+'RS 1100'!P59</f>
        <v>916350</v>
      </c>
      <c r="J43" s="653" t="e">
        <f>(+I43)*(1+#REF!)</f>
        <v>#REF!</v>
      </c>
      <c r="K43" s="653" t="e">
        <f>(+J43)*(1+#REF!)</f>
        <v>#REF!</v>
      </c>
      <c r="L43" s="653" t="e">
        <f>(+K43)*(1+#REF!)</f>
        <v>#REF!</v>
      </c>
      <c r="M43" s="1963">
        <f t="shared" si="8"/>
        <v>176716.99999999988</v>
      </c>
      <c r="N43" s="1940">
        <f t="shared" si="9"/>
        <v>0.20949894439642142</v>
      </c>
      <c r="O43" s="1963">
        <f t="shared" si="10"/>
        <v>-158889.15000000002</v>
      </c>
      <c r="P43" s="1940">
        <f t="shared" si="11"/>
        <v>-0.1557371622133889</v>
      </c>
      <c r="Q43" s="1963">
        <f t="shared" si="12"/>
        <v>55000</v>
      </c>
      <c r="R43" s="1940">
        <f t="shared" si="13"/>
        <v>6.3853253613513669E-2</v>
      </c>
      <c r="S43" s="1953"/>
      <c r="T43" s="1953"/>
      <c r="U43" s="1837"/>
      <c r="V43" s="1837"/>
      <c r="W43" s="1837"/>
      <c r="X43" s="1813"/>
      <c r="Y43" s="1778"/>
      <c r="Z43" s="1778"/>
      <c r="AA43" s="1297"/>
      <c r="AB43" s="1305"/>
      <c r="AC43" s="1305"/>
      <c r="AD43" s="1305"/>
      <c r="AE43" s="1305"/>
      <c r="AF43" s="1305"/>
      <c r="AG43" s="1297"/>
      <c r="AH43" s="1297"/>
      <c r="AI43" s="1305"/>
      <c r="AJ43" s="1305"/>
      <c r="AK43" s="1305"/>
      <c r="AL43" s="1305"/>
      <c r="AM43" s="1305"/>
      <c r="AN43" s="1305"/>
      <c r="AO43" s="1305"/>
      <c r="AP43" s="1305"/>
      <c r="AQ43" s="1305"/>
      <c r="AR43" s="1305"/>
    </row>
    <row r="44" spans="1:44" s="1303" customFormat="1" ht="36" customHeight="1" x14ac:dyDescent="0.35">
      <c r="A44" s="1392"/>
      <c r="B44" s="1355"/>
      <c r="C44" s="1356"/>
      <c r="D44" s="1360" t="s">
        <v>668</v>
      </c>
      <c r="E44" s="628"/>
      <c r="F44" s="1111">
        <f>+'RS 0617'!D66</f>
        <v>1933812.68</v>
      </c>
      <c r="G44" s="1175">
        <f>+'RS 0617'!H66</f>
        <v>0</v>
      </c>
      <c r="H44" s="1143">
        <f>+'RS 0617'!L66</f>
        <v>1772880</v>
      </c>
      <c r="I44" s="663">
        <f>+'RS 0617'!P66</f>
        <v>0</v>
      </c>
      <c r="J44" s="663">
        <v>550000</v>
      </c>
      <c r="K44" s="663">
        <v>350000</v>
      </c>
      <c r="L44" s="663">
        <v>1369212</v>
      </c>
      <c r="M44" s="1963">
        <f t="shared" si="8"/>
        <v>-1933812.68</v>
      </c>
      <c r="N44" s="1940">
        <f t="shared" si="9"/>
        <v>-1</v>
      </c>
      <c r="O44" s="1963">
        <f t="shared" si="10"/>
        <v>1772880</v>
      </c>
      <c r="P44" s="1940">
        <f t="shared" si="11"/>
        <v>0</v>
      </c>
      <c r="Q44" s="1963">
        <f t="shared" si="12"/>
        <v>-1772880</v>
      </c>
      <c r="R44" s="1940">
        <f t="shared" si="13"/>
        <v>-1</v>
      </c>
      <c r="S44" s="1953"/>
      <c r="T44" s="1953"/>
      <c r="U44" s="1839"/>
      <c r="V44" s="1839"/>
      <c r="W44" s="1839"/>
      <c r="X44" s="1813"/>
      <c r="Y44" s="1778"/>
      <c r="Z44" s="1778"/>
      <c r="AA44" s="1302"/>
      <c r="AB44" s="1305"/>
      <c r="AC44" s="1781"/>
      <c r="AD44" s="1781"/>
      <c r="AE44" s="1781"/>
      <c r="AF44" s="1781"/>
      <c r="AG44" s="1302"/>
      <c r="AH44" s="1302"/>
      <c r="AI44" s="1305"/>
      <c r="AJ44" s="1306"/>
      <c r="AK44" s="1306"/>
      <c r="AL44" s="1306"/>
      <c r="AM44" s="1306"/>
      <c r="AN44" s="1302"/>
      <c r="AO44" s="1302"/>
      <c r="AP44" s="1302"/>
      <c r="AQ44" s="1302"/>
      <c r="AR44" s="1302"/>
    </row>
    <row r="45" spans="1:44" ht="25.5" customHeight="1" x14ac:dyDescent="0.25">
      <c r="A45" s="1375"/>
      <c r="B45" s="1334"/>
      <c r="C45" s="737" t="s">
        <v>366</v>
      </c>
      <c r="D45" s="737"/>
      <c r="E45" s="625"/>
      <c r="F45" s="1100">
        <f>+'RS 00XX &amp; 1400'!D148+'RS 0653'!D87+'RS 0654'!D95+'RS 0655'!D95+'RS 1100'!D76+'RS 0617'!D82-F46</f>
        <v>2773265.02</v>
      </c>
      <c r="G45" s="1163">
        <f>+'RS 00XX &amp; 1400'!H148+'RS 0653'!H87+'RS 0654'!H95+'RS 0655'!H95+'RS 1100'!H76+'RS 0617'!H82-G46</f>
        <v>3102497</v>
      </c>
      <c r="H45" s="1132">
        <f>+'RS 00XX &amp; 1400'!L148+'RS 0653'!L87+'RS 0654'!L95+'RS 0655'!L95+'RS 1100'!L76+'RS 0617'!L82-H46</f>
        <v>3130830</v>
      </c>
      <c r="I45" s="653">
        <f>+'RS 00XX &amp; 1400'!P148+'RS 0653'!P87+'RS 0654'!P95+'RS 0655'!P95+'RS 1100'!P76+'RS 0617'!P82-I46</f>
        <v>3162522</v>
      </c>
      <c r="J45" s="653" t="e">
        <f>(+I45)*(1+#REF!)</f>
        <v>#REF!</v>
      </c>
      <c r="K45" s="653" t="e">
        <f>(+J45)*(1+#REF!)</f>
        <v>#REF!</v>
      </c>
      <c r="L45" s="653" t="e">
        <f>(+K45)*(1+#REF!)</f>
        <v>#REF!</v>
      </c>
      <c r="M45" s="1963">
        <f t="shared" si="8"/>
        <v>329231.98</v>
      </c>
      <c r="N45" s="1940">
        <f t="shared" si="9"/>
        <v>0.11871637857387318</v>
      </c>
      <c r="O45" s="1963">
        <f t="shared" si="10"/>
        <v>28333</v>
      </c>
      <c r="P45" s="1940">
        <f t="shared" si="11"/>
        <v>9.1323214816968392E-3</v>
      </c>
      <c r="Q45" s="1963">
        <f t="shared" si="12"/>
        <v>31692</v>
      </c>
      <c r="R45" s="1940">
        <f t="shared" si="13"/>
        <v>1.0122555360719043E-2</v>
      </c>
      <c r="S45" s="1953"/>
      <c r="T45" s="1953"/>
      <c r="U45" s="1837"/>
      <c r="V45" s="1837"/>
      <c r="W45" s="1837"/>
      <c r="X45" s="1813"/>
      <c r="Y45" s="1778"/>
      <c r="Z45" s="1778"/>
      <c r="AA45" s="1297"/>
      <c r="AB45" s="1305"/>
      <c r="AC45" s="1305"/>
      <c r="AD45" s="1305"/>
      <c r="AE45" s="1305"/>
      <c r="AF45" s="1305"/>
      <c r="AG45" s="1297"/>
      <c r="AH45" s="1297"/>
      <c r="AI45" s="1305"/>
      <c r="AJ45" s="1306"/>
      <c r="AK45" s="1306"/>
      <c r="AL45" s="1306"/>
      <c r="AM45" s="1306"/>
      <c r="AN45" s="1297"/>
      <c r="AO45" s="1297"/>
      <c r="AP45" s="1297"/>
      <c r="AQ45" s="1297"/>
      <c r="AR45" s="1297"/>
    </row>
    <row r="46" spans="1:44" ht="18" x14ac:dyDescent="0.25">
      <c r="A46" s="1375"/>
      <c r="B46" s="1334"/>
      <c r="C46" s="737"/>
      <c r="D46" s="1360" t="s">
        <v>664</v>
      </c>
      <c r="E46" s="625"/>
      <c r="F46" s="1111">
        <f>+'RS 0617'!D82</f>
        <v>33700.58</v>
      </c>
      <c r="G46" s="1175">
        <f>+'RS 0617'!H82</f>
        <v>48500</v>
      </c>
      <c r="H46" s="1143">
        <f>+'RS 0617'!L82</f>
        <v>48500</v>
      </c>
      <c r="I46" s="663">
        <f>+'RS 0617'!P82</f>
        <v>48500</v>
      </c>
      <c r="J46" s="663"/>
      <c r="K46" s="663"/>
      <c r="L46" s="663"/>
      <c r="M46" s="1963">
        <f t="shared" si="8"/>
        <v>14799.419999999998</v>
      </c>
      <c r="N46" s="1940">
        <f t="shared" si="9"/>
        <v>0.43914437080904833</v>
      </c>
      <c r="O46" s="1963">
        <f t="shared" si="10"/>
        <v>0</v>
      </c>
      <c r="P46" s="1940">
        <f t="shared" si="11"/>
        <v>0</v>
      </c>
      <c r="Q46" s="1963">
        <f t="shared" si="12"/>
        <v>0</v>
      </c>
      <c r="R46" s="1940">
        <f t="shared" si="13"/>
        <v>0</v>
      </c>
      <c r="S46" s="1953"/>
      <c r="T46" s="1953"/>
      <c r="U46" s="1837"/>
      <c r="V46" s="1837"/>
      <c r="W46" s="1837"/>
      <c r="X46" s="1813"/>
      <c r="Y46" s="1778"/>
      <c r="Z46" s="1778"/>
      <c r="AA46" s="1297"/>
      <c r="AB46" s="1305"/>
      <c r="AC46" s="1305"/>
      <c r="AD46" s="1305"/>
      <c r="AE46" s="1305"/>
      <c r="AF46" s="1305"/>
      <c r="AG46" s="1297"/>
      <c r="AH46" s="1297"/>
      <c r="AI46" s="1305"/>
      <c r="AJ46" s="1306"/>
      <c r="AK46" s="1306"/>
      <c r="AL46" s="1306"/>
      <c r="AM46" s="1306"/>
      <c r="AN46" s="1297"/>
      <c r="AO46" s="1297"/>
      <c r="AP46" s="1297"/>
      <c r="AQ46" s="1297"/>
      <c r="AR46" s="1297"/>
    </row>
    <row r="47" spans="1:44" s="1303" customFormat="1" ht="25.5" customHeight="1" x14ac:dyDescent="0.25">
      <c r="A47" s="1375"/>
      <c r="B47" s="1334"/>
      <c r="C47" s="737" t="s">
        <v>338</v>
      </c>
      <c r="D47" s="737"/>
      <c r="E47" s="625"/>
      <c r="F47" s="1100">
        <f>+'RS 00XX &amp; 1400'!D154+'RS 1100'!D82</f>
        <v>25000</v>
      </c>
      <c r="G47" s="1163">
        <f>+'RS 00XX &amp; 1400'!H154+'RS 1100'!H82</f>
        <v>9000</v>
      </c>
      <c r="H47" s="1132">
        <f>+'RS 00XX &amp; 1400'!L154+'RS 1100'!L82</f>
        <v>0</v>
      </c>
      <c r="I47" s="653">
        <f>+'RS 00XX &amp; 1400'!P154+'RS 1100'!P82</f>
        <v>0</v>
      </c>
      <c r="J47" s="653" t="e">
        <f>(+I47)*(1+#REF!)</f>
        <v>#REF!</v>
      </c>
      <c r="K47" s="653" t="e">
        <f>(+J47)*(1+#REF!)</f>
        <v>#REF!</v>
      </c>
      <c r="L47" s="653" t="e">
        <f>(+K47)*(1+#REF!)</f>
        <v>#REF!</v>
      </c>
      <c r="M47" s="1963">
        <f t="shared" si="8"/>
        <v>-16000</v>
      </c>
      <c r="N47" s="1940">
        <f t="shared" si="9"/>
        <v>-0.64</v>
      </c>
      <c r="O47" s="1963">
        <f t="shared" si="10"/>
        <v>-9000</v>
      </c>
      <c r="P47" s="1940">
        <f t="shared" si="11"/>
        <v>-1</v>
      </c>
      <c r="Q47" s="1963">
        <f t="shared" si="12"/>
        <v>0</v>
      </c>
      <c r="R47" s="1940">
        <f t="shared" si="13"/>
        <v>0</v>
      </c>
      <c r="S47" s="1953"/>
      <c r="T47" s="1953"/>
      <c r="U47" s="1837"/>
      <c r="V47" s="1837"/>
      <c r="W47" s="1837"/>
      <c r="X47" s="1813"/>
      <c r="Y47" s="1778"/>
      <c r="Z47" s="1778"/>
      <c r="AA47" s="1302"/>
      <c r="AB47" s="1783"/>
      <c r="AC47" s="1305"/>
      <c r="AD47" s="1305"/>
      <c r="AE47" s="1305"/>
      <c r="AF47" s="1305"/>
      <c r="AG47" s="1302"/>
      <c r="AH47" s="1302"/>
      <c r="AI47" s="1304"/>
      <c r="AJ47" s="1306"/>
      <c r="AK47" s="1306"/>
      <c r="AL47" s="1306"/>
      <c r="AM47" s="1306"/>
      <c r="AN47" s="1302"/>
      <c r="AO47" s="1302"/>
      <c r="AP47" s="1302"/>
      <c r="AQ47" s="1302"/>
      <c r="AR47" s="1302"/>
    </row>
    <row r="48" spans="1:44" ht="18" x14ac:dyDescent="0.25">
      <c r="A48" s="1375"/>
      <c r="B48" s="1334"/>
      <c r="C48" s="737" t="s">
        <v>367</v>
      </c>
      <c r="D48" s="737"/>
      <c r="E48" s="625"/>
      <c r="F48" s="1100">
        <f>+'RS 00XX &amp; 1400'!D157+'RS 00XX &amp; 1400'!D158</f>
        <v>121634.83</v>
      </c>
      <c r="G48" s="1163">
        <f>+'RS 00XX &amp; 1400'!H157+'RS 00XX &amp; 1400'!H158+'RS 00XX &amp; 1400'!H161</f>
        <v>212874</v>
      </c>
      <c r="H48" s="1132">
        <f>+'RS 00XX &amp; 1400'!L157+'RS 00XX &amp; 1400'!L158+'RS 00XX &amp; 1400'!L161</f>
        <v>212874</v>
      </c>
      <c r="I48" s="653">
        <f>+'RS 00XX &amp; 1400'!P157+'RS 00XX &amp; 1400'!P158+'RS 00XX &amp; 1400'!P161</f>
        <v>212874</v>
      </c>
      <c r="J48" s="653" t="e">
        <f>(+I48)*(1+#REF!)</f>
        <v>#REF!</v>
      </c>
      <c r="K48" s="653" t="e">
        <f>(+J48)*(1+#REF!)</f>
        <v>#REF!</v>
      </c>
      <c r="L48" s="653" t="e">
        <f>(+K48)*(1+#REF!)</f>
        <v>#REF!</v>
      </c>
      <c r="M48" s="1963">
        <f t="shared" si="8"/>
        <v>91239.17</v>
      </c>
      <c r="N48" s="1940">
        <f t="shared" si="9"/>
        <v>0.75010726779492354</v>
      </c>
      <c r="O48" s="1963">
        <f t="shared" si="10"/>
        <v>0</v>
      </c>
      <c r="P48" s="1940">
        <f t="shared" si="11"/>
        <v>0</v>
      </c>
      <c r="Q48" s="1963">
        <f t="shared" si="12"/>
        <v>0</v>
      </c>
      <c r="R48" s="1940">
        <f t="shared" si="13"/>
        <v>0</v>
      </c>
      <c r="S48" s="1953"/>
      <c r="T48" s="1953"/>
      <c r="U48" s="1837"/>
      <c r="V48" s="1837"/>
      <c r="W48" s="1837"/>
      <c r="X48" s="1813"/>
      <c r="Y48" s="1778"/>
      <c r="Z48" s="1778"/>
      <c r="AA48" s="1297"/>
      <c r="AB48" s="1304"/>
      <c r="AC48" s="1305"/>
      <c r="AD48" s="1305"/>
      <c r="AE48" s="1305"/>
      <c r="AF48" s="1305"/>
      <c r="AG48" s="1297"/>
      <c r="AH48" s="1297"/>
      <c r="AI48" s="1783"/>
      <c r="AJ48" s="1306"/>
      <c r="AK48" s="1306"/>
      <c r="AL48" s="1306"/>
      <c r="AM48" s="1306"/>
      <c r="AN48" s="1297"/>
      <c r="AO48" s="1297"/>
      <c r="AP48" s="1297"/>
      <c r="AQ48" s="1297"/>
      <c r="AR48" s="1297"/>
    </row>
    <row r="49" spans="1:44" ht="18" x14ac:dyDescent="0.25">
      <c r="A49" s="1386"/>
      <c r="B49" s="1337"/>
      <c r="C49" s="1338" t="s">
        <v>368</v>
      </c>
      <c r="D49" s="1338"/>
      <c r="E49" s="631"/>
      <c r="F49" s="1101">
        <f>+'RS 00XX &amp; 1400'!D159+'RS 00XX &amp; 1400'!D160</f>
        <v>-694543.14</v>
      </c>
      <c r="G49" s="1168">
        <f>+'RS 00XX &amp; 1400'!H159+'RS 00XX &amp; 1400'!H160</f>
        <v>-890609</v>
      </c>
      <c r="H49" s="1136">
        <f>+'RS 00XX &amp; 1400'!L159+'RS 00XX &amp; 1400'!L160</f>
        <v>-920444</v>
      </c>
      <c r="I49" s="655">
        <f>+'RS 00XX &amp; 1400'!P159+'RS 00XX &amp; 1400'!P160</f>
        <v>-948242</v>
      </c>
      <c r="J49" s="655" t="e">
        <f>(+I49)*(1+#REF!)</f>
        <v>#REF!</v>
      </c>
      <c r="K49" s="655" t="e">
        <f>(+J49)*(1+#REF!)</f>
        <v>#REF!</v>
      </c>
      <c r="L49" s="655" t="e">
        <f>(+K49)*(1+#REF!)</f>
        <v>#REF!</v>
      </c>
      <c r="M49" s="1963">
        <f t="shared" si="8"/>
        <v>-196065.86</v>
      </c>
      <c r="N49" s="1940">
        <f t="shared" si="9"/>
        <v>0.28229471822297458</v>
      </c>
      <c r="O49" s="1963">
        <f t="shared" si="10"/>
        <v>-29835</v>
      </c>
      <c r="P49" s="1940">
        <f t="shared" si="11"/>
        <v>3.3499549184883605E-2</v>
      </c>
      <c r="Q49" s="1963">
        <f t="shared" si="12"/>
        <v>-27798</v>
      </c>
      <c r="R49" s="1940">
        <f t="shared" si="13"/>
        <v>3.0200642298716707E-2</v>
      </c>
      <c r="S49" s="1953"/>
      <c r="T49" s="1953"/>
      <c r="U49" s="1837"/>
      <c r="V49" s="1837"/>
      <c r="W49" s="1837"/>
      <c r="X49" s="1813"/>
      <c r="Y49" s="1778"/>
      <c r="Z49" s="1778"/>
      <c r="AA49" s="1297"/>
      <c r="AB49" s="1305"/>
      <c r="AC49" s="1305"/>
      <c r="AD49" s="1305"/>
      <c r="AE49" s="1305"/>
      <c r="AF49" s="1305"/>
      <c r="AG49" s="1297"/>
      <c r="AH49" s="1297"/>
      <c r="AI49" s="1304"/>
      <c r="AJ49" s="1306"/>
      <c r="AK49" s="1306"/>
      <c r="AL49" s="1306"/>
      <c r="AM49" s="1306"/>
      <c r="AN49" s="1297"/>
      <c r="AO49" s="1297"/>
      <c r="AP49" s="1297"/>
      <c r="AQ49" s="1297"/>
      <c r="AR49" s="1297"/>
    </row>
    <row r="50" spans="1:44" ht="18.75" thickBot="1" x14ac:dyDescent="0.3">
      <c r="A50" s="1339"/>
      <c r="B50" s="1340" t="s">
        <v>369</v>
      </c>
      <c r="C50" s="1348"/>
      <c r="D50" s="1348"/>
      <c r="E50" s="630"/>
      <c r="F50" s="1097">
        <f>SUM(F27:F49)</f>
        <v>53312046.249999993</v>
      </c>
      <c r="G50" s="1165">
        <f>SUM(G27:G49)</f>
        <v>53927958.859999999</v>
      </c>
      <c r="H50" s="1133">
        <f t="shared" ref="H50:L50" si="17">SUM(H27:H49)</f>
        <v>56623402.626025468</v>
      </c>
      <c r="I50" s="660">
        <f t="shared" si="17"/>
        <v>56158002.269451134</v>
      </c>
      <c r="J50" s="660" t="e">
        <f t="shared" si="17"/>
        <v>#REF!</v>
      </c>
      <c r="K50" s="660" t="e">
        <f t="shared" si="17"/>
        <v>#REF!</v>
      </c>
      <c r="L50" s="660" t="e">
        <f t="shared" si="17"/>
        <v>#REF!</v>
      </c>
      <c r="M50" s="1963">
        <f t="shared" si="8"/>
        <v>615912.61000000685</v>
      </c>
      <c r="N50" s="1940">
        <f t="shared" si="9"/>
        <v>1.1552972607949876E-2</v>
      </c>
      <c r="O50" s="1963">
        <f t="shared" si="10"/>
        <v>2695443.7660254687</v>
      </c>
      <c r="P50" s="1940">
        <f t="shared" si="11"/>
        <v>4.9982306451148865E-2</v>
      </c>
      <c r="Q50" s="1963">
        <f t="shared" si="12"/>
        <v>-465400.3565743342</v>
      </c>
      <c r="R50" s="1940">
        <f t="shared" si="13"/>
        <v>-8.2192227063448333E-3</v>
      </c>
      <c r="S50" s="1953"/>
      <c r="T50" s="1953"/>
      <c r="U50" s="1807"/>
      <c r="V50" s="1807"/>
      <c r="W50" s="1807"/>
      <c r="X50" s="1814"/>
      <c r="Y50" s="1297"/>
      <c r="Z50" s="1297"/>
      <c r="AA50" s="1297"/>
      <c r="AB50" s="1305"/>
      <c r="AC50" s="1304"/>
      <c r="AD50" s="1304"/>
      <c r="AE50" s="1304"/>
      <c r="AF50" s="1304"/>
      <c r="AG50" s="1297"/>
      <c r="AH50" s="1297"/>
      <c r="AI50" s="1305"/>
      <c r="AJ50" s="1306"/>
      <c r="AK50" s="1306"/>
      <c r="AL50" s="1306"/>
      <c r="AM50" s="1306"/>
      <c r="AN50" s="1297"/>
      <c r="AO50" s="1297"/>
      <c r="AP50" s="1297"/>
      <c r="AQ50" s="1297"/>
      <c r="AR50" s="1297"/>
    </row>
    <row r="51" spans="1:44" ht="18.75" thickTop="1" x14ac:dyDescent="0.25">
      <c r="A51" s="1383"/>
      <c r="B51" s="1384"/>
      <c r="C51" s="1385"/>
      <c r="D51" s="1385"/>
      <c r="E51" s="696"/>
      <c r="F51" s="1112"/>
      <c r="G51" s="1176"/>
      <c r="H51" s="1144"/>
      <c r="I51" s="697"/>
      <c r="J51" s="697"/>
      <c r="K51" s="697"/>
      <c r="L51" s="697"/>
      <c r="M51" s="1963"/>
      <c r="N51" s="1940"/>
      <c r="O51" s="1963"/>
      <c r="P51" s="1940"/>
      <c r="Q51" s="1963"/>
      <c r="R51" s="1940"/>
      <c r="S51" s="1953"/>
      <c r="T51" s="1953"/>
      <c r="U51" s="1832"/>
      <c r="V51" s="1831"/>
      <c r="W51" s="1831"/>
      <c r="X51" s="1812"/>
      <c r="Y51" s="1305"/>
      <c r="Z51" s="1305"/>
      <c r="AA51" s="1305"/>
      <c r="AB51" s="1297"/>
      <c r="AC51" s="1297"/>
      <c r="AD51" s="1305"/>
      <c r="AE51" s="1305"/>
      <c r="AF51" s="1305"/>
      <c r="AG51" s="1305"/>
      <c r="AH51" s="1305"/>
      <c r="AI51" s="1297"/>
      <c r="AJ51" s="1297"/>
      <c r="AK51" s="1297"/>
      <c r="AL51" s="1297"/>
      <c r="AM51" s="1297"/>
      <c r="AN51" s="1297"/>
      <c r="AO51" s="1297"/>
      <c r="AP51" s="1297"/>
      <c r="AQ51" s="1297"/>
      <c r="AR51" s="1297"/>
    </row>
    <row r="52" spans="1:44" ht="18" x14ac:dyDescent="0.25">
      <c r="A52" s="1372"/>
      <c r="B52" s="1329" t="s">
        <v>710</v>
      </c>
      <c r="C52" s="1330"/>
      <c r="D52" s="1330"/>
      <c r="E52" s="667"/>
      <c r="F52" s="1113"/>
      <c r="G52" s="1167"/>
      <c r="H52" s="1135"/>
      <c r="I52" s="668"/>
      <c r="J52" s="668"/>
      <c r="K52" s="668"/>
      <c r="L52" s="668"/>
      <c r="M52" s="1963"/>
      <c r="N52" s="1940"/>
      <c r="O52" s="1963"/>
      <c r="P52" s="1940"/>
      <c r="Q52" s="1963"/>
      <c r="R52" s="1940"/>
      <c r="S52" s="1953"/>
      <c r="T52" s="1953"/>
      <c r="U52" s="1831"/>
      <c r="V52" s="1831"/>
      <c r="W52" s="1831"/>
      <c r="X52" s="1812"/>
      <c r="Y52" s="1305"/>
      <c r="Z52" s="1305"/>
      <c r="AA52" s="1305"/>
      <c r="AB52" s="1297"/>
      <c r="AC52" s="1297"/>
      <c r="AD52" s="1297"/>
      <c r="AE52" s="1297"/>
      <c r="AF52" s="1297"/>
      <c r="AG52" s="1297"/>
      <c r="AH52" s="1297"/>
      <c r="AI52" s="1297"/>
      <c r="AJ52" s="1297"/>
      <c r="AK52" s="1297"/>
      <c r="AL52" s="1297"/>
      <c r="AM52" s="1297"/>
      <c r="AN52" s="1297"/>
      <c r="AO52" s="1297"/>
      <c r="AP52" s="1297"/>
      <c r="AQ52" s="1297"/>
      <c r="AR52" s="1297"/>
    </row>
    <row r="53" spans="1:44" ht="20.25" x14ac:dyDescent="0.4">
      <c r="A53" s="1373"/>
      <c r="B53" s="1332"/>
      <c r="C53" s="745" t="s">
        <v>370</v>
      </c>
      <c r="D53" s="745"/>
      <c r="E53" s="694"/>
      <c r="F53" s="1114">
        <f>+'RS 00XX &amp; 1400'!D162+'RS 00XX &amp; 1400'!D163+'RS 00XX &amp; 1400'!D164</f>
        <v>562000</v>
      </c>
      <c r="G53" s="1177">
        <f>+'RS 00XX &amp; 1400'!H162+'RS 00XX &amp; 1400'!H163+'RS 00XX &amp; 1400'!H164</f>
        <v>562000</v>
      </c>
      <c r="H53" s="1145">
        <f>+'RS 00XX &amp; 1400'!L162+'RS 00XX &amp; 1400'!L163+'RS 00XX &amp; 1400'!L164</f>
        <v>562000</v>
      </c>
      <c r="I53" s="695">
        <f>+'RS 00XX &amp; 1400'!P162+'RS 00XX &amp; 1400'!P163+'RS 00XX &amp; 1400'!P164</f>
        <v>562000</v>
      </c>
      <c r="J53" s="695">
        <f t="shared" ref="J53:L53" si="18">+I53</f>
        <v>562000</v>
      </c>
      <c r="K53" s="695">
        <f t="shared" si="18"/>
        <v>562000</v>
      </c>
      <c r="L53" s="695">
        <f t="shared" si="18"/>
        <v>562000</v>
      </c>
      <c r="M53" s="1963">
        <f t="shared" si="8"/>
        <v>0</v>
      </c>
      <c r="N53" s="1940">
        <f t="shared" si="9"/>
        <v>0</v>
      </c>
      <c r="O53" s="1963">
        <f t="shared" si="10"/>
        <v>0</v>
      </c>
      <c r="P53" s="1940">
        <f t="shared" si="11"/>
        <v>0</v>
      </c>
      <c r="Q53" s="1963">
        <f t="shared" si="12"/>
        <v>0</v>
      </c>
      <c r="R53" s="1940">
        <f t="shared" si="13"/>
        <v>0</v>
      </c>
      <c r="S53" s="1953"/>
      <c r="T53" s="1953"/>
      <c r="U53" s="1831"/>
      <c r="V53" s="1840"/>
      <c r="W53" s="1840"/>
      <c r="X53" s="1815"/>
      <c r="Y53" s="1781"/>
      <c r="Z53" s="1781"/>
      <c r="AA53" s="1781"/>
      <c r="AB53" s="1297"/>
      <c r="AC53" s="1297"/>
      <c r="AD53" s="1297"/>
      <c r="AE53" s="1297"/>
      <c r="AF53" s="1297"/>
      <c r="AG53" s="1297"/>
      <c r="AH53" s="1297"/>
      <c r="AI53" s="1297"/>
      <c r="AJ53" s="1297"/>
      <c r="AK53" s="1297"/>
      <c r="AL53" s="1297"/>
      <c r="AM53" s="1297"/>
      <c r="AN53" s="1297"/>
      <c r="AO53" s="1297"/>
      <c r="AP53" s="1297"/>
      <c r="AQ53" s="1297"/>
      <c r="AR53" s="1297"/>
    </row>
    <row r="54" spans="1:44" ht="18" x14ac:dyDescent="0.25">
      <c r="A54" s="1375"/>
      <c r="B54" s="1334"/>
      <c r="C54" s="737" t="s">
        <v>372</v>
      </c>
      <c r="D54" s="737"/>
      <c r="E54" s="625"/>
      <c r="F54" s="1100">
        <v>0</v>
      </c>
      <c r="G54" s="1163">
        <v>0</v>
      </c>
      <c r="H54" s="1132">
        <v>0</v>
      </c>
      <c r="I54" s="653">
        <v>0</v>
      </c>
      <c r="J54" s="653">
        <v>0</v>
      </c>
      <c r="K54" s="653">
        <v>0</v>
      </c>
      <c r="L54" s="653">
        <v>0</v>
      </c>
      <c r="M54" s="1963">
        <f t="shared" si="8"/>
        <v>0</v>
      </c>
      <c r="N54" s="1940">
        <f t="shared" si="9"/>
        <v>0</v>
      </c>
      <c r="O54" s="1963">
        <f t="shared" si="10"/>
        <v>0</v>
      </c>
      <c r="P54" s="1940">
        <f t="shared" si="11"/>
        <v>0</v>
      </c>
      <c r="Q54" s="1963">
        <f t="shared" si="12"/>
        <v>0</v>
      </c>
      <c r="R54" s="1940">
        <f t="shared" si="13"/>
        <v>0</v>
      </c>
      <c r="S54" s="1953"/>
      <c r="T54" s="1953"/>
      <c r="U54" s="1832"/>
      <c r="V54" s="1831"/>
      <c r="W54" s="1831"/>
      <c r="X54" s="1812"/>
      <c r="Y54" s="1305"/>
      <c r="Z54" s="1305"/>
      <c r="AA54" s="1305"/>
      <c r="AB54" s="1297"/>
      <c r="AC54" s="1297"/>
      <c r="AD54" s="1297"/>
      <c r="AE54" s="1297"/>
      <c r="AF54" s="1297"/>
      <c r="AG54" s="1297"/>
      <c r="AH54" s="1297"/>
      <c r="AI54" s="1297"/>
      <c r="AJ54" s="1297"/>
      <c r="AK54" s="1297"/>
      <c r="AL54" s="1297"/>
      <c r="AM54" s="1297"/>
      <c r="AN54" s="1297"/>
      <c r="AO54" s="1297"/>
      <c r="AP54" s="1297"/>
      <c r="AQ54" s="1297"/>
      <c r="AR54" s="1297"/>
    </row>
    <row r="55" spans="1:44" s="1308" customFormat="1" ht="21" thickBot="1" x14ac:dyDescent="0.45">
      <c r="A55" s="1339"/>
      <c r="B55" s="1340" t="s">
        <v>374</v>
      </c>
      <c r="C55" s="1348"/>
      <c r="D55" s="1348"/>
      <c r="E55" s="630">
        <f>+E16-E53+E17+E54+SUM(E19:E21)</f>
        <v>0</v>
      </c>
      <c r="F55" s="1097">
        <f>SUM(F53:F54)</f>
        <v>562000</v>
      </c>
      <c r="G55" s="1165">
        <f t="shared" ref="G55:I55" si="19">SUM(G53:G54)</f>
        <v>562000</v>
      </c>
      <c r="H55" s="1133">
        <f t="shared" si="19"/>
        <v>562000</v>
      </c>
      <c r="I55" s="660">
        <f t="shared" si="19"/>
        <v>562000</v>
      </c>
      <c r="J55" s="660" t="e">
        <f>+J16-J53+J17+J54+J18</f>
        <v>#REF!</v>
      </c>
      <c r="K55" s="660" t="e">
        <f>+K16-K53+K17+K54+K18</f>
        <v>#REF!</v>
      </c>
      <c r="L55" s="660" t="e">
        <f>+L16-L53+L17+L54+L18</f>
        <v>#REF!</v>
      </c>
      <c r="M55" s="1963">
        <f t="shared" si="8"/>
        <v>0</v>
      </c>
      <c r="N55" s="1940">
        <f t="shared" si="9"/>
        <v>0</v>
      </c>
      <c r="O55" s="1963">
        <f t="shared" si="10"/>
        <v>0</v>
      </c>
      <c r="P55" s="1940">
        <f t="shared" si="11"/>
        <v>0</v>
      </c>
      <c r="Q55" s="1963">
        <f t="shared" si="12"/>
        <v>0</v>
      </c>
      <c r="R55" s="1940">
        <f t="shared" si="13"/>
        <v>0</v>
      </c>
      <c r="S55" s="1953"/>
      <c r="T55" s="1953"/>
      <c r="U55" s="1831"/>
      <c r="V55" s="1840"/>
      <c r="W55" s="1840"/>
      <c r="X55" s="1815"/>
      <c r="Y55" s="1781"/>
      <c r="Z55" s="1307"/>
      <c r="AA55" s="1307"/>
      <c r="AB55" s="1307"/>
      <c r="AC55" s="1307"/>
      <c r="AD55" s="1307"/>
      <c r="AE55" s="1307"/>
      <c r="AF55" s="1307"/>
      <c r="AG55" s="1307"/>
      <c r="AH55" s="1307"/>
      <c r="AI55" s="1307"/>
      <c r="AJ55" s="1307"/>
      <c r="AK55" s="1307"/>
      <c r="AL55" s="1307"/>
      <c r="AM55" s="1307"/>
      <c r="AN55" s="1307"/>
      <c r="AO55" s="1307"/>
      <c r="AP55" s="1307"/>
      <c r="AQ55" s="1307"/>
      <c r="AR55" s="1307"/>
    </row>
    <row r="56" spans="1:44" s="1308" customFormat="1" ht="18.75" thickTop="1" x14ac:dyDescent="0.25">
      <c r="A56" s="1387"/>
      <c r="B56" s="1349"/>
      <c r="C56" s="1343"/>
      <c r="D56" s="1343"/>
      <c r="E56" s="224"/>
      <c r="F56" s="1115"/>
      <c r="G56" s="1170"/>
      <c r="H56" s="1146"/>
      <c r="I56" s="658"/>
      <c r="J56" s="658"/>
      <c r="K56" s="658"/>
      <c r="L56" s="658"/>
      <c r="M56" s="1963"/>
      <c r="N56" s="1940"/>
      <c r="O56" s="1963"/>
      <c r="P56" s="1940"/>
      <c r="Q56" s="1963"/>
      <c r="R56" s="1940"/>
      <c r="S56" s="1953"/>
      <c r="T56" s="1953"/>
      <c r="U56" s="1831"/>
      <c r="V56" s="1832"/>
      <c r="W56" s="1832"/>
      <c r="X56" s="1811"/>
      <c r="Y56" s="1304"/>
      <c r="Z56" s="1307"/>
      <c r="AA56" s="1307"/>
      <c r="AB56" s="1307"/>
      <c r="AC56" s="1307"/>
      <c r="AD56" s="1307"/>
      <c r="AE56" s="1307"/>
      <c r="AF56" s="1307"/>
      <c r="AG56" s="1307"/>
      <c r="AH56" s="1307"/>
      <c r="AI56" s="1307"/>
      <c r="AJ56" s="1307"/>
      <c r="AK56" s="1307"/>
      <c r="AL56" s="1307"/>
      <c r="AM56" s="1307"/>
      <c r="AN56" s="1307"/>
      <c r="AO56" s="1307"/>
      <c r="AP56" s="1307"/>
      <c r="AQ56" s="1307"/>
      <c r="AR56" s="1307"/>
    </row>
    <row r="57" spans="1:44" s="1310" customFormat="1" ht="25.5" customHeight="1" x14ac:dyDescent="0.25">
      <c r="A57" s="1388"/>
      <c r="B57" s="1389" t="s">
        <v>711</v>
      </c>
      <c r="C57" s="1393"/>
      <c r="D57" s="1393"/>
      <c r="E57" s="698"/>
      <c r="F57" s="1116">
        <f>SUM(F50,F55)</f>
        <v>53874046.249999993</v>
      </c>
      <c r="G57" s="1178">
        <f t="shared" ref="G57:I57" si="20">SUM(G50,G55)</f>
        <v>54489958.859999999</v>
      </c>
      <c r="H57" s="1147">
        <f t="shared" si="20"/>
        <v>57185402.626025468</v>
      </c>
      <c r="I57" s="699">
        <f t="shared" si="20"/>
        <v>56720002.269451134</v>
      </c>
      <c r="J57" s="699"/>
      <c r="K57" s="699"/>
      <c r="L57" s="699"/>
      <c r="M57" s="1963">
        <f t="shared" si="8"/>
        <v>615912.61000000685</v>
      </c>
      <c r="N57" s="1940">
        <f t="shared" si="9"/>
        <v>1.1432455010746606E-2</v>
      </c>
      <c r="O57" s="1963">
        <f t="shared" si="10"/>
        <v>2695443.7660254687</v>
      </c>
      <c r="P57" s="1940">
        <f t="shared" si="11"/>
        <v>4.9466797597532058E-2</v>
      </c>
      <c r="Q57" s="1963">
        <f t="shared" si="12"/>
        <v>-465400.3565743342</v>
      </c>
      <c r="R57" s="1940">
        <f t="shared" si="13"/>
        <v>-8.1384467924079506E-3</v>
      </c>
      <c r="S57" s="1953"/>
      <c r="T57" s="1953"/>
      <c r="U57" s="1841"/>
      <c r="V57" s="1842"/>
      <c r="W57" s="1842"/>
      <c r="X57" s="1817"/>
      <c r="Y57" s="1327"/>
      <c r="Z57" s="1309"/>
      <c r="AA57" s="1309"/>
      <c r="AB57" s="1309"/>
      <c r="AC57" s="1309"/>
      <c r="AD57" s="1309"/>
      <c r="AE57" s="1309"/>
      <c r="AF57" s="1309"/>
      <c r="AG57" s="1309"/>
      <c r="AH57" s="1309"/>
      <c r="AI57" s="1309"/>
      <c r="AJ57" s="1309"/>
      <c r="AK57" s="1309"/>
      <c r="AL57" s="1309"/>
      <c r="AM57" s="1309"/>
      <c r="AN57" s="1309"/>
      <c r="AO57" s="1309"/>
      <c r="AP57" s="1309"/>
      <c r="AQ57" s="1309"/>
      <c r="AR57" s="1309"/>
    </row>
    <row r="58" spans="1:44" s="1310" customFormat="1" ht="14.25" customHeight="1" x14ac:dyDescent="0.25">
      <c r="A58" s="1394"/>
      <c r="B58" s="1395"/>
      <c r="C58" s="1396"/>
      <c r="D58" s="1397"/>
      <c r="E58" s="758"/>
      <c r="F58" s="759"/>
      <c r="G58" s="1179"/>
      <c r="H58" s="759"/>
      <c r="I58" s="760"/>
      <c r="J58" s="760"/>
      <c r="K58" s="760"/>
      <c r="L58" s="760"/>
      <c r="M58" s="1963"/>
      <c r="N58" s="1940"/>
      <c r="O58" s="1963"/>
      <c r="P58" s="1940"/>
      <c r="Q58" s="1963"/>
      <c r="R58" s="1940"/>
      <c r="S58" s="1953"/>
      <c r="T58" s="1953"/>
      <c r="U58" s="1841"/>
      <c r="V58" s="1842"/>
      <c r="W58" s="1842"/>
      <c r="X58" s="1817"/>
      <c r="Y58" s="1327"/>
      <c r="Z58" s="1309"/>
      <c r="AA58" s="1309"/>
      <c r="AB58" s="1309"/>
      <c r="AC58" s="1309"/>
      <c r="AD58" s="1309"/>
      <c r="AE58" s="1309"/>
      <c r="AF58" s="1309"/>
      <c r="AG58" s="1309"/>
      <c r="AH58" s="1309"/>
      <c r="AI58" s="1309"/>
      <c r="AJ58" s="1309"/>
      <c r="AK58" s="1309"/>
      <c r="AL58" s="1309"/>
      <c r="AM58" s="1309"/>
      <c r="AN58" s="1309"/>
      <c r="AO58" s="1309"/>
      <c r="AP58" s="1309"/>
      <c r="AQ58" s="1309"/>
      <c r="AR58" s="1309"/>
    </row>
    <row r="59" spans="1:44" s="1310" customFormat="1" ht="33" customHeight="1" x14ac:dyDescent="0.25">
      <c r="A59" s="1388"/>
      <c r="B59" s="1389" t="s">
        <v>393</v>
      </c>
      <c r="C59" s="1389"/>
      <c r="D59" s="1389"/>
      <c r="E59" s="700"/>
      <c r="F59" s="1117">
        <v>15516669.960000001</v>
      </c>
      <c r="G59" s="1180">
        <f>+F61</f>
        <v>15060332.700000003</v>
      </c>
      <c r="H59" s="1148">
        <f>+G61</f>
        <v>13260656.840000004</v>
      </c>
      <c r="I59" s="701">
        <f>+H61</f>
        <v>9257263.8774745315</v>
      </c>
      <c r="J59" s="701">
        <f t="shared" ref="J59:L59" si="21">+I61</f>
        <v>7082452.214115642</v>
      </c>
      <c r="K59" s="701" t="e">
        <f t="shared" si="21"/>
        <v>#REF!</v>
      </c>
      <c r="L59" s="701" t="e">
        <f t="shared" si="21"/>
        <v>#REF!</v>
      </c>
      <c r="M59" s="1963">
        <f t="shared" si="8"/>
        <v>-456337.25999999791</v>
      </c>
      <c r="N59" s="1940">
        <f t="shared" si="9"/>
        <v>-2.9409484198373571E-2</v>
      </c>
      <c r="O59" s="1963">
        <f t="shared" si="10"/>
        <v>-1799675.8599999994</v>
      </c>
      <c r="P59" s="1940">
        <f t="shared" si="11"/>
        <v>-0.11949774920975013</v>
      </c>
      <c r="Q59" s="1963">
        <f t="shared" si="12"/>
        <v>-4003392.962525472</v>
      </c>
      <c r="R59" s="1940">
        <f t="shared" si="13"/>
        <v>-0.30190004996204028</v>
      </c>
      <c r="S59" s="1953"/>
      <c r="T59" s="1953"/>
      <c r="U59" s="1843"/>
      <c r="V59" s="1844"/>
      <c r="W59" s="1841"/>
      <c r="X59" s="1818"/>
      <c r="Y59" s="1326"/>
      <c r="Z59" s="1309"/>
      <c r="AA59" s="1309"/>
      <c r="AB59" s="1309"/>
      <c r="AC59" s="1309"/>
      <c r="AD59" s="1309"/>
      <c r="AE59" s="1309"/>
      <c r="AF59" s="1309"/>
      <c r="AG59" s="1309"/>
      <c r="AH59" s="1309"/>
      <c r="AI59" s="1309"/>
      <c r="AJ59" s="1309"/>
      <c r="AK59" s="1309"/>
      <c r="AL59" s="1309"/>
      <c r="AM59" s="1309"/>
      <c r="AN59" s="1309"/>
      <c r="AO59" s="1309"/>
      <c r="AP59" s="1309"/>
      <c r="AQ59" s="1309"/>
      <c r="AR59" s="1309"/>
    </row>
    <row r="60" spans="1:44" s="1310" customFormat="1" ht="33" customHeight="1" x14ac:dyDescent="0.25">
      <c r="A60" s="1388"/>
      <c r="B60" s="1389" t="s">
        <v>375</v>
      </c>
      <c r="C60" s="1393"/>
      <c r="D60" s="1393"/>
      <c r="E60" s="700"/>
      <c r="F60" s="1117">
        <f>F24-F57</f>
        <v>-456337.25999999791</v>
      </c>
      <c r="G60" s="1180">
        <f>G24-G57</f>
        <v>-1799675.8599999994</v>
      </c>
      <c r="H60" s="1148">
        <f>H24-H57</f>
        <v>-4003392.962525472</v>
      </c>
      <c r="I60" s="701">
        <f>I24-I57</f>
        <v>-2174811.6633588895</v>
      </c>
      <c r="J60" s="701" t="e">
        <f>+#REF!+J55</f>
        <v>#REF!</v>
      </c>
      <c r="K60" s="701" t="e">
        <f>+#REF!+K55</f>
        <v>#REF!</v>
      </c>
      <c r="L60" s="701" t="e">
        <f>+#REF!+L55</f>
        <v>#REF!</v>
      </c>
      <c r="M60" s="1963">
        <f t="shared" si="8"/>
        <v>-1343338.6000000015</v>
      </c>
      <c r="N60" s="1940">
        <f t="shared" si="9"/>
        <v>2.9437407762846446</v>
      </c>
      <c r="O60" s="1963">
        <f t="shared" si="10"/>
        <v>-2203717.1025254726</v>
      </c>
      <c r="P60" s="1940">
        <f t="shared" si="11"/>
        <v>1.224507785821761</v>
      </c>
      <c r="Q60" s="1963">
        <f t="shared" si="12"/>
        <v>1828581.2991665825</v>
      </c>
      <c r="R60" s="1940">
        <f t="shared" si="13"/>
        <v>-0.45675788419557328</v>
      </c>
      <c r="S60" s="1953"/>
      <c r="T60" s="1953"/>
      <c r="U60" s="1845"/>
      <c r="V60" s="1846"/>
      <c r="W60" s="1841"/>
      <c r="X60" s="1818"/>
      <c r="Y60" s="1326"/>
      <c r="Z60" s="1309"/>
      <c r="AA60" s="1309"/>
      <c r="AB60" s="1309"/>
      <c r="AC60" s="1309"/>
      <c r="AD60" s="1309"/>
      <c r="AE60" s="1309"/>
      <c r="AF60" s="1309"/>
      <c r="AG60" s="1309"/>
      <c r="AH60" s="1309"/>
      <c r="AI60" s="1309"/>
      <c r="AJ60" s="1309"/>
      <c r="AK60" s="1309"/>
      <c r="AL60" s="1309"/>
      <c r="AM60" s="1309"/>
      <c r="AN60" s="1309"/>
      <c r="AO60" s="1309"/>
      <c r="AP60" s="1309"/>
      <c r="AQ60" s="1309"/>
      <c r="AR60" s="1309"/>
    </row>
    <row r="61" spans="1:44" s="1312" customFormat="1" ht="26.25" customHeight="1" x14ac:dyDescent="0.25">
      <c r="A61" s="1398"/>
      <c r="B61" s="1399" t="s">
        <v>136</v>
      </c>
      <c r="C61" s="1400"/>
      <c r="D61" s="1400"/>
      <c r="E61" s="649"/>
      <c r="F61" s="1118">
        <f>F59+F60</f>
        <v>15060332.700000003</v>
      </c>
      <c r="G61" s="1181">
        <f>G59+G60</f>
        <v>13260656.840000004</v>
      </c>
      <c r="H61" s="1149">
        <f>H59+H60</f>
        <v>9257263.8774745315</v>
      </c>
      <c r="I61" s="678">
        <f>I59+I60</f>
        <v>7082452.214115642</v>
      </c>
      <c r="J61" s="678" t="e">
        <f>+#REF!+J60</f>
        <v>#REF!</v>
      </c>
      <c r="K61" s="678" t="e">
        <f>+#REF!+K60</f>
        <v>#REF!</v>
      </c>
      <c r="L61" s="678" t="e">
        <f>+#REF!+L60</f>
        <v>#REF!</v>
      </c>
      <c r="M61" s="1963">
        <f t="shared" si="8"/>
        <v>-1799675.8599999994</v>
      </c>
      <c r="N61" s="1940">
        <f t="shared" si="9"/>
        <v>-0.11949774920975013</v>
      </c>
      <c r="O61" s="1963">
        <f t="shared" si="10"/>
        <v>-4003392.962525472</v>
      </c>
      <c r="P61" s="1940">
        <f t="shared" si="11"/>
        <v>-0.30190004996204028</v>
      </c>
      <c r="Q61" s="1963">
        <f t="shared" si="12"/>
        <v>-2174811.6633588895</v>
      </c>
      <c r="R61" s="1940">
        <f t="shared" si="13"/>
        <v>-0.23493028740930721</v>
      </c>
      <c r="S61" s="1953"/>
      <c r="T61" s="1953"/>
      <c r="U61" s="1844"/>
      <c r="V61" s="1844"/>
      <c r="W61" s="1846"/>
      <c r="X61" s="651"/>
      <c r="Y61" s="1785"/>
      <c r="Z61" s="1311"/>
      <c r="AA61" s="1311"/>
      <c r="AB61" s="1786"/>
      <c r="AC61" s="1311"/>
      <c r="AD61" s="1311"/>
      <c r="AE61" s="1311"/>
      <c r="AF61" s="1311"/>
      <c r="AG61" s="1311"/>
      <c r="AH61" s="1311"/>
      <c r="AI61" s="1311"/>
      <c r="AJ61" s="1311"/>
      <c r="AK61" s="1311"/>
      <c r="AL61" s="1311"/>
      <c r="AM61" s="1311"/>
      <c r="AN61" s="1311"/>
      <c r="AO61" s="1311"/>
      <c r="AP61" s="1311"/>
      <c r="AQ61" s="1311"/>
      <c r="AR61" s="1311"/>
    </row>
    <row r="62" spans="1:44" s="1308" customFormat="1" ht="18.75" thickBot="1" x14ac:dyDescent="0.3">
      <c r="A62" s="1401"/>
      <c r="B62" s="1402"/>
      <c r="C62" s="1403"/>
      <c r="D62" s="1403"/>
      <c r="E62" s="648"/>
      <c r="F62" s="2002">
        <f>F61/COMBINED!F57</f>
        <v>0.18818670416682493</v>
      </c>
      <c r="G62" s="2003">
        <f>G61/COMBINED!G57</f>
        <v>0.15470293669820062</v>
      </c>
      <c r="H62" s="2004">
        <f>H61/COMBINED!H57</f>
        <v>0.11250803610796679</v>
      </c>
      <c r="I62" s="2005">
        <f>I61/COMBINED!I57</f>
        <v>8.6067900113466364E-2</v>
      </c>
      <c r="J62" s="679" t="e">
        <f>+J61/(COMBINED!J50+COMBINED!J53+COMBINED!J54)</f>
        <v>#REF!</v>
      </c>
      <c r="K62" s="679" t="e">
        <f>+K61/(COMBINED!K50+COMBINED!K53+COMBINED!K54)</f>
        <v>#REF!</v>
      </c>
      <c r="L62" s="679" t="e">
        <f>+L61/(COMBINED!L50+COMBINED!L53+COMBINED!L54)</f>
        <v>#REF!</v>
      </c>
      <c r="M62" s="1963"/>
      <c r="N62" s="1951"/>
      <c r="O62" s="1963"/>
      <c r="P62" s="1952"/>
      <c r="Q62" s="1963"/>
      <c r="R62" s="1953"/>
      <c r="S62" s="1953"/>
      <c r="T62" s="1953"/>
      <c r="U62" s="1830"/>
      <c r="V62" s="1846"/>
      <c r="W62" s="1830"/>
      <c r="X62" s="633"/>
      <c r="Y62" s="1787"/>
      <c r="Z62" s="1307"/>
      <c r="AA62" s="1307"/>
      <c r="AB62" s="1788"/>
      <c r="AC62" s="1307"/>
      <c r="AD62" s="1307"/>
      <c r="AE62" s="1307"/>
      <c r="AF62" s="1307"/>
      <c r="AG62" s="1307"/>
      <c r="AH62" s="1307"/>
      <c r="AI62" s="1307"/>
      <c r="AJ62" s="1307"/>
      <c r="AK62" s="1307"/>
      <c r="AL62" s="1307"/>
      <c r="AM62" s="1307"/>
      <c r="AN62" s="1307"/>
      <c r="AO62" s="1307"/>
      <c r="AP62" s="1307"/>
      <c r="AQ62" s="1307"/>
      <c r="AR62" s="1307"/>
    </row>
    <row r="63" spans="1:44" s="1308" customFormat="1" ht="18.75" thickTop="1" x14ac:dyDescent="0.25">
      <c r="A63" s="1387"/>
      <c r="B63" s="1349"/>
      <c r="C63" s="1350"/>
      <c r="D63" s="1330"/>
      <c r="E63" s="761"/>
      <c r="F63" s="761"/>
      <c r="G63" s="1183"/>
      <c r="H63" s="761"/>
      <c r="I63" s="762"/>
      <c r="J63" s="762"/>
      <c r="K63" s="762"/>
      <c r="L63" s="762"/>
      <c r="M63" s="1964"/>
      <c r="N63" s="1941"/>
      <c r="O63" s="1978"/>
      <c r="P63" s="1936"/>
      <c r="Q63" s="1978"/>
      <c r="R63" s="1784"/>
      <c r="S63" s="1784"/>
      <c r="T63" s="1784"/>
      <c r="U63" s="1830"/>
      <c r="V63" s="1846"/>
      <c r="W63" s="1830"/>
      <c r="X63" s="633"/>
      <c r="Y63" s="1787"/>
      <c r="Z63" s="1307"/>
      <c r="AA63" s="1307"/>
      <c r="AB63" s="1788"/>
      <c r="AC63" s="1307"/>
      <c r="AD63" s="1307"/>
      <c r="AE63" s="1307"/>
      <c r="AF63" s="1307"/>
      <c r="AG63" s="1307"/>
      <c r="AH63" s="1307"/>
      <c r="AI63" s="1307"/>
      <c r="AJ63" s="1307"/>
      <c r="AK63" s="1307"/>
      <c r="AL63" s="1307"/>
      <c r="AM63" s="1307"/>
      <c r="AN63" s="1307"/>
      <c r="AO63" s="1307"/>
      <c r="AP63" s="1307"/>
      <c r="AQ63" s="1307"/>
      <c r="AR63" s="1307"/>
    </row>
    <row r="64" spans="1:44" s="1308" customFormat="1" ht="40.5" customHeight="1" x14ac:dyDescent="0.25">
      <c r="A64" s="1404" t="s">
        <v>376</v>
      </c>
      <c r="B64" s="1405"/>
      <c r="C64" s="1406"/>
      <c r="D64" s="1406"/>
      <c r="E64" s="688"/>
      <c r="F64" s="688"/>
      <c r="G64" s="1184"/>
      <c r="H64" s="688"/>
      <c r="I64" s="763"/>
      <c r="J64" s="763"/>
      <c r="K64" s="763"/>
      <c r="L64" s="763"/>
      <c r="M64" s="1961"/>
      <c r="N64" s="1941"/>
      <c r="O64" s="1978"/>
      <c r="P64" s="1936"/>
      <c r="Q64" s="1978"/>
      <c r="R64" s="1784"/>
      <c r="S64" s="2011"/>
      <c r="T64" s="1784"/>
      <c r="U64" s="1846"/>
      <c r="V64" s="1846"/>
      <c r="W64" s="1846"/>
      <c r="X64" s="2010"/>
      <c r="Y64" s="1789"/>
      <c r="Z64" s="1790"/>
      <c r="AA64" s="1790"/>
      <c r="AB64" s="1788"/>
      <c r="AC64" s="1307"/>
      <c r="AD64" s="1307"/>
      <c r="AE64" s="1307"/>
      <c r="AF64" s="1307"/>
      <c r="AG64" s="1307"/>
      <c r="AH64" s="1307"/>
      <c r="AI64" s="1307"/>
      <c r="AJ64" s="1307"/>
      <c r="AK64" s="1307"/>
      <c r="AL64" s="1307"/>
      <c r="AM64" s="1307"/>
      <c r="AN64" s="1307"/>
      <c r="AO64" s="1307"/>
      <c r="AP64" s="1307"/>
      <c r="AQ64" s="1307"/>
      <c r="AR64" s="1307"/>
    </row>
    <row r="65" spans="1:44" s="1308" customFormat="1" ht="21" customHeight="1" x14ac:dyDescent="0.25">
      <c r="A65" s="1407"/>
      <c r="B65" s="1408" t="s">
        <v>946</v>
      </c>
      <c r="C65" s="1409"/>
      <c r="D65" s="1410"/>
      <c r="E65" s="686"/>
      <c r="F65" s="1120">
        <f>10000+80800</f>
        <v>90800</v>
      </c>
      <c r="G65" s="1185">
        <v>10000</v>
      </c>
      <c r="H65" s="1151">
        <f>+G65</f>
        <v>10000</v>
      </c>
      <c r="I65" s="687">
        <f t="shared" ref="I65:L65" si="22">+H65</f>
        <v>10000</v>
      </c>
      <c r="J65" s="687">
        <f t="shared" si="22"/>
        <v>10000</v>
      </c>
      <c r="K65" s="687">
        <f t="shared" si="22"/>
        <v>10000</v>
      </c>
      <c r="L65" s="687">
        <f t="shared" si="22"/>
        <v>10000</v>
      </c>
      <c r="M65" s="1965"/>
      <c r="N65" s="1941"/>
      <c r="O65" s="1978"/>
      <c r="P65" s="1936"/>
      <c r="Q65" s="1978"/>
      <c r="R65" s="1784"/>
      <c r="S65" s="1784"/>
      <c r="T65" s="1784"/>
      <c r="U65" s="1830"/>
      <c r="V65" s="1846"/>
      <c r="W65" s="1830"/>
      <c r="X65" s="638"/>
      <c r="Y65" s="1791"/>
      <c r="Z65" s="1788"/>
      <c r="AA65" s="1788"/>
      <c r="AB65" s="1788"/>
      <c r="AC65" s="1307"/>
      <c r="AD65" s="1307"/>
      <c r="AE65" s="1307"/>
      <c r="AF65" s="1307"/>
      <c r="AG65" s="1307"/>
      <c r="AH65" s="1307"/>
      <c r="AI65" s="1307"/>
      <c r="AJ65" s="1307"/>
      <c r="AK65" s="1307"/>
      <c r="AL65" s="1307"/>
      <c r="AM65" s="1307"/>
      <c r="AN65" s="1307"/>
      <c r="AO65" s="1307"/>
      <c r="AP65" s="1307"/>
      <c r="AQ65" s="1307"/>
      <c r="AR65" s="1307"/>
    </row>
    <row r="66" spans="1:44" s="1308" customFormat="1" ht="21" customHeight="1" x14ac:dyDescent="0.25">
      <c r="A66" s="748"/>
      <c r="B66" s="715" t="s">
        <v>378</v>
      </c>
      <c r="C66" s="716"/>
      <c r="D66" s="1411"/>
      <c r="E66" s="643"/>
      <c r="F66" s="1121">
        <v>0</v>
      </c>
      <c r="G66" s="1186">
        <v>0</v>
      </c>
      <c r="H66" s="1152">
        <v>0</v>
      </c>
      <c r="I66" s="680">
        <v>0</v>
      </c>
      <c r="J66" s="680">
        <v>0</v>
      </c>
      <c r="K66" s="680">
        <v>0</v>
      </c>
      <c r="L66" s="680">
        <v>0</v>
      </c>
      <c r="M66" s="1965"/>
      <c r="N66" s="1941"/>
      <c r="O66" s="1978"/>
      <c r="P66" s="1936"/>
      <c r="Q66" s="1978"/>
      <c r="R66" s="1784"/>
      <c r="S66" s="1784"/>
      <c r="T66" s="1784"/>
      <c r="U66" s="1830"/>
      <c r="V66" s="1830"/>
      <c r="W66" s="1830"/>
      <c r="X66" s="1830"/>
      <c r="Y66" s="1791"/>
      <c r="Z66" s="1788"/>
      <c r="AA66" s="1788"/>
      <c r="AB66" s="1788"/>
      <c r="AC66" s="1307"/>
      <c r="AD66" s="1307"/>
      <c r="AE66" s="1307"/>
      <c r="AF66" s="1307"/>
      <c r="AG66" s="1307"/>
      <c r="AH66" s="1307"/>
      <c r="AI66" s="1307"/>
      <c r="AJ66" s="1307"/>
      <c r="AK66" s="1307"/>
      <c r="AL66" s="1307"/>
      <c r="AM66" s="1307"/>
      <c r="AN66" s="1307"/>
      <c r="AO66" s="1307"/>
      <c r="AP66" s="1307"/>
      <c r="AQ66" s="1307"/>
      <c r="AR66" s="1307"/>
    </row>
    <row r="67" spans="1:44" s="1308" customFormat="1" ht="21" customHeight="1" x14ac:dyDescent="0.25">
      <c r="A67" s="748"/>
      <c r="B67" s="715" t="s">
        <v>379</v>
      </c>
      <c r="C67" s="716"/>
      <c r="D67" s="1411"/>
      <c r="E67" s="643"/>
      <c r="F67" s="1121">
        <v>0</v>
      </c>
      <c r="G67" s="1186">
        <v>0</v>
      </c>
      <c r="H67" s="1152">
        <v>0</v>
      </c>
      <c r="I67" s="680">
        <v>0</v>
      </c>
      <c r="J67" s="680">
        <v>0</v>
      </c>
      <c r="K67" s="680">
        <v>0</v>
      </c>
      <c r="L67" s="680">
        <v>0</v>
      </c>
      <c r="M67" s="1965"/>
      <c r="N67" s="1941"/>
      <c r="O67" s="1978"/>
      <c r="P67" s="1936"/>
      <c r="Q67" s="1978"/>
      <c r="R67" s="1784"/>
      <c r="S67" s="1784"/>
      <c r="T67" s="1784"/>
      <c r="U67" s="1830"/>
      <c r="V67" s="1830"/>
      <c r="W67" s="1830"/>
      <c r="X67" s="638"/>
      <c r="Y67" s="1791"/>
      <c r="Z67" s="1788"/>
      <c r="AA67" s="1788"/>
      <c r="AB67" s="1788"/>
      <c r="AC67" s="1307"/>
      <c r="AD67" s="1307"/>
      <c r="AE67" s="1307"/>
      <c r="AF67" s="1307"/>
      <c r="AG67" s="1307"/>
      <c r="AH67" s="1307"/>
      <c r="AI67" s="1307"/>
      <c r="AJ67" s="1307"/>
      <c r="AK67" s="1307"/>
      <c r="AL67" s="1307"/>
      <c r="AM67" s="1307"/>
      <c r="AN67" s="1307"/>
      <c r="AO67" s="1307"/>
      <c r="AP67" s="1307"/>
      <c r="AQ67" s="1307"/>
      <c r="AR67" s="1307"/>
    </row>
    <row r="68" spans="1:44" s="1308" customFormat="1" ht="21" customHeight="1" x14ac:dyDescent="0.25">
      <c r="A68" s="748"/>
      <c r="B68" s="715" t="s">
        <v>380</v>
      </c>
      <c r="C68" s="716"/>
      <c r="D68" s="1411"/>
      <c r="E68" s="643">
        <f>+SUM(E69:E74)</f>
        <v>1427000</v>
      </c>
      <c r="F68" s="1121">
        <f>+SUM(F69:F74)</f>
        <v>2411131.66</v>
      </c>
      <c r="G68" s="1186">
        <f>+SUM(G69:G74)</f>
        <v>200000</v>
      </c>
      <c r="H68" s="1152">
        <f>+SUM(H69:H74)</f>
        <v>200000</v>
      </c>
      <c r="I68" s="680">
        <f>+SUM(I69:I74)</f>
        <v>200000</v>
      </c>
      <c r="J68" s="680">
        <f t="shared" ref="J68:L68" si="23">+SUM(J69:J74)</f>
        <v>200000</v>
      </c>
      <c r="K68" s="680">
        <f t="shared" si="23"/>
        <v>200000</v>
      </c>
      <c r="L68" s="680">
        <f t="shared" si="23"/>
        <v>200000</v>
      </c>
      <c r="M68" s="1965"/>
      <c r="N68" s="1941"/>
      <c r="O68" s="1978"/>
      <c r="P68" s="1936"/>
      <c r="Q68" s="1978"/>
      <c r="R68" s="1784"/>
      <c r="S68" s="1784"/>
      <c r="T68" s="1784"/>
      <c r="U68" s="1830"/>
      <c r="V68" s="1830"/>
      <c r="W68" s="1830"/>
      <c r="X68" s="1830"/>
      <c r="Y68" s="1791"/>
      <c r="Z68" s="1788"/>
      <c r="AA68" s="1788"/>
      <c r="AB68" s="1788"/>
      <c r="AC68" s="1307"/>
      <c r="AD68" s="1307"/>
      <c r="AE68" s="1307"/>
      <c r="AF68" s="1307"/>
      <c r="AG68" s="1307"/>
      <c r="AH68" s="1307"/>
      <c r="AI68" s="1307"/>
      <c r="AJ68" s="1307"/>
      <c r="AK68" s="1307"/>
      <c r="AL68" s="1307"/>
      <c r="AM68" s="1307"/>
      <c r="AN68" s="1307"/>
      <c r="AO68" s="1307"/>
      <c r="AP68" s="1307"/>
      <c r="AQ68" s="1307"/>
      <c r="AR68" s="1307"/>
    </row>
    <row r="69" spans="1:44" ht="18" x14ac:dyDescent="0.25">
      <c r="A69" s="748"/>
      <c r="B69" s="715"/>
      <c r="C69" s="716" t="s">
        <v>381</v>
      </c>
      <c r="D69" s="1411"/>
      <c r="E69" s="644">
        <v>200000</v>
      </c>
      <c r="F69" s="1122">
        <v>200000</v>
      </c>
      <c r="G69" s="1187">
        <f t="shared" ref="G69:I69" si="24">+F69</f>
        <v>200000</v>
      </c>
      <c r="H69" s="1153">
        <f t="shared" si="24"/>
        <v>200000</v>
      </c>
      <c r="I69" s="1090">
        <f t="shared" si="24"/>
        <v>200000</v>
      </c>
      <c r="J69" s="1090">
        <f t="shared" ref="J69:L72" si="25">+I69</f>
        <v>200000</v>
      </c>
      <c r="K69" s="1090">
        <f t="shared" si="25"/>
        <v>200000</v>
      </c>
      <c r="L69" s="1090">
        <f t="shared" si="25"/>
        <v>200000</v>
      </c>
      <c r="M69" s="1966"/>
      <c r="U69" s="1807"/>
      <c r="V69" s="1807"/>
      <c r="W69" s="1807"/>
      <c r="X69" s="1807"/>
      <c r="Y69" s="1792"/>
      <c r="Z69" s="1793"/>
      <c r="AA69" s="1793"/>
      <c r="AB69" s="1793"/>
      <c r="AC69" s="1297"/>
      <c r="AD69" s="1297"/>
      <c r="AE69" s="1297"/>
      <c r="AF69" s="1297"/>
      <c r="AG69" s="1297"/>
      <c r="AH69" s="1297"/>
      <c r="AI69" s="1297"/>
      <c r="AJ69" s="1297"/>
      <c r="AK69" s="1297"/>
      <c r="AL69" s="1297"/>
      <c r="AM69" s="1297"/>
      <c r="AN69" s="1297"/>
      <c r="AO69" s="1297"/>
      <c r="AP69" s="1297"/>
      <c r="AQ69" s="1297"/>
      <c r="AR69" s="1297"/>
    </row>
    <row r="70" spans="1:44" s="1314" customFormat="1" ht="18.75" x14ac:dyDescent="0.3">
      <c r="A70" s="748"/>
      <c r="B70" s="715"/>
      <c r="C70" s="716" t="s">
        <v>382</v>
      </c>
      <c r="D70" s="1411"/>
      <c r="E70" s="644">
        <v>425000</v>
      </c>
      <c r="F70" s="1122">
        <v>425000</v>
      </c>
      <c r="G70" s="1187"/>
      <c r="H70" s="1153"/>
      <c r="I70" s="1090">
        <v>0</v>
      </c>
      <c r="J70" s="1090">
        <f t="shared" si="25"/>
        <v>0</v>
      </c>
      <c r="K70" s="1090">
        <f t="shared" si="25"/>
        <v>0</v>
      </c>
      <c r="L70" s="1090">
        <f t="shared" si="25"/>
        <v>0</v>
      </c>
      <c r="M70" s="1967"/>
      <c r="N70" s="1942"/>
      <c r="O70" s="1979"/>
      <c r="P70" s="1937"/>
      <c r="Q70" s="1979"/>
      <c r="R70" s="1779"/>
      <c r="S70" s="1779"/>
      <c r="T70" s="1779"/>
      <c r="U70" s="1847"/>
      <c r="V70" s="1572"/>
      <c r="W70" s="1572"/>
      <c r="X70" s="640"/>
      <c r="Y70" s="1795"/>
      <c r="Z70" s="1796"/>
      <c r="AA70" s="1796"/>
      <c r="AB70" s="1797"/>
      <c r="AC70" s="1313"/>
      <c r="AD70" s="1313"/>
      <c r="AE70" s="1313"/>
      <c r="AF70" s="1313"/>
      <c r="AG70" s="1313"/>
      <c r="AH70" s="1313"/>
      <c r="AI70" s="1313"/>
      <c r="AJ70" s="1313"/>
      <c r="AK70" s="1313"/>
      <c r="AL70" s="1313"/>
      <c r="AM70" s="1313"/>
      <c r="AN70" s="1313"/>
      <c r="AO70" s="1313"/>
      <c r="AP70" s="1313"/>
      <c r="AQ70" s="1313"/>
      <c r="AR70" s="1313"/>
    </row>
    <row r="71" spans="1:44" s="1314" customFormat="1" ht="18" x14ac:dyDescent="0.25">
      <c r="A71" s="748"/>
      <c r="B71" s="715"/>
      <c r="C71" s="716" t="s">
        <v>947</v>
      </c>
      <c r="D71" s="1411"/>
      <c r="E71" s="644">
        <v>225000</v>
      </c>
      <c r="F71" s="1122">
        <v>401134</v>
      </c>
      <c r="G71" s="1187"/>
      <c r="H71" s="1153"/>
      <c r="I71" s="681"/>
      <c r="J71" s="681">
        <f t="shared" si="25"/>
        <v>0</v>
      </c>
      <c r="K71" s="681">
        <f t="shared" si="25"/>
        <v>0</v>
      </c>
      <c r="L71" s="681">
        <f t="shared" si="25"/>
        <v>0</v>
      </c>
      <c r="M71" s="1966"/>
      <c r="N71" s="1943"/>
      <c r="O71" s="1980"/>
      <c r="P71" s="1938"/>
      <c r="Q71" s="1980"/>
      <c r="R71" s="1794"/>
      <c r="S71" s="1794"/>
      <c r="T71" s="1794"/>
      <c r="U71" s="1572"/>
      <c r="V71" s="1572"/>
      <c r="W71" s="1572"/>
      <c r="X71" s="640"/>
      <c r="Y71" s="1795"/>
      <c r="Z71" s="1796"/>
      <c r="AA71" s="1796"/>
      <c r="AB71" s="1797"/>
      <c r="AC71" s="1313"/>
      <c r="AD71" s="1313"/>
      <c r="AE71" s="1313"/>
      <c r="AF71" s="1313"/>
      <c r="AG71" s="1313"/>
      <c r="AH71" s="1313"/>
      <c r="AI71" s="1313"/>
      <c r="AJ71" s="1313"/>
      <c r="AK71" s="1313"/>
      <c r="AL71" s="1313"/>
      <c r="AM71" s="1313"/>
      <c r="AN71" s="1313"/>
      <c r="AO71" s="1313"/>
      <c r="AP71" s="1313"/>
      <c r="AQ71" s="1313"/>
      <c r="AR71" s="1313"/>
    </row>
    <row r="72" spans="1:44" s="1316" customFormat="1" ht="18" x14ac:dyDescent="0.25">
      <c r="A72" s="748"/>
      <c r="B72" s="715"/>
      <c r="C72" s="716" t="s">
        <v>948</v>
      </c>
      <c r="D72" s="1411"/>
      <c r="E72" s="644">
        <v>577000</v>
      </c>
      <c r="F72" s="1122">
        <v>816257.51</v>
      </c>
      <c r="G72" s="1187"/>
      <c r="H72" s="1153"/>
      <c r="I72" s="681"/>
      <c r="J72" s="681">
        <f t="shared" si="25"/>
        <v>0</v>
      </c>
      <c r="K72" s="681">
        <f t="shared" si="25"/>
        <v>0</v>
      </c>
      <c r="L72" s="681">
        <f t="shared" si="25"/>
        <v>0</v>
      </c>
      <c r="M72" s="1966"/>
      <c r="N72" s="1944"/>
      <c r="O72" s="1976"/>
      <c r="P72" s="1939"/>
      <c r="Q72" s="1976"/>
      <c r="R72" s="1798"/>
      <c r="S72" s="1798"/>
      <c r="T72" s="1798"/>
      <c r="U72" s="1572"/>
      <c r="V72" s="1572"/>
      <c r="W72" s="1572"/>
      <c r="X72" s="640"/>
      <c r="Y72" s="1795"/>
      <c r="Z72" s="1796"/>
      <c r="AA72" s="1796"/>
      <c r="AB72" s="1793"/>
      <c r="AC72" s="1315"/>
      <c r="AD72" s="1315"/>
      <c r="AE72" s="1315"/>
      <c r="AF72" s="1315"/>
      <c r="AG72" s="1315"/>
      <c r="AH72" s="1315"/>
      <c r="AI72" s="1315"/>
      <c r="AJ72" s="1315"/>
      <c r="AK72" s="1315"/>
      <c r="AL72" s="1315"/>
      <c r="AM72" s="1315"/>
      <c r="AN72" s="1315"/>
      <c r="AO72" s="1315"/>
      <c r="AP72" s="1315"/>
      <c r="AQ72" s="1315"/>
      <c r="AR72" s="1315"/>
    </row>
    <row r="73" spans="1:44" s="1316" customFormat="1" ht="18" x14ac:dyDescent="0.25">
      <c r="A73" s="748"/>
      <c r="B73" s="715"/>
      <c r="C73" s="716" t="s">
        <v>949</v>
      </c>
      <c r="D73" s="1411"/>
      <c r="E73" s="644"/>
      <c r="F73" s="1122">
        <v>568740.15</v>
      </c>
      <c r="G73" s="1187"/>
      <c r="H73" s="1153"/>
      <c r="I73" s="681"/>
      <c r="J73" s="681"/>
      <c r="K73" s="681"/>
      <c r="L73" s="681"/>
      <c r="M73" s="1966"/>
      <c r="N73" s="1944"/>
      <c r="O73" s="1976"/>
      <c r="P73" s="1939"/>
      <c r="Q73" s="1976"/>
      <c r="R73" s="1798"/>
      <c r="S73" s="1798"/>
      <c r="T73" s="1798"/>
      <c r="U73" s="1572"/>
      <c r="V73" s="1572"/>
      <c r="W73" s="1572"/>
      <c r="X73" s="640"/>
      <c r="Y73" s="1795"/>
      <c r="Z73" s="1796"/>
      <c r="AA73" s="1796"/>
      <c r="AB73" s="1796"/>
    </row>
    <row r="74" spans="1:44" s="1316" customFormat="1" ht="18" hidden="1" x14ac:dyDescent="0.25">
      <c r="A74" s="748"/>
      <c r="B74" s="715"/>
      <c r="C74" s="716"/>
      <c r="D74" s="1411"/>
      <c r="E74" s="644"/>
      <c r="F74" s="1122"/>
      <c r="G74" s="1187">
        <f t="shared" ref="G74:I74" si="26">+F74</f>
        <v>0</v>
      </c>
      <c r="H74" s="1153">
        <f t="shared" si="26"/>
        <v>0</v>
      </c>
      <c r="I74" s="681">
        <f t="shared" si="26"/>
        <v>0</v>
      </c>
      <c r="J74" s="681"/>
      <c r="K74" s="681"/>
      <c r="L74" s="681"/>
      <c r="M74" s="1966"/>
      <c r="N74" s="1944"/>
      <c r="O74" s="1976"/>
      <c r="P74" s="1939"/>
      <c r="Q74" s="1976"/>
      <c r="R74" s="1798"/>
      <c r="S74" s="1798"/>
      <c r="T74" s="1798"/>
      <c r="U74" s="1572"/>
      <c r="V74" s="1572"/>
      <c r="W74" s="1572"/>
      <c r="X74" s="640"/>
      <c r="Y74" s="1795"/>
      <c r="Z74" s="1796"/>
      <c r="AA74" s="1796"/>
      <c r="AB74" s="1796"/>
    </row>
    <row r="75" spans="1:44" s="1316" customFormat="1" ht="33.75" customHeight="1" x14ac:dyDescent="0.25">
      <c r="A75" s="748"/>
      <c r="B75" s="715" t="s">
        <v>383</v>
      </c>
      <c r="C75" s="716"/>
      <c r="D75" s="1411"/>
      <c r="E75" s="645"/>
      <c r="F75" s="1123"/>
      <c r="G75" s="1188"/>
      <c r="H75" s="1154"/>
      <c r="I75" s="682"/>
      <c r="J75" s="682"/>
      <c r="K75" s="682"/>
      <c r="L75" s="682"/>
      <c r="M75" s="1968"/>
      <c r="N75" s="1944"/>
      <c r="O75" s="1976"/>
      <c r="P75" s="1939"/>
      <c r="Q75" s="1976"/>
      <c r="R75" s="1798"/>
      <c r="S75" s="1798"/>
      <c r="T75" s="1798"/>
      <c r="U75" s="1572"/>
      <c r="V75" s="1572"/>
      <c r="W75" s="1572"/>
      <c r="X75" s="640"/>
      <c r="Y75" s="1795"/>
      <c r="Z75" s="1796"/>
      <c r="AA75" s="1796"/>
      <c r="AB75" s="1796"/>
    </row>
    <row r="76" spans="1:44" ht="18" x14ac:dyDescent="0.25">
      <c r="A76" s="1412"/>
      <c r="B76" s="1413"/>
      <c r="C76" s="1413" t="s">
        <v>384</v>
      </c>
      <c r="D76" s="1414"/>
      <c r="E76" s="717">
        <f>ROUND((+COMBINED!E50+COMBINED!E53+COMBINED!E54)*0.03,0)</f>
        <v>0</v>
      </c>
      <c r="F76" s="1124">
        <f>ROUND(COMBINED!F57*0.03,0)</f>
        <v>2400860</v>
      </c>
      <c r="G76" s="1189">
        <f>ROUND(COMBINED!G57*0.03,0)</f>
        <v>2571507</v>
      </c>
      <c r="H76" s="1155">
        <f>ROUND(COMBINED!H57*0.03,0)</f>
        <v>2468427</v>
      </c>
      <c r="I76" s="718">
        <f>ROUND(COMBINED!I57*0.03,0)</f>
        <v>2468674</v>
      </c>
      <c r="J76" s="718" t="e">
        <f>ROUND((+COMBINED!J50+COMBINED!J53+COMBINED!J54)*0.03,0)</f>
        <v>#REF!</v>
      </c>
      <c r="K76" s="718" t="e">
        <f>ROUND((+COMBINED!K50+COMBINED!K53+COMBINED!K54)*0.03,0)</f>
        <v>#REF!</v>
      </c>
      <c r="L76" s="718" t="e">
        <f>ROUND((+COMBINED!L50+COMBINED!L53+COMBINED!L54)*0.03,0)</f>
        <v>#REF!</v>
      </c>
      <c r="M76" s="1965"/>
      <c r="U76" s="1572"/>
      <c r="V76" s="1830"/>
      <c r="W76" s="1830"/>
      <c r="X76" s="638"/>
      <c r="Y76" s="1791"/>
      <c r="Z76" s="1788"/>
      <c r="AA76" s="1796"/>
      <c r="AB76" s="1796"/>
    </row>
    <row r="77" spans="1:44" ht="18" x14ac:dyDescent="0.25">
      <c r="A77" s="1415"/>
      <c r="B77" s="1416"/>
      <c r="C77" s="1416"/>
      <c r="D77" s="1417"/>
      <c r="E77" s="711"/>
      <c r="F77" s="1125">
        <f>F76/COMBINED!F57</f>
        <v>2.9999996651200359E-2</v>
      </c>
      <c r="G77" s="1190">
        <f>G76/COMBINED!G57</f>
        <v>2.9999998449547368E-2</v>
      </c>
      <c r="H77" s="1156">
        <f>H76/COMBINED!H57</f>
        <v>2.9999995432953369E-2</v>
      </c>
      <c r="I77" s="712">
        <f>I76/COMBINED!I57</f>
        <v>3.0000002939835183E-2</v>
      </c>
      <c r="J77" s="712" t="e">
        <f>+J76/(COMBINED!$J$50+COMBINED!$J$53+COMBINED!$J$54)</f>
        <v>#REF!</v>
      </c>
      <c r="K77" s="712" t="e">
        <f>+K76/(COMBINED!$K$50+COMBINED!$K$53+COMBINED!$K$54)</f>
        <v>#REF!</v>
      </c>
      <c r="L77" s="712" t="e">
        <f>+L76/(COMBINED!$L$50+COMBINED!$L$53+COMBINED!$L$54)</f>
        <v>#REF!</v>
      </c>
      <c r="M77" s="1969"/>
      <c r="U77" s="1831"/>
      <c r="V77" s="1831"/>
      <c r="W77" s="1807"/>
      <c r="X77" s="639"/>
      <c r="Y77" s="1793"/>
      <c r="Z77" s="1796"/>
      <c r="AA77" s="1796"/>
      <c r="AB77" s="1796"/>
    </row>
    <row r="78" spans="1:44" ht="24.75" customHeight="1" x14ac:dyDescent="0.25">
      <c r="A78" s="1418"/>
      <c r="B78" s="1419"/>
      <c r="C78" s="1419" t="s">
        <v>385</v>
      </c>
      <c r="D78" s="1420"/>
      <c r="E78" s="229"/>
      <c r="F78" s="1126">
        <f>+F61-SUM(F65:F68,F76)</f>
        <v>10157541.040000003</v>
      </c>
      <c r="G78" s="1191">
        <f t="shared" ref="G78:I78" si="27">+G61-SUM(G65:G68,G76)</f>
        <v>10479149.840000004</v>
      </c>
      <c r="H78" s="1157">
        <f t="shared" si="27"/>
        <v>6578836.8774745315</v>
      </c>
      <c r="I78" s="683">
        <f t="shared" si="27"/>
        <v>4403778.214115642</v>
      </c>
      <c r="J78" s="683" t="e">
        <f t="shared" ref="J78:L78" si="28">+J61-SUM(J65:J68,J76)</f>
        <v>#REF!</v>
      </c>
      <c r="K78" s="683" t="e">
        <f t="shared" si="28"/>
        <v>#REF!</v>
      </c>
      <c r="L78" s="683" t="e">
        <f t="shared" si="28"/>
        <v>#REF!</v>
      </c>
      <c r="M78" s="1970"/>
      <c r="U78" s="1572"/>
      <c r="V78" s="1572"/>
      <c r="X78" s="635"/>
      <c r="Y78" s="1799"/>
      <c r="Z78" s="1316"/>
      <c r="AA78" s="1316"/>
      <c r="AB78" s="1796"/>
    </row>
    <row r="79" spans="1:44" ht="16.5" customHeight="1" x14ac:dyDescent="0.25">
      <c r="A79" s="1372"/>
      <c r="B79" s="1329"/>
      <c r="C79" s="1330"/>
      <c r="D79" s="1421"/>
      <c r="E79" s="230"/>
      <c r="F79" s="1127">
        <f>F78/COMBINED!F57</f>
        <v>0.12692376781004736</v>
      </c>
      <c r="G79" s="1192">
        <f>G78/COMBINED!G57</f>
        <v>0.12225301309799065</v>
      </c>
      <c r="H79" s="1158">
        <f>H78/COMBINED!H57</f>
        <v>7.9955808406884696E-2</v>
      </c>
      <c r="I79" s="684">
        <f>I78/COMBINED!I57</f>
        <v>5.3515919627237701E-2</v>
      </c>
      <c r="J79" s="684" t="e">
        <f>J78/COMBINED!J57</f>
        <v>#REF!</v>
      </c>
      <c r="K79" s="684" t="e">
        <f>K78/COMBINED!K57</f>
        <v>#REF!</v>
      </c>
      <c r="L79" s="684" t="e">
        <f>L78/COMBINED!L57</f>
        <v>#REF!</v>
      </c>
      <c r="M79" s="1971"/>
      <c r="U79" s="1572"/>
      <c r="V79" s="1830"/>
      <c r="W79" s="1830"/>
      <c r="X79" s="633"/>
      <c r="Y79" s="1787"/>
      <c r="Z79" s="1307"/>
      <c r="AA79" s="1316"/>
      <c r="AB79" s="1796"/>
    </row>
    <row r="80" spans="1:44" ht="35.25" customHeight="1" x14ac:dyDescent="0.25">
      <c r="A80" s="1398" t="s">
        <v>386</v>
      </c>
      <c r="B80" s="1422"/>
      <c r="C80" s="1422"/>
      <c r="D80" s="1422"/>
      <c r="E80" s="649"/>
      <c r="F80" s="1118">
        <f>+SUM(F65:F68,F76,F78)</f>
        <v>15060332.700000003</v>
      </c>
      <c r="G80" s="1181">
        <f>+SUM(G65:G68,G76,G78)</f>
        <v>13260656.840000004</v>
      </c>
      <c r="H80" s="1149">
        <f t="shared" ref="H80:I80" si="29">+SUM(H65:H68,H76,H78)</f>
        <v>9257263.8774745315</v>
      </c>
      <c r="I80" s="678">
        <f t="shared" si="29"/>
        <v>7082452.214115642</v>
      </c>
      <c r="J80" s="678" t="e">
        <f t="shared" ref="J80:L80" si="30">+SUM(J65:J68,J76,J78)</f>
        <v>#REF!</v>
      </c>
      <c r="K80" s="678" t="e">
        <f t="shared" si="30"/>
        <v>#REF!</v>
      </c>
      <c r="L80" s="678" t="e">
        <f t="shared" si="30"/>
        <v>#REF!</v>
      </c>
      <c r="M80" s="1972"/>
      <c r="U80" s="1848"/>
      <c r="V80" s="1848"/>
      <c r="W80" s="1819"/>
      <c r="X80" s="1820"/>
      <c r="Y80" s="1800"/>
    </row>
    <row r="81" spans="1:39" ht="18.75" thickBot="1" x14ac:dyDescent="0.3">
      <c r="A81" s="1423"/>
      <c r="B81" s="1424"/>
      <c r="C81" s="1424"/>
      <c r="D81" s="1424"/>
      <c r="E81" s="650"/>
      <c r="F81" s="1128">
        <f>F80/COMBINED!F57</f>
        <v>0.18818670416682493</v>
      </c>
      <c r="G81" s="1193">
        <f>G80/COMBINED!G57</f>
        <v>0.15470293669820062</v>
      </c>
      <c r="H81" s="1159">
        <f>H80/COMBINED!H57</f>
        <v>0.11250803610796679</v>
      </c>
      <c r="I81" s="685">
        <f>I80/COMBINED!I57</f>
        <v>8.6067900113466364E-2</v>
      </c>
      <c r="J81" s="685" t="e">
        <f>+J80/(COMBINED!$J$50+COMBINED!$J$53+COMBINED!$J$54)</f>
        <v>#REF!</v>
      </c>
      <c r="K81" s="685" t="e">
        <f>+K80/(COMBINED!$K$50+COMBINED!$K$53+COMBINED!$K$54)</f>
        <v>#REF!</v>
      </c>
      <c r="L81" s="685" t="e">
        <f>+L80/(COMBINED!$L$50+COMBINED!$L$53+COMBINED!$L$54)</f>
        <v>#REF!</v>
      </c>
      <c r="M81" s="1973"/>
      <c r="U81" s="1848"/>
      <c r="V81" s="1848"/>
      <c r="W81" s="1819"/>
      <c r="X81" s="1820"/>
      <c r="Y81" s="1800"/>
    </row>
    <row r="82" spans="1:39" s="1317" customFormat="1" ht="9" customHeight="1" thickTop="1" thickBot="1" x14ac:dyDescent="0.3">
      <c r="A82" s="1425"/>
      <c r="B82" s="1426"/>
      <c r="C82" s="1426"/>
      <c r="D82" s="1426"/>
      <c r="E82" s="808"/>
      <c r="F82" s="808"/>
      <c r="G82" s="1194"/>
      <c r="H82" s="228"/>
      <c r="I82" s="228"/>
      <c r="J82" s="228"/>
      <c r="K82" s="228"/>
      <c r="L82" s="228"/>
      <c r="M82" s="1974"/>
      <c r="N82" s="1954"/>
      <c r="O82" s="1981"/>
      <c r="P82" s="1956"/>
      <c r="Q82" s="1981"/>
      <c r="R82" s="1955"/>
      <c r="S82" s="1955"/>
      <c r="T82" s="1955"/>
      <c r="U82" s="1826"/>
      <c r="V82" s="1826"/>
      <c r="W82" s="1572"/>
      <c r="X82" s="802"/>
      <c r="Y82" s="1296"/>
    </row>
    <row r="83" spans="1:39" ht="16.5" hidden="1" thickTop="1" x14ac:dyDescent="0.25">
      <c r="B83" s="1427" t="s">
        <v>724</v>
      </c>
      <c r="G83" s="790"/>
      <c r="N83" s="1954"/>
      <c r="O83" s="1981"/>
      <c r="P83" s="1956"/>
      <c r="Q83" s="1981"/>
      <c r="R83" s="1955"/>
      <c r="S83" s="1955"/>
      <c r="T83" s="1955"/>
      <c r="Z83" s="1317"/>
      <c r="AA83" s="1317"/>
      <c r="AB83" s="1317"/>
      <c r="AC83" s="1317"/>
      <c r="AD83" s="1317"/>
      <c r="AE83" s="1317"/>
      <c r="AF83" s="1317"/>
      <c r="AG83" s="1317"/>
      <c r="AH83" s="1317"/>
      <c r="AI83" s="1317"/>
      <c r="AJ83" s="1317"/>
      <c r="AK83" s="1317"/>
      <c r="AL83" s="1317"/>
      <c r="AM83" s="1317"/>
    </row>
    <row r="84" spans="1:39" ht="16.5" hidden="1" thickTop="1" x14ac:dyDescent="0.25">
      <c r="G84" s="790"/>
      <c r="H84" s="790"/>
      <c r="I84" s="790"/>
      <c r="J84" s="790"/>
      <c r="K84" s="790"/>
      <c r="L84" s="790"/>
      <c r="M84" s="1963"/>
      <c r="N84" s="1957"/>
      <c r="O84" s="1982"/>
      <c r="P84" s="1959"/>
      <c r="Q84" s="1982"/>
      <c r="R84" s="1958"/>
      <c r="S84" s="1958"/>
      <c r="T84" s="1958"/>
      <c r="U84" s="1831"/>
    </row>
    <row r="85" spans="1:39" ht="16.5" hidden="1" thickTop="1" x14ac:dyDescent="0.25">
      <c r="D85" s="1428" t="s">
        <v>719</v>
      </c>
      <c r="E85" s="790"/>
      <c r="F85" s="794" t="s">
        <v>732</v>
      </c>
      <c r="G85" s="795" t="s">
        <v>720</v>
      </c>
      <c r="H85" s="793" t="s">
        <v>721</v>
      </c>
      <c r="I85" s="791"/>
      <c r="J85" s="791"/>
      <c r="K85" s="791"/>
      <c r="L85" s="791"/>
      <c r="M85" s="1963"/>
      <c r="N85" s="1957"/>
      <c r="O85" s="1982"/>
      <c r="P85" s="1959"/>
      <c r="Q85" s="1982"/>
      <c r="R85" s="1958"/>
      <c r="S85" s="1958"/>
      <c r="T85" s="1958"/>
      <c r="U85" s="1831"/>
    </row>
    <row r="86" spans="1:39" ht="16.5" hidden="1" thickTop="1" x14ac:dyDescent="0.25">
      <c r="D86" s="1429" t="s">
        <v>722</v>
      </c>
      <c r="E86" s="790"/>
      <c r="F86" s="791"/>
      <c r="G86" s="792"/>
      <c r="H86" s="796" t="s">
        <v>723</v>
      </c>
      <c r="I86" s="792"/>
      <c r="J86" s="792"/>
      <c r="K86" s="792"/>
      <c r="L86" s="792"/>
      <c r="M86" s="1963"/>
      <c r="N86" s="1957"/>
      <c r="O86" s="1982"/>
      <c r="P86" s="1959"/>
      <c r="Q86" s="1982"/>
      <c r="R86" s="1958"/>
      <c r="S86" s="1958"/>
      <c r="T86" s="1958"/>
      <c r="U86" s="1831"/>
    </row>
    <row r="87" spans="1:39" ht="16.5" hidden="1" thickTop="1" x14ac:dyDescent="0.25">
      <c r="D87" s="1430"/>
      <c r="E87" s="790"/>
      <c r="G87" s="791"/>
      <c r="H87" s="791"/>
      <c r="I87" s="791"/>
      <c r="J87" s="791"/>
      <c r="K87" s="791"/>
      <c r="L87" s="791"/>
      <c r="M87" s="1963"/>
      <c r="N87" s="1957"/>
      <c r="O87" s="1982"/>
      <c r="P87" s="1959"/>
      <c r="Q87" s="1982"/>
      <c r="R87" s="1958"/>
      <c r="S87" s="1958"/>
      <c r="T87" s="1958"/>
      <c r="U87" s="1831"/>
    </row>
    <row r="88" spans="1:39" ht="16.5" hidden="1" thickTop="1" x14ac:dyDescent="0.25">
      <c r="D88" s="1431" t="s">
        <v>730</v>
      </c>
      <c r="E88" s="790"/>
      <c r="I88" s="792"/>
      <c r="J88" s="792"/>
      <c r="K88" s="792"/>
      <c r="L88" s="792"/>
      <c r="M88" s="1963"/>
      <c r="N88" s="1957"/>
      <c r="O88" s="1982"/>
      <c r="P88" s="1959"/>
      <c r="Q88" s="1982"/>
      <c r="R88" s="1958"/>
      <c r="S88" s="1958"/>
      <c r="T88" s="1958"/>
      <c r="U88" s="1831"/>
    </row>
    <row r="89" spans="1:39" ht="16.5" hidden="1" thickTop="1" x14ac:dyDescent="0.25">
      <c r="D89" s="1432" t="s">
        <v>728</v>
      </c>
      <c r="E89" s="806"/>
      <c r="F89" s="807" t="s">
        <v>727</v>
      </c>
      <c r="G89" s="795" t="s">
        <v>880</v>
      </c>
      <c r="H89" s="793" t="s">
        <v>729</v>
      </c>
      <c r="I89" s="792"/>
      <c r="J89" s="792"/>
      <c r="K89" s="792"/>
      <c r="L89" s="792"/>
      <c r="M89" s="1963"/>
      <c r="N89" s="1957"/>
      <c r="O89" s="1982"/>
      <c r="P89" s="1959"/>
      <c r="Q89" s="1982"/>
      <c r="R89" s="1958"/>
      <c r="S89" s="1958"/>
      <c r="T89" s="1958"/>
      <c r="U89" s="1831"/>
    </row>
    <row r="90" spans="1:39" ht="16.5" hidden="1" thickTop="1" x14ac:dyDescent="0.25">
      <c r="D90" s="1430"/>
      <c r="E90" s="790"/>
      <c r="F90" s="790"/>
      <c r="G90" s="790"/>
      <c r="H90" s="790"/>
      <c r="I90" s="790"/>
      <c r="J90" s="790"/>
      <c r="K90" s="790"/>
      <c r="L90" s="790"/>
      <c r="M90" s="1963"/>
      <c r="N90" s="1957"/>
      <c r="O90" s="1982"/>
      <c r="P90" s="1959"/>
      <c r="Q90" s="1982"/>
      <c r="R90" s="1958"/>
      <c r="S90" s="1958"/>
      <c r="T90" s="1958"/>
      <c r="U90" s="1831"/>
    </row>
    <row r="91" spans="1:39" ht="16.5" hidden="1" thickTop="1" x14ac:dyDescent="0.25">
      <c r="D91" s="1430"/>
      <c r="E91" s="790"/>
      <c r="G91" s="792"/>
      <c r="H91" s="792"/>
      <c r="I91" s="792"/>
      <c r="J91" s="792"/>
      <c r="K91" s="792"/>
      <c r="L91" s="792"/>
      <c r="M91" s="1963"/>
      <c r="N91" s="1957"/>
      <c r="O91" s="1982"/>
      <c r="P91" s="1959"/>
      <c r="Q91" s="1982"/>
      <c r="R91" s="1958"/>
      <c r="S91" s="1958"/>
      <c r="T91" s="1958"/>
      <c r="U91" s="1831"/>
    </row>
    <row r="92" spans="1:39" ht="16.5" hidden="1" thickTop="1" x14ac:dyDescent="0.25">
      <c r="D92" s="1433" t="s">
        <v>731</v>
      </c>
      <c r="E92" s="790"/>
      <c r="F92" s="790"/>
      <c r="G92" s="790"/>
      <c r="H92" s="790"/>
      <c r="I92" s="790"/>
      <c r="J92" s="790"/>
      <c r="K92" s="790"/>
      <c r="L92" s="790"/>
      <c r="M92" s="1963"/>
      <c r="N92" s="1957"/>
      <c r="O92" s="1982"/>
      <c r="P92" s="1959"/>
      <c r="Q92" s="1982"/>
      <c r="R92" s="1958"/>
      <c r="S92" s="1958"/>
      <c r="T92" s="1958"/>
      <c r="U92" s="1831"/>
    </row>
    <row r="93" spans="1:39" ht="16.5" hidden="1" thickTop="1" x14ac:dyDescent="0.25">
      <c r="D93" s="1430"/>
      <c r="E93" s="790"/>
      <c r="F93" s="792"/>
      <c r="G93" s="792"/>
      <c r="H93" s="792"/>
      <c r="I93" s="792"/>
      <c r="J93" s="792"/>
      <c r="K93" s="792"/>
      <c r="L93" s="792"/>
      <c r="M93" s="1963"/>
      <c r="N93" s="1957"/>
      <c r="O93" s="1982"/>
      <c r="P93" s="1959"/>
      <c r="Q93" s="1982"/>
      <c r="R93" s="1958"/>
      <c r="S93" s="1958"/>
      <c r="T93" s="1958"/>
      <c r="U93" s="1831"/>
    </row>
    <row r="94" spans="1:39" ht="16.5" hidden="1" thickTop="1" x14ac:dyDescent="0.25"/>
    <row r="95" spans="1:39" ht="16.5" hidden="1" thickTop="1" x14ac:dyDescent="0.25"/>
    <row r="96" spans="1:39" ht="9.75" customHeight="1" thickTop="1" x14ac:dyDescent="0.25">
      <c r="G96" s="459"/>
      <c r="H96" s="460"/>
    </row>
    <row r="97" spans="6:8" hidden="1" x14ac:dyDescent="0.25">
      <c r="H97" s="459"/>
    </row>
    <row r="98" spans="6:8" hidden="1" x14ac:dyDescent="0.25">
      <c r="F98" s="782"/>
      <c r="H98" s="458"/>
    </row>
    <row r="99" spans="6:8" hidden="1" x14ac:dyDescent="0.25">
      <c r="F99" s="782"/>
      <c r="G99" s="783"/>
      <c r="H99" s="458"/>
    </row>
    <row r="100" spans="6:8" hidden="1" x14ac:dyDescent="0.25">
      <c r="H100" s="458"/>
    </row>
    <row r="101" spans="6:8" hidden="1" x14ac:dyDescent="0.25">
      <c r="F101" s="782"/>
      <c r="H101" s="458"/>
    </row>
    <row r="102" spans="6:8" hidden="1" x14ac:dyDescent="0.25">
      <c r="F102" s="784"/>
      <c r="G102" s="783"/>
      <c r="H102" s="458"/>
    </row>
    <row r="103" spans="6:8" hidden="1" x14ac:dyDescent="0.25">
      <c r="F103" s="785"/>
      <c r="G103" s="786"/>
      <c r="H103" s="458"/>
    </row>
    <row r="104" spans="6:8" hidden="1" x14ac:dyDescent="0.25">
      <c r="F104" s="785"/>
      <c r="G104" s="786"/>
      <c r="H104" s="458"/>
    </row>
    <row r="105" spans="6:8" hidden="1" x14ac:dyDescent="0.25">
      <c r="F105" s="787"/>
      <c r="G105" s="786"/>
      <c r="H105" s="459"/>
    </row>
    <row r="106" spans="6:8" hidden="1" x14ac:dyDescent="0.25">
      <c r="F106" s="785"/>
      <c r="G106" s="786"/>
      <c r="H106" s="458"/>
    </row>
    <row r="107" spans="6:8" hidden="1" x14ac:dyDescent="0.25">
      <c r="F107" s="788"/>
      <c r="G107" s="789"/>
      <c r="H107" s="460"/>
    </row>
  </sheetData>
  <sheetProtection password="B79F" sheet="1" objects="1" scenarios="1"/>
  <mergeCells count="1">
    <mergeCell ref="A1:D2"/>
  </mergeCells>
  <printOptions horizontalCentered="1"/>
  <pageMargins left="0.17" right="0.17" top="0.56000000000000005" bottom="0.17" header="0.23" footer="0.17"/>
  <pageSetup paperSize="5" scale="63" pageOrder="overThenDown" orientation="portrait" r:id="rId1"/>
  <headerFooter alignWithMargins="0">
    <oddHeader>&amp;C&amp;"Cambria,Bold"&amp;14Sylvan Union School District
2017-18 Budget</oddHeader>
  </headerFooter>
  <rowBreaks count="1" manualBreakCount="1">
    <brk id="81" max="12" man="1"/>
  </rowBreaks>
  <ignoredErrors>
    <ignoredError sqref="F80" 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83"/>
  <sheetViews>
    <sheetView showGridLines="0" zoomScaleNormal="100" workbookViewId="0"/>
  </sheetViews>
  <sheetFormatPr defaultColWidth="0" defaultRowHeight="17.25" customHeight="1" zeroHeight="1" x14ac:dyDescent="0.2"/>
  <cols>
    <col min="1" max="1" width="1.7109375" style="1595" customWidth="1"/>
    <col min="2" max="2" width="13.140625" style="1595" customWidth="1"/>
    <col min="3" max="3" width="30.85546875" style="1595" customWidth="1"/>
    <col min="4" max="8" width="14.28515625" style="1594" customWidth="1"/>
    <col min="9" max="9" width="1" style="1594" hidden="1" customWidth="1"/>
    <col min="10" max="10" width="37.28515625" style="1594" hidden="1" customWidth="1"/>
    <col min="11" max="11" width="1.7109375" style="1595" customWidth="1"/>
    <col min="12" max="16384" width="9.140625" style="1595" hidden="1"/>
  </cols>
  <sheetData>
    <row r="1" spans="2:10" ht="25.5" customHeight="1" x14ac:dyDescent="0.2">
      <c r="B1" s="2216" t="s">
        <v>1057</v>
      </c>
      <c r="C1" s="2216"/>
      <c r="D1" s="2216"/>
      <c r="E1" s="2216"/>
      <c r="F1" s="2216"/>
      <c r="G1" s="2216"/>
      <c r="H1" s="2216"/>
      <c r="I1" s="2216"/>
      <c r="J1" s="2216"/>
    </row>
    <row r="2" spans="2:10" ht="17.25" customHeight="1" x14ac:dyDescent="0.2">
      <c r="B2" s="1588" t="s">
        <v>671</v>
      </c>
      <c r="C2" s="1589"/>
      <c r="D2" s="1590" t="s">
        <v>405</v>
      </c>
      <c r="E2" s="1591" t="s">
        <v>55</v>
      </c>
      <c r="F2" s="1592" t="s">
        <v>672</v>
      </c>
      <c r="G2" s="1593" t="s">
        <v>673</v>
      </c>
      <c r="H2" s="2168" t="str">
        <f>+LEFT(G2,4)+1&amp;"-"&amp;RIGHT(G2,4)+1</f>
        <v>2019-2020</v>
      </c>
      <c r="I2" s="2158"/>
      <c r="J2" s="2039"/>
    </row>
    <row r="3" spans="2:10" s="1602" customFormat="1" ht="25.5" x14ac:dyDescent="0.2">
      <c r="B3" s="1596" t="s">
        <v>846</v>
      </c>
      <c r="C3" s="1597"/>
      <c r="D3" s="1598" t="s">
        <v>674</v>
      </c>
      <c r="E3" s="1599" t="s">
        <v>902</v>
      </c>
      <c r="F3" s="1600" t="s">
        <v>675</v>
      </c>
      <c r="G3" s="1601" t="s">
        <v>675</v>
      </c>
      <c r="H3" s="2169" t="s">
        <v>675</v>
      </c>
      <c r="I3" s="2159"/>
      <c r="J3" s="2040" t="s">
        <v>1056</v>
      </c>
    </row>
    <row r="4" spans="2:10" ht="17.25" customHeight="1" x14ac:dyDescent="0.2">
      <c r="B4" s="1603" t="s">
        <v>676</v>
      </c>
      <c r="C4" s="1604"/>
      <c r="D4" s="1605">
        <v>1001283.51</v>
      </c>
      <c r="E4" s="1606">
        <f>D8</f>
        <v>1162816.4700000004</v>
      </c>
      <c r="F4" s="1607">
        <f>E8</f>
        <v>1323403.5500000005</v>
      </c>
      <c r="G4" s="1608">
        <f>F8</f>
        <v>1204060.5500000005</v>
      </c>
      <c r="H4" s="2170">
        <f>G8</f>
        <v>1148676.5500000005</v>
      </c>
      <c r="I4" s="2160"/>
      <c r="J4" s="2041"/>
    </row>
    <row r="5" spans="2:10" ht="17.25" customHeight="1" x14ac:dyDescent="0.2">
      <c r="B5" s="1609" t="s">
        <v>677</v>
      </c>
      <c r="C5" s="1610"/>
      <c r="D5" s="1611">
        <v>3662574.9100000006</v>
      </c>
      <c r="E5" s="1612">
        <v>3490692.87</v>
      </c>
      <c r="F5" s="1613">
        <v>3380000</v>
      </c>
      <c r="G5" s="1614">
        <f>ROUND(+F5*(1+'MYP Assumptions'!$F$47),0)</f>
        <v>3452670</v>
      </c>
      <c r="H5" s="2171">
        <f>ROUND(+G5*(1+'MYP Assumptions'!$G$47),0)</f>
        <v>3533808</v>
      </c>
      <c r="I5" s="2161"/>
      <c r="J5" s="2042" t="s">
        <v>1050</v>
      </c>
    </row>
    <row r="6" spans="2:10" ht="17.25" customHeight="1" x14ac:dyDescent="0.2">
      <c r="B6" s="1609" t="s">
        <v>678</v>
      </c>
      <c r="C6" s="1610"/>
      <c r="D6" s="1611">
        <v>3501041.95</v>
      </c>
      <c r="E6" s="1612">
        <v>3330105.79</v>
      </c>
      <c r="F6" s="1613">
        <v>3499343</v>
      </c>
      <c r="G6" s="1614">
        <f>+ROUNDUP((F6-105000)*(1+'MYP Assumptions'!$F$75),0)</f>
        <v>3508054</v>
      </c>
      <c r="H6" s="2171">
        <f>+ROUNDUP(G6*(1+'MYP Assumptions'!$G$75),0)</f>
        <v>3613998</v>
      </c>
      <c r="I6" s="2161"/>
      <c r="J6" s="2042" t="s">
        <v>1052</v>
      </c>
    </row>
    <row r="7" spans="2:10" ht="17.25" customHeight="1" x14ac:dyDescent="0.2">
      <c r="B7" s="1615" t="s">
        <v>679</v>
      </c>
      <c r="C7" s="1610"/>
      <c r="D7" s="1611">
        <f>D5-D6</f>
        <v>161532.96000000043</v>
      </c>
      <c r="E7" s="1612">
        <f>E5-E6</f>
        <v>160587.08000000007</v>
      </c>
      <c r="F7" s="1613">
        <f>F5-F6</f>
        <v>-119343</v>
      </c>
      <c r="G7" s="1614">
        <f>G5-G6</f>
        <v>-55384</v>
      </c>
      <c r="H7" s="2171">
        <f>H5-H6</f>
        <v>-80190</v>
      </c>
      <c r="I7" s="2161"/>
      <c r="J7" s="2042"/>
    </row>
    <row r="8" spans="2:10" ht="17.25" customHeight="1" x14ac:dyDescent="0.2">
      <c r="B8" s="1616" t="s">
        <v>680</v>
      </c>
      <c r="C8" s="1617"/>
      <c r="D8" s="1618">
        <f>D4+D7</f>
        <v>1162816.4700000004</v>
      </c>
      <c r="E8" s="1619">
        <f>E4+E7</f>
        <v>1323403.5500000005</v>
      </c>
      <c r="F8" s="1620">
        <f>F4+F7</f>
        <v>1204060.5500000005</v>
      </c>
      <c r="G8" s="1621">
        <f>G4+G7</f>
        <v>1148676.5500000005</v>
      </c>
      <c r="H8" s="2172">
        <f>H4+H7</f>
        <v>1068486.5500000005</v>
      </c>
      <c r="I8" s="2162"/>
      <c r="J8" s="2043"/>
    </row>
    <row r="9" spans="2:10" ht="17.25" customHeight="1" x14ac:dyDescent="0.2">
      <c r="B9" s="1622"/>
      <c r="C9" s="1623"/>
      <c r="D9" s="1624"/>
      <c r="E9" s="1625"/>
      <c r="F9" s="1626"/>
      <c r="G9" s="1627"/>
      <c r="H9" s="2173"/>
      <c r="I9" s="1641"/>
      <c r="J9" s="2044"/>
    </row>
    <row r="10" spans="2:10" ht="17.25" customHeight="1" x14ac:dyDescent="0.2">
      <c r="B10" s="1588" t="s">
        <v>681</v>
      </c>
      <c r="C10" s="1589"/>
      <c r="D10" s="1590" t="str">
        <f>D2</f>
        <v>2015-2016</v>
      </c>
      <c r="E10" s="1591" t="str">
        <f>E2</f>
        <v>2016-2017</v>
      </c>
      <c r="F10" s="1592" t="str">
        <f>F2</f>
        <v>2017-2018</v>
      </c>
      <c r="G10" s="1593" t="str">
        <f>G2</f>
        <v>2018-2019</v>
      </c>
      <c r="H10" s="2168" t="str">
        <f>H2</f>
        <v>2019-2020</v>
      </c>
      <c r="I10" s="2158"/>
      <c r="J10" s="2039"/>
    </row>
    <row r="11" spans="2:10" ht="25.5" x14ac:dyDescent="0.2">
      <c r="B11" s="1628" t="s">
        <v>847</v>
      </c>
      <c r="C11" s="1629"/>
      <c r="D11" s="1630" t="str">
        <f>+$D$3</f>
        <v>Actual</v>
      </c>
      <c r="E11" s="1599" t="str">
        <f>+$E$3</f>
        <v>Unaudited Actuals</v>
      </c>
      <c r="F11" s="1631" t="str">
        <f>+$F$3</f>
        <v>Estimate</v>
      </c>
      <c r="G11" s="1632" t="str">
        <f>+$G3</f>
        <v>Estimate</v>
      </c>
      <c r="H11" s="2174" t="str">
        <f>+$H$3</f>
        <v>Estimate</v>
      </c>
      <c r="I11" s="2163"/>
      <c r="J11" s="2045"/>
    </row>
    <row r="12" spans="2:10" ht="17.25" customHeight="1" x14ac:dyDescent="0.2">
      <c r="B12" s="1633" t="s">
        <v>676</v>
      </c>
      <c r="C12" s="1634"/>
      <c r="D12" s="1635">
        <v>730226.93</v>
      </c>
      <c r="E12" s="1636">
        <f>D16</f>
        <v>736678.49000000011</v>
      </c>
      <c r="F12" s="1637">
        <f>+E16</f>
        <v>0.75000000011641532</v>
      </c>
      <c r="G12" s="1638">
        <f>F16</f>
        <v>0.75000000011641532</v>
      </c>
      <c r="H12" s="2175">
        <f>G16</f>
        <v>0.75000000011641532</v>
      </c>
      <c r="I12" s="2164"/>
      <c r="J12" s="2046"/>
    </row>
    <row r="13" spans="2:10" ht="17.25" customHeight="1" x14ac:dyDescent="0.2">
      <c r="B13" s="1609" t="s">
        <v>677</v>
      </c>
      <c r="C13" s="1610"/>
      <c r="D13" s="1611">
        <v>6451.56</v>
      </c>
      <c r="E13" s="1612">
        <v>4152.01</v>
      </c>
      <c r="F13" s="1613">
        <v>0</v>
      </c>
      <c r="G13" s="1614">
        <f>ROUND(+F13*(1+'MYP Assumptions'!$F$47),0)</f>
        <v>0</v>
      </c>
      <c r="H13" s="2171">
        <f>ROUND(+G13*(1+'MYP Assumptions'!$G$47),0)</f>
        <v>0</v>
      </c>
      <c r="I13" s="2161"/>
      <c r="J13" s="2042"/>
    </row>
    <row r="14" spans="2:10" ht="17.25" customHeight="1" x14ac:dyDescent="0.2">
      <c r="B14" s="1609" t="s">
        <v>678</v>
      </c>
      <c r="C14" s="1610"/>
      <c r="D14" s="1611">
        <v>0</v>
      </c>
      <c r="E14" s="1612">
        <v>740829.75</v>
      </c>
      <c r="F14" s="1613">
        <v>0</v>
      </c>
      <c r="G14" s="1614">
        <f>+ROUNDUP(F14*(1+'MYP Assumptions'!$F$75),0)</f>
        <v>0</v>
      </c>
      <c r="H14" s="2171">
        <f>+ROUNDUP(G14*(1+'MYP Assumptions'!$G$75),0)</f>
        <v>0</v>
      </c>
      <c r="I14" s="2161"/>
      <c r="J14" s="2042"/>
    </row>
    <row r="15" spans="2:10" ht="17.25" customHeight="1" x14ac:dyDescent="0.2">
      <c r="B15" s="1615" t="s">
        <v>679</v>
      </c>
      <c r="C15" s="1610"/>
      <c r="D15" s="1611">
        <f>D13-D14</f>
        <v>6451.56</v>
      </c>
      <c r="E15" s="1612">
        <f>E13-E14</f>
        <v>-736677.74</v>
      </c>
      <c r="F15" s="1613">
        <f>F13-F14</f>
        <v>0</v>
      </c>
      <c r="G15" s="1614">
        <f>G13-G14</f>
        <v>0</v>
      </c>
      <c r="H15" s="2171">
        <f>H13-H14</f>
        <v>0</v>
      </c>
      <c r="I15" s="2161"/>
      <c r="J15" s="2042"/>
    </row>
    <row r="16" spans="2:10" ht="17.25" customHeight="1" x14ac:dyDescent="0.2">
      <c r="B16" s="1639" t="s">
        <v>680</v>
      </c>
      <c r="C16" s="1617"/>
      <c r="D16" s="1618">
        <f>D12+D15</f>
        <v>736678.49000000011</v>
      </c>
      <c r="E16" s="1619">
        <f>E12+E15</f>
        <v>0.75000000011641532</v>
      </c>
      <c r="F16" s="1620">
        <f>F12+F15</f>
        <v>0.75000000011641532</v>
      </c>
      <c r="G16" s="1621">
        <f>G12+G15</f>
        <v>0.75000000011641532</v>
      </c>
      <c r="H16" s="2172">
        <f>H12+H15</f>
        <v>0.75000000011641532</v>
      </c>
      <c r="I16" s="2162"/>
      <c r="J16" s="2043"/>
    </row>
    <row r="17" spans="2:10" ht="17.25" customHeight="1" x14ac:dyDescent="0.2">
      <c r="B17" s="1640"/>
      <c r="C17" s="1623"/>
      <c r="D17" s="1641"/>
      <c r="E17" s="1625"/>
      <c r="F17" s="1626"/>
      <c r="G17" s="1627"/>
      <c r="H17" s="2173"/>
      <c r="I17" s="1641"/>
      <c r="J17" s="2044"/>
    </row>
    <row r="18" spans="2:10" ht="17.25" customHeight="1" x14ac:dyDescent="0.2">
      <c r="B18" s="1588" t="s">
        <v>682</v>
      </c>
      <c r="C18" s="1589"/>
      <c r="D18" s="1590" t="str">
        <f>D2</f>
        <v>2015-2016</v>
      </c>
      <c r="E18" s="1591" t="str">
        <f>E2</f>
        <v>2016-2017</v>
      </c>
      <c r="F18" s="1592" t="str">
        <f>F2</f>
        <v>2017-2018</v>
      </c>
      <c r="G18" s="1593" t="str">
        <f>G2</f>
        <v>2018-2019</v>
      </c>
      <c r="H18" s="2168" t="str">
        <f>H2</f>
        <v>2019-2020</v>
      </c>
      <c r="I18" s="2158"/>
      <c r="J18" s="2039"/>
    </row>
    <row r="19" spans="2:10" ht="25.5" x14ac:dyDescent="0.2">
      <c r="B19" s="1628" t="s">
        <v>848</v>
      </c>
      <c r="C19" s="1629"/>
      <c r="D19" s="1630" t="str">
        <f>+$D$3</f>
        <v>Actual</v>
      </c>
      <c r="E19" s="1599" t="str">
        <f>+$E$3</f>
        <v>Unaudited Actuals</v>
      </c>
      <c r="F19" s="1631" t="str">
        <f>+$F$3</f>
        <v>Estimate</v>
      </c>
      <c r="G19" s="1632" t="str">
        <f>+$G11</f>
        <v>Estimate</v>
      </c>
      <c r="H19" s="2174" t="str">
        <f>+$H$3</f>
        <v>Estimate</v>
      </c>
      <c r="I19" s="2163"/>
      <c r="J19" s="2045"/>
    </row>
    <row r="20" spans="2:10" ht="17.25" customHeight="1" x14ac:dyDescent="0.2">
      <c r="B20" s="1633" t="s">
        <v>676</v>
      </c>
      <c r="C20" s="1634"/>
      <c r="D20" s="1642">
        <v>235422.03</v>
      </c>
      <c r="E20" s="1643">
        <f>D24</f>
        <v>393862.3</v>
      </c>
      <c r="F20" s="1644">
        <f>E24</f>
        <v>735527.04</v>
      </c>
      <c r="G20" s="1645">
        <f>F24</f>
        <v>1075527.04</v>
      </c>
      <c r="H20" s="2176">
        <f>G24</f>
        <v>1422837.04</v>
      </c>
      <c r="I20" s="2165"/>
      <c r="J20" s="2047"/>
    </row>
    <row r="21" spans="2:10" ht="17.25" customHeight="1" x14ac:dyDescent="0.2">
      <c r="B21" s="1609" t="s">
        <v>677</v>
      </c>
      <c r="C21" s="1610"/>
      <c r="D21" s="1611">
        <v>158440.26999999999</v>
      </c>
      <c r="E21" s="1612">
        <v>341664.74</v>
      </c>
      <c r="F21" s="1613">
        <v>340000</v>
      </c>
      <c r="G21" s="1614">
        <f>ROUND(+F21*(1+'MYP Assumptions'!$F$47),0)</f>
        <v>347310</v>
      </c>
      <c r="H21" s="2171">
        <f>ROUND(+G21*(1+'MYP Assumptions'!$G$47),0)</f>
        <v>355472</v>
      </c>
      <c r="I21" s="2161"/>
      <c r="J21" s="2042" t="s">
        <v>1050</v>
      </c>
    </row>
    <row r="22" spans="2:10" ht="17.25" customHeight="1" x14ac:dyDescent="0.2">
      <c r="B22" s="1609" t="s">
        <v>678</v>
      </c>
      <c r="C22" s="1610"/>
      <c r="D22" s="1611">
        <v>0</v>
      </c>
      <c r="E22" s="1612">
        <v>0</v>
      </c>
      <c r="F22" s="1613">
        <v>0</v>
      </c>
      <c r="G22" s="1614">
        <f>+ROUNDUP(F22*(1+'MYP Assumptions'!$F$75),0)</f>
        <v>0</v>
      </c>
      <c r="H22" s="2171">
        <f>+ROUNDUP(G22*(1+'MYP Assumptions'!$G$75),0)</f>
        <v>0</v>
      </c>
      <c r="I22" s="2161"/>
      <c r="J22" s="2042"/>
    </row>
    <row r="23" spans="2:10" ht="17.25" customHeight="1" x14ac:dyDescent="0.2">
      <c r="B23" s="1615" t="s">
        <v>679</v>
      </c>
      <c r="C23" s="1610"/>
      <c r="D23" s="1611">
        <f>D21-D22</f>
        <v>158440.26999999999</v>
      </c>
      <c r="E23" s="1612">
        <f>E21-E22</f>
        <v>341664.74</v>
      </c>
      <c r="F23" s="1613">
        <f>F21-F22</f>
        <v>340000</v>
      </c>
      <c r="G23" s="1614">
        <f>G21-G22</f>
        <v>347310</v>
      </c>
      <c r="H23" s="2171">
        <f>H21-H22</f>
        <v>355472</v>
      </c>
      <c r="I23" s="2161"/>
      <c r="J23" s="2042"/>
    </row>
    <row r="24" spans="2:10" ht="17.25" customHeight="1" x14ac:dyDescent="0.2">
      <c r="B24" s="1646" t="s">
        <v>680</v>
      </c>
      <c r="C24" s="1647"/>
      <c r="D24" s="1618">
        <f>D20+D23</f>
        <v>393862.3</v>
      </c>
      <c r="E24" s="1619">
        <f>E20+E23</f>
        <v>735527.04</v>
      </c>
      <c r="F24" s="1620">
        <f>F20+F23</f>
        <v>1075527.04</v>
      </c>
      <c r="G24" s="1621">
        <f>G20+G23</f>
        <v>1422837.04</v>
      </c>
      <c r="H24" s="2172">
        <f>H20+H23</f>
        <v>1778309.04</v>
      </c>
      <c r="I24" s="2162"/>
      <c r="J24" s="2043"/>
    </row>
    <row r="25" spans="2:10" ht="17.25" customHeight="1" x14ac:dyDescent="0.2">
      <c r="B25" s="1622"/>
      <c r="C25" s="1623"/>
      <c r="D25" s="1641"/>
      <c r="E25" s="1625"/>
      <c r="F25" s="1626"/>
      <c r="G25" s="1627"/>
      <c r="H25" s="2173"/>
      <c r="I25" s="1641"/>
      <c r="J25" s="2044"/>
    </row>
    <row r="26" spans="2:10" ht="17.25" customHeight="1" x14ac:dyDescent="0.2">
      <c r="B26" s="1588" t="s">
        <v>683</v>
      </c>
      <c r="C26" s="1589"/>
      <c r="D26" s="1590" t="str">
        <f>D2</f>
        <v>2015-2016</v>
      </c>
      <c r="E26" s="1591" t="str">
        <f>E2</f>
        <v>2016-2017</v>
      </c>
      <c r="F26" s="1592" t="str">
        <f>F2</f>
        <v>2017-2018</v>
      </c>
      <c r="G26" s="1593" t="str">
        <f>G2</f>
        <v>2018-2019</v>
      </c>
      <c r="H26" s="2168" t="str">
        <f>H2</f>
        <v>2019-2020</v>
      </c>
      <c r="I26" s="2158"/>
      <c r="J26" s="2039"/>
    </row>
    <row r="27" spans="2:10" ht="25.5" x14ac:dyDescent="0.2">
      <c r="B27" s="1628" t="s">
        <v>849</v>
      </c>
      <c r="C27" s="1629"/>
      <c r="D27" s="1630" t="str">
        <f>+$D$3</f>
        <v>Actual</v>
      </c>
      <c r="E27" s="1599" t="str">
        <f>+$E$3</f>
        <v>Unaudited Actuals</v>
      </c>
      <c r="F27" s="1631" t="str">
        <f>+$F$3</f>
        <v>Estimate</v>
      </c>
      <c r="G27" s="1632" t="str">
        <f>+$G19</f>
        <v>Estimate</v>
      </c>
      <c r="H27" s="2174" t="str">
        <f>+$H$3</f>
        <v>Estimate</v>
      </c>
      <c r="I27" s="2163"/>
      <c r="J27" s="2045"/>
    </row>
    <row r="28" spans="2:10" ht="17.25" customHeight="1" x14ac:dyDescent="0.2">
      <c r="B28" s="1633" t="s">
        <v>676</v>
      </c>
      <c r="C28" s="1634"/>
      <c r="D28" s="1642">
        <v>3405228.65</v>
      </c>
      <c r="E28" s="1643">
        <f>D32</f>
        <v>2865875.6799999997</v>
      </c>
      <c r="F28" s="1644">
        <f>E32</f>
        <v>0</v>
      </c>
      <c r="G28" s="1645">
        <f>F32</f>
        <v>0</v>
      </c>
      <c r="H28" s="2176">
        <f>G32</f>
        <v>0</v>
      </c>
      <c r="I28" s="2165"/>
      <c r="J28" s="2047"/>
    </row>
    <row r="29" spans="2:10" ht="17.25" customHeight="1" x14ac:dyDescent="0.2">
      <c r="B29" s="1609" t="s">
        <v>677</v>
      </c>
      <c r="C29" s="1610"/>
      <c r="D29" s="1611">
        <v>29021.37</v>
      </c>
      <c r="E29" s="1612">
        <v>7085.76</v>
      </c>
      <c r="F29" s="1613">
        <v>0</v>
      </c>
      <c r="G29" s="1614">
        <f>ROUND(+F29*(1+'MYP Assumptions'!$F$47),0)</f>
        <v>0</v>
      </c>
      <c r="H29" s="2171">
        <f>ROUND(+G29*(1+'MYP Assumptions'!$G$47),0)</f>
        <v>0</v>
      </c>
      <c r="I29" s="2161"/>
      <c r="J29" s="2042"/>
    </row>
    <row r="30" spans="2:10" ht="17.25" customHeight="1" x14ac:dyDescent="0.2">
      <c r="B30" s="1609" t="s">
        <v>678</v>
      </c>
      <c r="C30" s="1610"/>
      <c r="D30" s="1611">
        <v>568374.34</v>
      </c>
      <c r="E30" s="1612">
        <v>2872961.44</v>
      </c>
      <c r="F30" s="1613">
        <v>0</v>
      </c>
      <c r="G30" s="1614">
        <f>+ROUNDUP(F30*(1+'MYP Assumptions'!$F$75),0)</f>
        <v>0</v>
      </c>
      <c r="H30" s="2171">
        <f>+ROUNDUP(G30*(1+'MYP Assumptions'!$G$75),0)</f>
        <v>0</v>
      </c>
      <c r="I30" s="2161"/>
      <c r="J30" s="2042"/>
    </row>
    <row r="31" spans="2:10" ht="17.25" customHeight="1" x14ac:dyDescent="0.2">
      <c r="B31" s="1615" t="s">
        <v>679</v>
      </c>
      <c r="C31" s="1610"/>
      <c r="D31" s="1611">
        <f>D29-D30</f>
        <v>-539352.97</v>
      </c>
      <c r="E31" s="1612">
        <f>E29-E30</f>
        <v>-2865875.68</v>
      </c>
      <c r="F31" s="1613">
        <f>F29-F30</f>
        <v>0</v>
      </c>
      <c r="G31" s="1614">
        <f>G29-G30</f>
        <v>0</v>
      </c>
      <c r="H31" s="2171">
        <f>H29-H30</f>
        <v>0</v>
      </c>
      <c r="I31" s="2161"/>
      <c r="J31" s="2042"/>
    </row>
    <row r="32" spans="2:10" ht="17.25" customHeight="1" x14ac:dyDescent="0.2">
      <c r="B32" s="1616" t="s">
        <v>680</v>
      </c>
      <c r="C32" s="1617"/>
      <c r="D32" s="1618">
        <f>D28+D31</f>
        <v>2865875.6799999997</v>
      </c>
      <c r="E32" s="1619">
        <f>E28+E31</f>
        <v>0</v>
      </c>
      <c r="F32" s="1620">
        <f>F28+F31</f>
        <v>0</v>
      </c>
      <c r="G32" s="1621">
        <f>G28+G31</f>
        <v>0</v>
      </c>
      <c r="H32" s="2172">
        <f>H28+H31</f>
        <v>0</v>
      </c>
      <c r="I32" s="2162"/>
      <c r="J32" s="2043"/>
    </row>
    <row r="33" spans="2:10" ht="17.25" customHeight="1" x14ac:dyDescent="0.2">
      <c r="B33" s="1622"/>
      <c r="C33" s="1623"/>
      <c r="D33" s="1641"/>
      <c r="E33" s="1625"/>
      <c r="F33" s="1626"/>
      <c r="G33" s="1627"/>
      <c r="H33" s="2173"/>
      <c r="I33" s="1641"/>
      <c r="J33" s="2044"/>
    </row>
    <row r="34" spans="2:10" ht="17.25" customHeight="1" x14ac:dyDescent="0.2">
      <c r="B34" s="1588" t="s">
        <v>685</v>
      </c>
      <c r="C34" s="1589"/>
      <c r="D34" s="1590" t="str">
        <f>D2</f>
        <v>2015-2016</v>
      </c>
      <c r="E34" s="1591" t="str">
        <f>E2</f>
        <v>2016-2017</v>
      </c>
      <c r="F34" s="1592" t="str">
        <f>F2</f>
        <v>2017-2018</v>
      </c>
      <c r="G34" s="1593" t="str">
        <f>G2</f>
        <v>2018-2019</v>
      </c>
      <c r="H34" s="2168" t="str">
        <f>H2</f>
        <v>2019-2020</v>
      </c>
      <c r="I34" s="2158"/>
      <c r="J34" s="2039"/>
    </row>
    <row r="35" spans="2:10" ht="25.5" x14ac:dyDescent="0.2">
      <c r="B35" s="1628" t="s">
        <v>850</v>
      </c>
      <c r="C35" s="1629"/>
      <c r="D35" s="1630" t="str">
        <f>+$D$3</f>
        <v>Actual</v>
      </c>
      <c r="E35" s="1599" t="str">
        <f>+$E$3</f>
        <v>Unaudited Actuals</v>
      </c>
      <c r="F35" s="1631" t="str">
        <f>+$F$3</f>
        <v>Estimate</v>
      </c>
      <c r="G35" s="1632" t="str">
        <f>+$G27</f>
        <v>Estimate</v>
      </c>
      <c r="H35" s="2174" t="str">
        <f>+$H$3</f>
        <v>Estimate</v>
      </c>
      <c r="I35" s="2163"/>
      <c r="J35" s="2045"/>
    </row>
    <row r="36" spans="2:10" ht="17.25" customHeight="1" x14ac:dyDescent="0.2">
      <c r="B36" s="1633" t="s">
        <v>676</v>
      </c>
      <c r="C36" s="1634"/>
      <c r="D36" s="1635">
        <v>88799.78</v>
      </c>
      <c r="E36" s="1636">
        <f>D40</f>
        <v>165705.64000000001</v>
      </c>
      <c r="F36" s="1637">
        <f>E40</f>
        <v>138108.88</v>
      </c>
      <c r="G36" s="1638">
        <f>F40</f>
        <v>100108.88</v>
      </c>
      <c r="H36" s="2175">
        <f>G40</f>
        <v>81130.880000000005</v>
      </c>
      <c r="I36" s="2164"/>
      <c r="J36" s="2046"/>
    </row>
    <row r="37" spans="2:10" ht="17.25" customHeight="1" x14ac:dyDescent="0.2">
      <c r="B37" s="1609" t="s">
        <v>677</v>
      </c>
      <c r="C37" s="1610"/>
      <c r="D37" s="1611">
        <v>81905.86</v>
      </c>
      <c r="E37" s="1612">
        <v>42403.24</v>
      </c>
      <c r="F37" s="1613">
        <v>1000</v>
      </c>
      <c r="G37" s="1614">
        <f>ROUND(+F37*(1+'MYP Assumptions'!$F$47),0)</f>
        <v>1022</v>
      </c>
      <c r="H37" s="2171">
        <f>ROUND(+G37*(1+'MYP Assumptions'!$G$47),0)</f>
        <v>1046</v>
      </c>
      <c r="I37" s="2161"/>
      <c r="J37" s="2042" t="s">
        <v>1054</v>
      </c>
    </row>
    <row r="38" spans="2:10" ht="17.25" customHeight="1" x14ac:dyDescent="0.2">
      <c r="B38" s="1609" t="s">
        <v>678</v>
      </c>
      <c r="C38" s="1610"/>
      <c r="D38" s="1611">
        <v>5000</v>
      </c>
      <c r="E38" s="1612">
        <v>70000</v>
      </c>
      <c r="F38" s="1613">
        <v>39000</v>
      </c>
      <c r="G38" s="1614">
        <v>20000</v>
      </c>
      <c r="H38" s="2171">
        <v>10000</v>
      </c>
      <c r="I38" s="2161"/>
      <c r="J38" s="2042" t="s">
        <v>1055</v>
      </c>
    </row>
    <row r="39" spans="2:10" ht="17.25" customHeight="1" x14ac:dyDescent="0.2">
      <c r="B39" s="1615" t="s">
        <v>679</v>
      </c>
      <c r="C39" s="1610"/>
      <c r="D39" s="1611">
        <f>D37-D38</f>
        <v>76905.86</v>
      </c>
      <c r="E39" s="1612">
        <f>E37-E38</f>
        <v>-27596.760000000002</v>
      </c>
      <c r="F39" s="1613">
        <f>F37-F38</f>
        <v>-38000</v>
      </c>
      <c r="G39" s="1614">
        <f>G37-G38</f>
        <v>-18978</v>
      </c>
      <c r="H39" s="2171">
        <f>H37-H38</f>
        <v>-8954</v>
      </c>
      <c r="I39" s="2161"/>
      <c r="J39" s="2042"/>
    </row>
    <row r="40" spans="2:10" ht="17.25" customHeight="1" x14ac:dyDescent="0.2">
      <c r="B40" s="1616" t="s">
        <v>680</v>
      </c>
      <c r="C40" s="1617"/>
      <c r="D40" s="1618">
        <f>D36+D39</f>
        <v>165705.64000000001</v>
      </c>
      <c r="E40" s="1619">
        <f>E36+E39</f>
        <v>138108.88</v>
      </c>
      <c r="F40" s="1620">
        <f>F36+F39</f>
        <v>100108.88</v>
      </c>
      <c r="G40" s="1621">
        <f>G36+G39</f>
        <v>81130.880000000005</v>
      </c>
      <c r="H40" s="2172">
        <f>H36+H39</f>
        <v>72176.88</v>
      </c>
      <c r="I40" s="2162"/>
      <c r="J40" s="2043"/>
    </row>
    <row r="41" spans="2:10" ht="17.25" customHeight="1" x14ac:dyDescent="0.2">
      <c r="B41" s="1622"/>
      <c r="C41" s="1623"/>
      <c r="D41" s="1641"/>
      <c r="E41" s="1625"/>
      <c r="F41" s="1626"/>
      <c r="G41" s="1627"/>
      <c r="H41" s="2173"/>
      <c r="I41" s="1641"/>
      <c r="J41" s="2044"/>
    </row>
    <row r="42" spans="2:10" ht="17.25" customHeight="1" x14ac:dyDescent="0.2">
      <c r="B42" s="1588" t="s">
        <v>686</v>
      </c>
      <c r="C42" s="1589"/>
      <c r="D42" s="1590" t="str">
        <f>$D$2</f>
        <v>2015-2016</v>
      </c>
      <c r="E42" s="1591" t="str">
        <f>E2</f>
        <v>2016-2017</v>
      </c>
      <c r="F42" s="1592" t="str">
        <f>F2</f>
        <v>2017-2018</v>
      </c>
      <c r="G42" s="1593" t="str">
        <f>G2</f>
        <v>2018-2019</v>
      </c>
      <c r="H42" s="2168" t="str">
        <f>H2</f>
        <v>2019-2020</v>
      </c>
      <c r="I42" s="2158"/>
      <c r="J42" s="2039"/>
    </row>
    <row r="43" spans="2:10" ht="25.5" x14ac:dyDescent="0.2">
      <c r="B43" s="1628" t="s">
        <v>964</v>
      </c>
      <c r="C43" s="1629"/>
      <c r="D43" s="1630" t="str">
        <f>+$D$3</f>
        <v>Actual</v>
      </c>
      <c r="E43" s="1599" t="str">
        <f>+$E$3</f>
        <v>Unaudited Actuals</v>
      </c>
      <c r="F43" s="1631" t="str">
        <f>+$F$3</f>
        <v>Estimate</v>
      </c>
      <c r="G43" s="1632" t="str">
        <f>+$G27</f>
        <v>Estimate</v>
      </c>
      <c r="H43" s="2174" t="str">
        <f>+$H$3</f>
        <v>Estimate</v>
      </c>
      <c r="I43" s="2163"/>
      <c r="J43" s="2045"/>
    </row>
    <row r="44" spans="2:10" ht="17.25" customHeight="1" x14ac:dyDescent="0.2">
      <c r="B44" s="1633" t="s">
        <v>676</v>
      </c>
      <c r="C44" s="1634"/>
      <c r="D44" s="1642">
        <f>+D52+D60</f>
        <v>440741.46</v>
      </c>
      <c r="E44" s="1643">
        <f>+D48</f>
        <v>579794.10000000009</v>
      </c>
      <c r="F44" s="1644">
        <f>+E48</f>
        <v>285660.65000000002</v>
      </c>
      <c r="G44" s="1645">
        <f>+F48</f>
        <v>453904.65</v>
      </c>
      <c r="H44" s="2176">
        <f>+H52+H60</f>
        <v>476179.1</v>
      </c>
      <c r="I44" s="2165"/>
      <c r="J44" s="2047"/>
    </row>
    <row r="45" spans="2:10" ht="17.25" customHeight="1" x14ac:dyDescent="0.2">
      <c r="B45" s="1609" t="s">
        <v>677</v>
      </c>
      <c r="C45" s="1610"/>
      <c r="D45" s="1611">
        <f>+D53+D61</f>
        <v>428108.96</v>
      </c>
      <c r="E45" s="1612">
        <v>600916.11</v>
      </c>
      <c r="F45" s="1613">
        <v>399149</v>
      </c>
      <c r="G45" s="1614">
        <f>26000+200000+2000</f>
        <v>228000</v>
      </c>
      <c r="H45" s="2171">
        <f>ROUND(+G45*(1+'MYP Assumptions'!$G$47),0)</f>
        <v>233358</v>
      </c>
      <c r="I45" s="2161"/>
      <c r="J45" s="2042" t="s">
        <v>1053</v>
      </c>
    </row>
    <row r="46" spans="2:10" ht="17.25" customHeight="1" x14ac:dyDescent="0.2">
      <c r="B46" s="1609" t="s">
        <v>678</v>
      </c>
      <c r="C46" s="1610"/>
      <c r="D46" s="1611">
        <f>+D54+D62</f>
        <v>289056.32</v>
      </c>
      <c r="E46" s="1612">
        <v>895049.56</v>
      </c>
      <c r="F46" s="1613">
        <v>230905</v>
      </c>
      <c r="G46" s="1614">
        <f>80000</f>
        <v>80000</v>
      </c>
      <c r="H46" s="2171">
        <f>+ROUNDUP(G46*(1+'MYP Assumptions'!$G$75),0)</f>
        <v>82416</v>
      </c>
      <c r="I46" s="2161"/>
      <c r="J46" s="2042" t="s">
        <v>1052</v>
      </c>
    </row>
    <row r="47" spans="2:10" ht="17.25" customHeight="1" x14ac:dyDescent="0.2">
      <c r="B47" s="1615" t="s">
        <v>679</v>
      </c>
      <c r="C47" s="1610"/>
      <c r="D47" s="1611">
        <f>D45-D46</f>
        <v>139052.64000000001</v>
      </c>
      <c r="E47" s="1612">
        <f t="shared" ref="E47:H47" si="0">E45-E46</f>
        <v>-294133.45000000007</v>
      </c>
      <c r="F47" s="1613">
        <f t="shared" si="0"/>
        <v>168244</v>
      </c>
      <c r="G47" s="1614">
        <f t="shared" si="0"/>
        <v>148000</v>
      </c>
      <c r="H47" s="2171">
        <f t="shared" si="0"/>
        <v>150942</v>
      </c>
      <c r="I47" s="2161"/>
      <c r="J47" s="2042"/>
    </row>
    <row r="48" spans="2:10" ht="17.25" customHeight="1" x14ac:dyDescent="0.2">
      <c r="B48" s="1616" t="s">
        <v>680</v>
      </c>
      <c r="C48" s="1617"/>
      <c r="D48" s="1618">
        <f>D44+D47</f>
        <v>579794.10000000009</v>
      </c>
      <c r="E48" s="1619">
        <f>E44+E47</f>
        <v>285660.65000000002</v>
      </c>
      <c r="F48" s="1620">
        <f t="shared" ref="F48:H48" si="1">F44+F47</f>
        <v>453904.65</v>
      </c>
      <c r="G48" s="1621">
        <f t="shared" si="1"/>
        <v>601904.65</v>
      </c>
      <c r="H48" s="2172">
        <f t="shared" si="1"/>
        <v>627121.1</v>
      </c>
      <c r="I48" s="2162"/>
      <c r="J48" s="2043"/>
    </row>
    <row r="49" spans="2:10" ht="17.25" hidden="1" customHeight="1" x14ac:dyDescent="0.2">
      <c r="B49" s="1640"/>
      <c r="C49" s="1623"/>
      <c r="D49" s="1641"/>
      <c r="E49" s="1625"/>
      <c r="F49" s="1626"/>
      <c r="G49" s="1627"/>
      <c r="H49" s="2173"/>
      <c r="I49" s="1641"/>
      <c r="J49" s="2044"/>
    </row>
    <row r="50" spans="2:10" ht="17.25" hidden="1" customHeight="1" x14ac:dyDescent="0.2">
      <c r="B50" s="1648" t="s">
        <v>686</v>
      </c>
      <c r="C50" s="1649"/>
      <c r="D50" s="1650" t="str">
        <f>D2</f>
        <v>2015-2016</v>
      </c>
      <c r="E50" s="1651" t="str">
        <f>E2</f>
        <v>2016-2017</v>
      </c>
      <c r="F50" s="1652" t="str">
        <f>F2</f>
        <v>2017-2018</v>
      </c>
      <c r="G50" s="1653" t="str">
        <f>G2</f>
        <v>2018-2019</v>
      </c>
      <c r="H50" s="2177" t="str">
        <f>H2</f>
        <v>2019-2020</v>
      </c>
      <c r="I50" s="2166"/>
      <c r="J50" s="2048"/>
    </row>
    <row r="51" spans="2:10" ht="25.5" hidden="1" customHeight="1" x14ac:dyDescent="0.2">
      <c r="B51" s="1654" t="s">
        <v>851</v>
      </c>
      <c r="C51" s="1655"/>
      <c r="D51" s="1656" t="str">
        <f>+$D$3</f>
        <v>Actual</v>
      </c>
      <c r="E51" s="1657" t="str">
        <f>+$E$3</f>
        <v>Unaudited Actuals</v>
      </c>
      <c r="F51" s="1658" t="str">
        <f>+$F$3</f>
        <v>Estimate</v>
      </c>
      <c r="G51" s="1659" t="str">
        <f>+$G35</f>
        <v>Estimate</v>
      </c>
      <c r="H51" s="2178" t="str">
        <f>+$H$3</f>
        <v>Estimate</v>
      </c>
      <c r="I51" s="2167"/>
      <c r="J51" s="2049"/>
    </row>
    <row r="52" spans="2:10" ht="17.25" hidden="1" customHeight="1" x14ac:dyDescent="0.2">
      <c r="B52" s="1633" t="s">
        <v>676</v>
      </c>
      <c r="C52" s="1634"/>
      <c r="D52" s="1642">
        <v>2057.5700000000002</v>
      </c>
      <c r="E52" s="1643">
        <f>D56</f>
        <v>5416.3999999999978</v>
      </c>
      <c r="F52" s="1644">
        <f>E56</f>
        <v>6166.3999999999978</v>
      </c>
      <c r="G52" s="1645">
        <f>F56</f>
        <v>7166.3999999999978</v>
      </c>
      <c r="H52" s="2176">
        <f>G56</f>
        <v>8725.3999999999978</v>
      </c>
      <c r="I52" s="2165"/>
      <c r="J52" s="2047"/>
    </row>
    <row r="53" spans="2:10" ht="17.25" hidden="1" customHeight="1" x14ac:dyDescent="0.2">
      <c r="B53" s="1609" t="s">
        <v>677</v>
      </c>
      <c r="C53" s="1610"/>
      <c r="D53" s="1611">
        <v>25059.26</v>
      </c>
      <c r="E53" s="1612">
        <v>25050</v>
      </c>
      <c r="F53" s="1613">
        <v>26000</v>
      </c>
      <c r="G53" s="1614">
        <f>ROUND(+F53*(1+'MYP Assumptions'!$F$47),0)</f>
        <v>26559</v>
      </c>
      <c r="H53" s="2171">
        <f>ROUND(+G53*(1+'MYP Assumptions'!$G$47),0)</f>
        <v>27183</v>
      </c>
      <c r="I53" s="2161"/>
      <c r="J53" s="2042"/>
    </row>
    <row r="54" spans="2:10" ht="17.25" hidden="1" customHeight="1" x14ac:dyDescent="0.2">
      <c r="B54" s="1609" t="s">
        <v>678</v>
      </c>
      <c r="C54" s="1610"/>
      <c r="D54" s="1611">
        <v>21700.43</v>
      </c>
      <c r="E54" s="1612">
        <v>24300</v>
      </c>
      <c r="F54" s="1613">
        <v>25000</v>
      </c>
      <c r="G54" s="1614">
        <v>25000</v>
      </c>
      <c r="H54" s="2171">
        <v>25000</v>
      </c>
      <c r="I54" s="2161"/>
      <c r="J54" s="2042"/>
    </row>
    <row r="55" spans="2:10" ht="17.25" hidden="1" customHeight="1" x14ac:dyDescent="0.2">
      <c r="B55" s="1615" t="s">
        <v>679</v>
      </c>
      <c r="C55" s="1610"/>
      <c r="D55" s="1611">
        <f>D53-D54</f>
        <v>3358.8299999999981</v>
      </c>
      <c r="E55" s="1612">
        <f>E53-E54</f>
        <v>750</v>
      </c>
      <c r="F55" s="1613">
        <f>F53-F54</f>
        <v>1000</v>
      </c>
      <c r="G55" s="1614">
        <f>G53-G54</f>
        <v>1559</v>
      </c>
      <c r="H55" s="2171">
        <f>H53-H54</f>
        <v>2183</v>
      </c>
      <c r="I55" s="2161"/>
      <c r="J55" s="2042"/>
    </row>
    <row r="56" spans="2:10" ht="17.25" hidden="1" customHeight="1" x14ac:dyDescent="0.2">
      <c r="B56" s="1616" t="s">
        <v>680</v>
      </c>
      <c r="C56" s="1617"/>
      <c r="D56" s="1618">
        <f>D52+D55</f>
        <v>5416.3999999999978</v>
      </c>
      <c r="E56" s="1619">
        <f>E52+E55</f>
        <v>6166.3999999999978</v>
      </c>
      <c r="F56" s="1620">
        <f>F52+F55</f>
        <v>7166.3999999999978</v>
      </c>
      <c r="G56" s="1621">
        <f>G52+G55</f>
        <v>8725.3999999999978</v>
      </c>
      <c r="H56" s="2172">
        <f>H52+H55</f>
        <v>10908.399999999998</v>
      </c>
      <c r="I56" s="2162"/>
      <c r="J56" s="2043"/>
    </row>
    <row r="57" spans="2:10" ht="17.25" hidden="1" customHeight="1" x14ac:dyDescent="0.2">
      <c r="B57" s="1640"/>
      <c r="C57" s="1623"/>
      <c r="D57" s="1641"/>
      <c r="E57" s="1625"/>
      <c r="F57" s="1626"/>
      <c r="G57" s="1627"/>
      <c r="H57" s="2173"/>
      <c r="I57" s="1641"/>
      <c r="J57" s="2044"/>
    </row>
    <row r="58" spans="2:10" ht="17.25" hidden="1" customHeight="1" x14ac:dyDescent="0.2">
      <c r="B58" s="1648" t="s">
        <v>687</v>
      </c>
      <c r="C58" s="1649"/>
      <c r="D58" s="1650" t="str">
        <f>D2</f>
        <v>2015-2016</v>
      </c>
      <c r="E58" s="1651" t="str">
        <f>E2</f>
        <v>2016-2017</v>
      </c>
      <c r="F58" s="1652" t="str">
        <f>F2</f>
        <v>2017-2018</v>
      </c>
      <c r="G58" s="1653" t="str">
        <f>G2</f>
        <v>2018-2019</v>
      </c>
      <c r="H58" s="2177" t="str">
        <f>H2</f>
        <v>2019-2020</v>
      </c>
      <c r="I58" s="2166"/>
      <c r="J58" s="2048"/>
    </row>
    <row r="59" spans="2:10" ht="25.5" hidden="1" customHeight="1" x14ac:dyDescent="0.2">
      <c r="B59" s="1654" t="s">
        <v>852</v>
      </c>
      <c r="C59" s="1655"/>
      <c r="D59" s="1656" t="str">
        <f>+$D$3</f>
        <v>Actual</v>
      </c>
      <c r="E59" s="1657" t="str">
        <f>+$E$3</f>
        <v>Unaudited Actuals</v>
      </c>
      <c r="F59" s="1658" t="str">
        <f>+$F$3</f>
        <v>Estimate</v>
      </c>
      <c r="G59" s="1659" t="str">
        <f>+$G51</f>
        <v>Estimate</v>
      </c>
      <c r="H59" s="2178" t="str">
        <f>+$H$3</f>
        <v>Estimate</v>
      </c>
      <c r="I59" s="2167"/>
      <c r="J59" s="2049"/>
    </row>
    <row r="60" spans="2:10" ht="17.25" hidden="1" customHeight="1" x14ac:dyDescent="0.2">
      <c r="B60" s="1633" t="s">
        <v>676</v>
      </c>
      <c r="C60" s="1634"/>
      <c r="D60" s="1635">
        <v>438683.89</v>
      </c>
      <c r="E60" s="1636">
        <f>D64</f>
        <v>574377.69999999995</v>
      </c>
      <c r="F60" s="1637">
        <f>E64</f>
        <v>61433.699999999953</v>
      </c>
      <c r="G60" s="1638">
        <f>F64</f>
        <v>263433.69999999995</v>
      </c>
      <c r="H60" s="2175">
        <f>G64</f>
        <v>467453.69999999995</v>
      </c>
      <c r="I60" s="2164"/>
      <c r="J60" s="2046"/>
    </row>
    <row r="61" spans="2:10" ht="17.25" hidden="1" customHeight="1" x14ac:dyDescent="0.2">
      <c r="B61" s="1609" t="s">
        <v>677</v>
      </c>
      <c r="C61" s="1610"/>
      <c r="D61" s="1611">
        <v>403049.7</v>
      </c>
      <c r="E61" s="1612">
        <v>493517</v>
      </c>
      <c r="F61" s="1613">
        <v>202000</v>
      </c>
      <c r="G61" s="1614">
        <f>+ROUNDUP(F61*(1+1%),0)</f>
        <v>204020</v>
      </c>
      <c r="H61" s="2171">
        <f>+ROUNDUP(G61*(1+1%),0)</f>
        <v>206061</v>
      </c>
      <c r="I61" s="2161"/>
      <c r="J61" s="2042"/>
    </row>
    <row r="62" spans="2:10" ht="17.25" hidden="1" customHeight="1" x14ac:dyDescent="0.2">
      <c r="B62" s="1609" t="s">
        <v>678</v>
      </c>
      <c r="C62" s="1610"/>
      <c r="D62" s="1611">
        <v>267355.89</v>
      </c>
      <c r="E62" s="1612">
        <v>1006461</v>
      </c>
      <c r="F62" s="1613">
        <v>0</v>
      </c>
      <c r="G62" s="1614">
        <f>+ROUNDUP(F62*(1+'MYP Assumptions'!$F$75),0)</f>
        <v>0</v>
      </c>
      <c r="H62" s="2171">
        <f>+ROUNDUP(G62*(1+'MYP Assumptions'!$G$75),0)</f>
        <v>0</v>
      </c>
      <c r="I62" s="2161"/>
      <c r="J62" s="2042"/>
    </row>
    <row r="63" spans="2:10" ht="17.25" hidden="1" customHeight="1" x14ac:dyDescent="0.2">
      <c r="B63" s="1615" t="s">
        <v>679</v>
      </c>
      <c r="C63" s="1610"/>
      <c r="D63" s="1611">
        <f>D61-D62</f>
        <v>135693.81</v>
      </c>
      <c r="E63" s="1612">
        <f>E61-E62</f>
        <v>-512944</v>
      </c>
      <c r="F63" s="1613">
        <f>F61-F62</f>
        <v>202000</v>
      </c>
      <c r="G63" s="1614">
        <f>G61-G62</f>
        <v>204020</v>
      </c>
      <c r="H63" s="2171">
        <f>H61-H62</f>
        <v>206061</v>
      </c>
      <c r="I63" s="2161"/>
      <c r="J63" s="2042"/>
    </row>
    <row r="64" spans="2:10" ht="17.25" hidden="1" customHeight="1" x14ac:dyDescent="0.2">
      <c r="B64" s="1616" t="s">
        <v>680</v>
      </c>
      <c r="C64" s="1617"/>
      <c r="D64" s="1618">
        <f>D60+D63</f>
        <v>574377.69999999995</v>
      </c>
      <c r="E64" s="1619">
        <f>E60+E63</f>
        <v>61433.699999999953</v>
      </c>
      <c r="F64" s="1620">
        <f>F60+F63</f>
        <v>263433.69999999995</v>
      </c>
      <c r="G64" s="1621">
        <f>G60+G63</f>
        <v>467453.69999999995</v>
      </c>
      <c r="H64" s="2172">
        <f>H60+H63</f>
        <v>673514.7</v>
      </c>
      <c r="I64" s="2162"/>
      <c r="J64" s="2043"/>
    </row>
    <row r="65" spans="2:10" ht="17.25" customHeight="1" x14ac:dyDescent="0.2">
      <c r="B65" s="1640"/>
      <c r="C65" s="1623"/>
      <c r="D65" s="1641"/>
      <c r="E65" s="1625"/>
      <c r="F65" s="1626"/>
      <c r="G65" s="1627"/>
      <c r="H65" s="2173"/>
      <c r="I65" s="1641"/>
      <c r="J65" s="2044"/>
    </row>
    <row r="66" spans="2:10" ht="17.25" customHeight="1" x14ac:dyDescent="0.2">
      <c r="B66" s="1588" t="s">
        <v>688</v>
      </c>
      <c r="C66" s="1589"/>
      <c r="D66" s="1590" t="str">
        <f>D2</f>
        <v>2015-2016</v>
      </c>
      <c r="E66" s="1591" t="str">
        <f>E2</f>
        <v>2016-2017</v>
      </c>
      <c r="F66" s="1592" t="str">
        <f>F2</f>
        <v>2017-2018</v>
      </c>
      <c r="G66" s="1593" t="str">
        <f>G2</f>
        <v>2018-2019</v>
      </c>
      <c r="H66" s="2168" t="str">
        <f>H2</f>
        <v>2019-2020</v>
      </c>
      <c r="I66" s="2158"/>
      <c r="J66" s="2039"/>
    </row>
    <row r="67" spans="2:10" ht="25.5" x14ac:dyDescent="0.2">
      <c r="B67" s="1628" t="s">
        <v>853</v>
      </c>
      <c r="C67" s="1629"/>
      <c r="D67" s="1630" t="str">
        <f>+$D$3</f>
        <v>Actual</v>
      </c>
      <c r="E67" s="1599" t="str">
        <f>+$E$3</f>
        <v>Unaudited Actuals</v>
      </c>
      <c r="F67" s="1631" t="str">
        <f>+$F$3</f>
        <v>Estimate</v>
      </c>
      <c r="G67" s="1632" t="str">
        <f>+$G59</f>
        <v>Estimate</v>
      </c>
      <c r="H67" s="2174" t="str">
        <f>+$H$3</f>
        <v>Estimate</v>
      </c>
      <c r="I67" s="2163"/>
      <c r="J67" s="2045"/>
    </row>
    <row r="68" spans="2:10" ht="17.25" customHeight="1" x14ac:dyDescent="0.2">
      <c r="B68" s="1633" t="s">
        <v>676</v>
      </c>
      <c r="C68" s="1634"/>
      <c r="D68" s="1635">
        <v>557843.54</v>
      </c>
      <c r="E68" s="1636">
        <f>D72</f>
        <v>767770.3600000001</v>
      </c>
      <c r="F68" s="1637">
        <f>E72</f>
        <v>947002.92</v>
      </c>
      <c r="G68" s="1638">
        <f>F72</f>
        <v>761120.92</v>
      </c>
      <c r="H68" s="2175">
        <f>G72</f>
        <v>736257.92</v>
      </c>
      <c r="I68" s="2164"/>
      <c r="J68" s="2046"/>
    </row>
    <row r="69" spans="2:10" ht="17.25" customHeight="1" x14ac:dyDescent="0.2">
      <c r="B69" s="1609" t="s">
        <v>677</v>
      </c>
      <c r="C69" s="1610"/>
      <c r="D69" s="1611">
        <v>939081.73</v>
      </c>
      <c r="E69" s="1612">
        <v>958221.61</v>
      </c>
      <c r="F69" s="1613">
        <v>803000</v>
      </c>
      <c r="G69" s="1614">
        <f>ROUND(+F69*(1+'MYP Assumptions'!$F$47),0)</f>
        <v>820265</v>
      </c>
      <c r="H69" s="2171">
        <f>ROUND(+G69*(1+'MYP Assumptions'!$G$47),0)</f>
        <v>839541</v>
      </c>
      <c r="I69" s="2161"/>
      <c r="J69" s="2042" t="s">
        <v>1050</v>
      </c>
    </row>
    <row r="70" spans="2:10" ht="17.25" customHeight="1" x14ac:dyDescent="0.2">
      <c r="B70" s="1609" t="s">
        <v>678</v>
      </c>
      <c r="C70" s="1610"/>
      <c r="D70" s="1611">
        <v>729154.90999999992</v>
      </c>
      <c r="E70" s="1612">
        <v>778989.05</v>
      </c>
      <c r="F70" s="1613">
        <v>988882</v>
      </c>
      <c r="G70" s="1614">
        <f>+ROUNDUP((F70-171149)*(1+'MYP Assumptions'!F75),0)</f>
        <v>845128</v>
      </c>
      <c r="H70" s="2171">
        <f>+ROUNDUP(G70*(1+'MYP Assumptions'!G75),0)</f>
        <v>870651</v>
      </c>
      <c r="I70" s="2161"/>
      <c r="J70" s="2042" t="s">
        <v>1052</v>
      </c>
    </row>
    <row r="71" spans="2:10" ht="17.25" customHeight="1" x14ac:dyDescent="0.2">
      <c r="B71" s="1615" t="s">
        <v>679</v>
      </c>
      <c r="C71" s="1610"/>
      <c r="D71" s="1611">
        <f>D69-D70</f>
        <v>209926.82000000007</v>
      </c>
      <c r="E71" s="1612">
        <f>E69-E70</f>
        <v>179232.55999999994</v>
      </c>
      <c r="F71" s="1613">
        <f>F69-F70</f>
        <v>-185882</v>
      </c>
      <c r="G71" s="1614">
        <f>G69-G70</f>
        <v>-24863</v>
      </c>
      <c r="H71" s="2171">
        <f>H69-H70</f>
        <v>-31110</v>
      </c>
      <c r="I71" s="2161"/>
      <c r="J71" s="2042"/>
    </row>
    <row r="72" spans="2:10" ht="17.25" customHeight="1" x14ac:dyDescent="0.2">
      <c r="B72" s="1616" t="s">
        <v>680</v>
      </c>
      <c r="C72" s="1617"/>
      <c r="D72" s="1618">
        <f>D68+D71</f>
        <v>767770.3600000001</v>
      </c>
      <c r="E72" s="1619">
        <f>E68+E71</f>
        <v>947002.92</v>
      </c>
      <c r="F72" s="1620">
        <f>F68+F71</f>
        <v>761120.92</v>
      </c>
      <c r="G72" s="1621">
        <f>G68+G71</f>
        <v>736257.92</v>
      </c>
      <c r="H72" s="2172">
        <f>H68+H71</f>
        <v>705147.92</v>
      </c>
      <c r="I72" s="2162"/>
      <c r="J72" s="2043"/>
    </row>
    <row r="73" spans="2:10" ht="17.25" customHeight="1" x14ac:dyDescent="0.2">
      <c r="B73" s="1622"/>
      <c r="C73" s="1623"/>
      <c r="D73" s="1641"/>
      <c r="E73" s="1625"/>
      <c r="F73" s="1626"/>
      <c r="G73" s="1627"/>
      <c r="H73" s="2173"/>
      <c r="I73" s="1641"/>
      <c r="J73" s="2044"/>
    </row>
    <row r="74" spans="2:10" ht="17.25" customHeight="1" x14ac:dyDescent="0.2">
      <c r="B74" s="1588" t="s">
        <v>689</v>
      </c>
      <c r="C74" s="1589"/>
      <c r="D74" s="1590" t="str">
        <f>D2</f>
        <v>2015-2016</v>
      </c>
      <c r="E74" s="1591" t="str">
        <f>E2</f>
        <v>2016-2017</v>
      </c>
      <c r="F74" s="1592" t="str">
        <f>F2</f>
        <v>2017-2018</v>
      </c>
      <c r="G74" s="1593" t="str">
        <f>G2</f>
        <v>2018-2019</v>
      </c>
      <c r="H74" s="2168" t="str">
        <f>H2</f>
        <v>2019-2020</v>
      </c>
      <c r="I74" s="2158"/>
      <c r="J74" s="2039"/>
    </row>
    <row r="75" spans="2:10" ht="25.5" x14ac:dyDescent="0.2">
      <c r="B75" s="1628" t="s">
        <v>854</v>
      </c>
      <c r="C75" s="1629"/>
      <c r="D75" s="1630" t="str">
        <f>+$D$3</f>
        <v>Actual</v>
      </c>
      <c r="E75" s="1599" t="str">
        <f>+$E$3</f>
        <v>Unaudited Actuals</v>
      </c>
      <c r="F75" s="1631" t="str">
        <f>+$F$3</f>
        <v>Estimate</v>
      </c>
      <c r="G75" s="1632" t="str">
        <f>+$G67</f>
        <v>Estimate</v>
      </c>
      <c r="H75" s="2174" t="str">
        <f>+$H$3</f>
        <v>Estimate</v>
      </c>
      <c r="I75" s="2163"/>
      <c r="J75" s="2045"/>
    </row>
    <row r="76" spans="2:10" ht="17.25" customHeight="1" x14ac:dyDescent="0.2">
      <c r="B76" s="1633" t="s">
        <v>676</v>
      </c>
      <c r="C76" s="1634"/>
      <c r="D76" s="1660">
        <f>1301430-30.2</f>
        <v>1301399.8</v>
      </c>
      <c r="E76" s="1643">
        <f>D80</f>
        <v>1492602.8</v>
      </c>
      <c r="F76" s="1644">
        <f>E80</f>
        <v>1589190.15</v>
      </c>
      <c r="G76" s="1645">
        <f>F80</f>
        <v>1573353.15</v>
      </c>
      <c r="H76" s="2176">
        <f>G80</f>
        <v>1541265.15</v>
      </c>
      <c r="I76" s="2165"/>
      <c r="J76" s="2047"/>
    </row>
    <row r="77" spans="2:10" ht="17.25" customHeight="1" x14ac:dyDescent="0.2">
      <c r="B77" s="1609" t="s">
        <v>677</v>
      </c>
      <c r="C77" s="1610"/>
      <c r="D77" s="1661">
        <v>1324386.92</v>
      </c>
      <c r="E77" s="1612">
        <v>1280848.93</v>
      </c>
      <c r="F77" s="1613">
        <v>1310000</v>
      </c>
      <c r="G77" s="1614">
        <f>ROUND(+F77*(1+'MYP Assumptions'!$F$47),0)</f>
        <v>1338165</v>
      </c>
      <c r="H77" s="2171">
        <f>ROUND(+G77*(1+'MYP Assumptions'!$G$47),0)</f>
        <v>1369612</v>
      </c>
      <c r="I77" s="2161"/>
      <c r="J77" s="2042" t="s">
        <v>1050</v>
      </c>
    </row>
    <row r="78" spans="2:10" ht="17.25" customHeight="1" x14ac:dyDescent="0.2">
      <c r="B78" s="1609" t="s">
        <v>678</v>
      </c>
      <c r="C78" s="1610"/>
      <c r="D78" s="1661">
        <v>1133184</v>
      </c>
      <c r="E78" s="1612">
        <v>1184261.58</v>
      </c>
      <c r="F78" s="1613">
        <v>1325837</v>
      </c>
      <c r="G78" s="1614">
        <f>+ROUNDUP(F78*(1+'MYP Assumptions'!$F$75),0)</f>
        <v>1370253</v>
      </c>
      <c r="H78" s="2171">
        <f>+ROUNDUP(G78*(1+'MYP Assumptions'!$G$75),0)</f>
        <v>1411635</v>
      </c>
      <c r="I78" s="2161"/>
      <c r="J78" s="2042" t="s">
        <v>1051</v>
      </c>
    </row>
    <row r="79" spans="2:10" ht="17.25" customHeight="1" x14ac:dyDescent="0.2">
      <c r="B79" s="1615" t="s">
        <v>679</v>
      </c>
      <c r="C79" s="1610"/>
      <c r="D79" s="1662">
        <f>D77-D78</f>
        <v>191202.91999999993</v>
      </c>
      <c r="E79" s="1663">
        <f>E77-E78</f>
        <v>96587.34999999986</v>
      </c>
      <c r="F79" s="1664">
        <f>F77-F78</f>
        <v>-15837</v>
      </c>
      <c r="G79" s="1614">
        <f>G77-G78</f>
        <v>-32088</v>
      </c>
      <c r="H79" s="2171">
        <f>H77-H78</f>
        <v>-42023</v>
      </c>
      <c r="I79" s="2161"/>
      <c r="J79" s="2042"/>
    </row>
    <row r="80" spans="2:10" ht="17.25" customHeight="1" x14ac:dyDescent="0.2">
      <c r="B80" s="1639" t="s">
        <v>680</v>
      </c>
      <c r="C80" s="1617"/>
      <c r="D80" s="1665">
        <f>D76+D79+0.08</f>
        <v>1492602.8</v>
      </c>
      <c r="E80" s="1666">
        <f>E76+E79</f>
        <v>1589190.15</v>
      </c>
      <c r="F80" s="1667">
        <f>F76+F79</f>
        <v>1573353.15</v>
      </c>
      <c r="G80" s="1621">
        <f>G76+G79</f>
        <v>1541265.15</v>
      </c>
      <c r="H80" s="2172">
        <f>H76+H79</f>
        <v>1499242.15</v>
      </c>
      <c r="I80" s="2162"/>
      <c r="J80" s="2043"/>
    </row>
    <row r="81" spans="2:10" ht="10.5" customHeight="1" x14ac:dyDescent="0.2">
      <c r="B81" s="1622"/>
      <c r="C81" s="1623"/>
      <c r="D81" s="1641"/>
      <c r="E81" s="1641"/>
      <c r="F81" s="1641"/>
      <c r="G81" s="1641"/>
      <c r="H81" s="2179"/>
      <c r="I81" s="1641"/>
      <c r="J81" s="2044"/>
    </row>
    <row r="82" spans="2:10" ht="7.5" customHeight="1" x14ac:dyDescent="0.2"/>
    <row r="83" spans="2:10" ht="17.25" hidden="1" customHeight="1" x14ac:dyDescent="0.2"/>
  </sheetData>
  <sheetProtection password="B79F" sheet="1" objects="1" scenarios="1"/>
  <mergeCells count="1">
    <mergeCell ref="B1:J1"/>
  </mergeCells>
  <printOptions horizontalCentered="1" verticalCentered="1"/>
  <pageMargins left="0.17" right="0.17" top="0.5" bottom="0.31" header="0.25" footer="0.17"/>
  <pageSetup scale="63" orientation="portrait" r:id="rId1"/>
  <headerFooter>
    <oddHeader>&amp;L&amp;F</oddHeader>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AC126"/>
  <sheetViews>
    <sheetView zoomScaleNormal="100" workbookViewId="0">
      <selection activeCell="I17" sqref="I17"/>
    </sheetView>
  </sheetViews>
  <sheetFormatPr defaultRowHeight="15" x14ac:dyDescent="0.25"/>
  <cols>
    <col min="1" max="1" width="1.7109375" style="146" customWidth="1"/>
    <col min="2" max="2" width="8.5703125" style="20" customWidth="1"/>
    <col min="3" max="3" width="18.28515625" style="339" customWidth="1"/>
    <col min="4" max="4" width="16" style="2" customWidth="1"/>
    <col min="5" max="5" width="17.7109375" style="339" customWidth="1"/>
    <col min="6" max="6" width="6" style="39" customWidth="1"/>
    <col min="7" max="7" width="9.42578125" style="52" bestFit="1" customWidth="1"/>
    <col min="8" max="8" width="13.85546875" style="122" bestFit="1" customWidth="1"/>
    <col min="9" max="9" width="26" style="344" customWidth="1"/>
    <col min="10" max="10" width="5.7109375" style="59" customWidth="1"/>
    <col min="11" max="11" width="8.7109375" style="377" bestFit="1" customWidth="1"/>
    <col min="12" max="12" width="14" style="123" bestFit="1" customWidth="1"/>
    <col min="13" max="13" width="26" style="339" customWidth="1"/>
    <col min="14" max="14" width="5.7109375" style="39" customWidth="1"/>
    <col min="15" max="15" width="9.42578125" style="377" bestFit="1" customWidth="1"/>
    <col min="16" max="16" width="14" style="2" bestFit="1" customWidth="1"/>
    <col min="17" max="17" width="24.85546875" style="339" hidden="1" customWidth="1"/>
    <col min="18" max="18" width="5.7109375" style="109" customWidth="1"/>
    <col min="19" max="19" width="9.42578125" style="39" hidden="1" customWidth="1"/>
    <col min="20" max="20" width="14" style="39" hidden="1" customWidth="1"/>
    <col min="21" max="21" width="24.85546875" style="39" hidden="1" customWidth="1"/>
    <col min="22" max="22" width="5.7109375" style="39" hidden="1" customWidth="1"/>
    <col min="23" max="23" width="9.42578125" style="39" hidden="1" customWidth="1"/>
    <col min="24" max="24" width="14" style="39" hidden="1" customWidth="1"/>
    <col min="25" max="25" width="24.85546875" style="39" hidden="1" customWidth="1"/>
    <col min="26" max="26" width="5.7109375" style="39" hidden="1" customWidth="1"/>
    <col min="27" max="27" width="9.42578125" style="39" hidden="1" customWidth="1"/>
    <col min="28" max="28" width="14" style="39" hidden="1" customWidth="1"/>
    <col min="29" max="29" width="24.85546875" style="39" hidden="1" customWidth="1"/>
    <col min="30" max="16384" width="9.140625" style="39"/>
  </cols>
  <sheetData>
    <row r="1" spans="1:29" x14ac:dyDescent="0.25">
      <c r="B1" s="20" t="s">
        <v>61</v>
      </c>
      <c r="C1" s="337">
        <v>0</v>
      </c>
      <c r="D1" s="97">
        <v>0</v>
      </c>
      <c r="E1" s="352"/>
      <c r="F1" s="98"/>
      <c r="G1" s="369"/>
      <c r="H1" s="99">
        <v>0</v>
      </c>
      <c r="I1" s="352"/>
      <c r="L1" s="122">
        <v>0</v>
      </c>
      <c r="M1" s="352"/>
      <c r="P1" s="122">
        <v>0</v>
      </c>
      <c r="Q1" s="352"/>
      <c r="T1" s="86">
        <v>0</v>
      </c>
      <c r="U1" s="98"/>
      <c r="X1" s="86">
        <v>0</v>
      </c>
      <c r="Y1" s="98"/>
      <c r="AB1" s="86">
        <v>0</v>
      </c>
      <c r="AC1" s="98"/>
    </row>
    <row r="2" spans="1:29" ht="17.25" x14ac:dyDescent="0.4">
      <c r="B2" s="102" t="s">
        <v>59</v>
      </c>
      <c r="C2" s="338">
        <v>0</v>
      </c>
      <c r="D2" s="99">
        <v>0</v>
      </c>
      <c r="E2" s="352"/>
      <c r="F2" s="98"/>
      <c r="G2" s="370"/>
      <c r="H2" s="99">
        <v>0</v>
      </c>
      <c r="I2" s="352"/>
      <c r="L2" s="87">
        <v>0</v>
      </c>
      <c r="M2" s="352"/>
      <c r="P2" s="87">
        <v>0</v>
      </c>
      <c r="Q2" s="352"/>
      <c r="T2" s="87">
        <v>0</v>
      </c>
      <c r="U2" s="98"/>
      <c r="X2" s="87">
        <v>0</v>
      </c>
      <c r="Y2" s="98"/>
      <c r="AB2" s="87">
        <v>0</v>
      </c>
      <c r="AC2" s="98"/>
    </row>
    <row r="3" spans="1:29" x14ac:dyDescent="0.25">
      <c r="D3" s="323">
        <f>+SUM(D1:D2)</f>
        <v>0</v>
      </c>
      <c r="E3" s="353"/>
      <c r="F3" s="100"/>
      <c r="G3" s="83"/>
      <c r="H3" s="323">
        <f>+SUM(H1:H2)</f>
        <v>0</v>
      </c>
      <c r="I3" s="361"/>
      <c r="L3" s="122">
        <f>SUM(L1:L2)</f>
        <v>0</v>
      </c>
      <c r="M3" s="344"/>
      <c r="P3" s="122">
        <f>SUM(P1:P2)</f>
        <v>0</v>
      </c>
      <c r="Q3" s="344"/>
      <c r="T3" s="86">
        <f>SUM(T1:T2)</f>
        <v>0</v>
      </c>
      <c r="U3" s="51"/>
      <c r="X3" s="86">
        <f>SUM(X1:X2)</f>
        <v>0</v>
      </c>
      <c r="Y3" s="51"/>
      <c r="AB3" s="86">
        <f>SUM(AB1:AB2)</f>
        <v>0</v>
      </c>
      <c r="AC3" s="51"/>
    </row>
    <row r="4" spans="1:29" x14ac:dyDescent="0.25">
      <c r="L4" s="122"/>
      <c r="M4" s="344"/>
      <c r="P4" s="122"/>
      <c r="Q4" s="344"/>
      <c r="T4" s="86"/>
      <c r="U4" s="51"/>
      <c r="X4" s="86"/>
      <c r="Y4" s="51"/>
      <c r="AB4" s="86"/>
      <c r="AC4" s="51"/>
    </row>
    <row r="5" spans="1:29" ht="15.75" x14ac:dyDescent="0.25">
      <c r="B5" s="101" t="s">
        <v>56</v>
      </c>
      <c r="P5" s="123"/>
      <c r="T5" s="73"/>
      <c r="X5" s="73"/>
      <c r="AB5" s="73"/>
    </row>
    <row r="6" spans="1:29" s="89" customFormat="1" ht="15.75" x14ac:dyDescent="0.25">
      <c r="A6" s="147"/>
      <c r="B6" s="340"/>
      <c r="C6" s="340"/>
      <c r="D6" s="284" t="s">
        <v>55</v>
      </c>
      <c r="E6" s="354"/>
      <c r="G6" s="371"/>
      <c r="H6" s="324" t="str">
        <f>LEFT(D6,4)+1&amp;"-"&amp;RIGHT(D6,4)+1</f>
        <v>2017-2018</v>
      </c>
      <c r="I6" s="362"/>
      <c r="J6" s="93"/>
      <c r="K6" s="378"/>
      <c r="L6" s="124" t="str">
        <f>LEFT(H6,4)+1&amp;"-"&amp;RIGHT(H6,4)+1</f>
        <v>2018-2019</v>
      </c>
      <c r="M6" s="364"/>
      <c r="N6" s="96"/>
      <c r="O6" s="381"/>
      <c r="P6" s="124" t="str">
        <f>LEFT(L6,4)+1&amp;"-"&amp;RIGHT(L6,4)+1</f>
        <v>2019-2020</v>
      </c>
      <c r="Q6" s="364"/>
      <c r="R6" s="110"/>
      <c r="S6" s="95"/>
      <c r="T6" s="95" t="str">
        <f>LEFT(P6,4)+1&amp;"-"&amp;RIGHT(P6,4)+1</f>
        <v>2020-2021</v>
      </c>
      <c r="U6" s="95"/>
      <c r="V6" s="96"/>
      <c r="W6" s="95"/>
      <c r="X6" s="95" t="str">
        <f>LEFT(T6,4)+1&amp;"-"&amp;RIGHT(T6,4)+1</f>
        <v>2021-2022</v>
      </c>
      <c r="Y6" s="95"/>
      <c r="Z6" s="96"/>
      <c r="AA6" s="95"/>
      <c r="AB6" s="95" t="str">
        <f>LEFT(X6,4)+1&amp;"-"&amp;RIGHT(X6,4)+1</f>
        <v>2022-2023</v>
      </c>
      <c r="AC6" s="95"/>
    </row>
    <row r="7" spans="1:29" x14ac:dyDescent="0.25">
      <c r="B7" s="21" t="s">
        <v>54</v>
      </c>
      <c r="D7" s="2">
        <v>0</v>
      </c>
      <c r="E7" s="355"/>
      <c r="H7" s="2">
        <f>D89</f>
        <v>0</v>
      </c>
      <c r="I7" s="355"/>
      <c r="J7" s="60"/>
      <c r="L7" s="2">
        <f>H89</f>
        <v>0</v>
      </c>
      <c r="M7" s="355"/>
      <c r="P7" s="2">
        <f>L89</f>
        <v>0</v>
      </c>
      <c r="Q7" s="355"/>
      <c r="T7" s="2">
        <f>P89</f>
        <v>0</v>
      </c>
      <c r="U7" s="105"/>
      <c r="X7" s="2">
        <f>T89</f>
        <v>0</v>
      </c>
      <c r="Y7" s="105"/>
      <c r="AB7" s="2">
        <f>X89</f>
        <v>0</v>
      </c>
      <c r="AC7" s="105"/>
    </row>
    <row r="8" spans="1:29" x14ac:dyDescent="0.25">
      <c r="E8" s="355"/>
      <c r="H8" s="2"/>
      <c r="I8" s="355"/>
      <c r="L8" s="2"/>
      <c r="M8" s="355"/>
      <c r="Q8" s="355"/>
      <c r="U8" s="105"/>
      <c r="Y8" s="105"/>
      <c r="AC8" s="105"/>
    </row>
    <row r="9" spans="1:29" x14ac:dyDescent="0.25">
      <c r="B9" s="20" t="s">
        <v>52</v>
      </c>
      <c r="C9" s="339" t="s">
        <v>53</v>
      </c>
      <c r="D9" s="2">
        <f>D3</f>
        <v>0</v>
      </c>
      <c r="E9" s="355"/>
      <c r="G9" s="83" t="str">
        <f>IF(D9=0,"0.00%",(H9-D9)/D9)</f>
        <v>0.00%</v>
      </c>
      <c r="H9" s="3">
        <f>H3</f>
        <v>0</v>
      </c>
      <c r="I9" s="355"/>
      <c r="J9" s="61"/>
      <c r="K9" s="83" t="str">
        <f>IF(H9=0,"0.00%",(L9-H9)/H9)</f>
        <v>0.00%</v>
      </c>
      <c r="L9" s="3">
        <f>L3</f>
        <v>0</v>
      </c>
      <c r="M9" s="355"/>
      <c r="O9" s="83" t="str">
        <f>IF(L9=0,"0.00%",(P9-L9)/L9)</f>
        <v>0.00%</v>
      </c>
      <c r="P9" s="3">
        <f>P3</f>
        <v>0</v>
      </c>
      <c r="Q9" s="355"/>
      <c r="S9" s="83" t="str">
        <f>IF(P9=0,"0.00%",(T9-P9)/P9)</f>
        <v>0.00%</v>
      </c>
      <c r="T9" s="3">
        <f>T3</f>
        <v>0</v>
      </c>
      <c r="U9" s="105"/>
      <c r="W9" s="83" t="str">
        <f>IF(T9=0,"0.00%",(X9-T9)/T9)</f>
        <v>0.00%</v>
      </c>
      <c r="X9" s="3">
        <f>X3</f>
        <v>0</v>
      </c>
      <c r="Y9" s="105"/>
      <c r="AA9" s="83" t="str">
        <f>IF(X9=0,"0.00%",(AB9-X9)/X9)</f>
        <v>0.00%</v>
      </c>
      <c r="AB9" s="3">
        <f>AB3</f>
        <v>0</v>
      </c>
      <c r="AC9" s="105"/>
    </row>
    <row r="10" spans="1:29" x14ac:dyDescent="0.25">
      <c r="C10" s="339" t="s">
        <v>51</v>
      </c>
      <c r="D10" s="2">
        <v>0</v>
      </c>
      <c r="E10" s="355"/>
      <c r="G10" s="83" t="str">
        <f t="shared" ref="G10:G15" si="0">IF(D10=0,"0.00%",(H10-D10)/D10)</f>
        <v>0.00%</v>
      </c>
      <c r="H10" s="3">
        <v>0</v>
      </c>
      <c r="I10" s="355"/>
      <c r="J10" s="61"/>
      <c r="K10" s="83" t="str">
        <f>IF(H10=0,"0.00%",(L10-H10)/H10)</f>
        <v>0.00%</v>
      </c>
      <c r="L10" s="3">
        <f>-H2</f>
        <v>0</v>
      </c>
      <c r="M10" s="355"/>
      <c r="O10" s="83" t="str">
        <f>IF(L10=0,"0.00%",(P10-L10)/L10)</f>
        <v>0.00%</v>
      </c>
      <c r="P10" s="3">
        <f>-L2</f>
        <v>0</v>
      </c>
      <c r="Q10" s="355"/>
      <c r="S10" s="83" t="str">
        <f>IF(P10=0,"0.00%",(T10-P10)/P10)</f>
        <v>0.00%</v>
      </c>
      <c r="T10" s="3">
        <f>-P2</f>
        <v>0</v>
      </c>
      <c r="U10" s="105"/>
      <c r="W10" s="83" t="str">
        <f>IF(T10=0,"0.00%",(X10-T10)/T10)</f>
        <v>0.00%</v>
      </c>
      <c r="X10" s="3">
        <f>-T2</f>
        <v>0</v>
      </c>
      <c r="Y10" s="105"/>
      <c r="AA10" s="83" t="str">
        <f>IF(X10=0,"0.00%",(AB10-X10)/X10)</f>
        <v>0.00%</v>
      </c>
      <c r="AB10" s="3">
        <f>-X2</f>
        <v>0</v>
      </c>
      <c r="AC10" s="105"/>
    </row>
    <row r="11" spans="1:29" x14ac:dyDescent="0.25">
      <c r="B11" s="21" t="s">
        <v>137</v>
      </c>
      <c r="D11" s="8">
        <f>SUM(D9:D10)</f>
        <v>0</v>
      </c>
      <c r="E11" s="355"/>
      <c r="G11" s="83" t="str">
        <f t="shared" si="0"/>
        <v>0.00%</v>
      </c>
      <c r="H11" s="8">
        <f>SUM(H9:H10)</f>
        <v>0</v>
      </c>
      <c r="I11" s="355"/>
      <c r="J11" s="62"/>
      <c r="K11" s="83" t="str">
        <f>IF(H11=0,"0.00%",(L11-H11)/H11)</f>
        <v>0.00%</v>
      </c>
      <c r="L11" s="8">
        <f>SUM(L9:L10)</f>
        <v>0</v>
      </c>
      <c r="M11" s="355"/>
      <c r="O11" s="83" t="str">
        <f>IF(L11=0,"0.00%",(P11-L11)/L11)</f>
        <v>0.00%</v>
      </c>
      <c r="P11" s="8">
        <f>SUM(P9:P10)</f>
        <v>0</v>
      </c>
      <c r="Q11" s="355"/>
      <c r="S11" s="83" t="str">
        <f>IF(P11=0,"0.00%",(T11-P11)/P11)</f>
        <v>0.00%</v>
      </c>
      <c r="T11" s="78">
        <f>SUM(T9:T10)</f>
        <v>0</v>
      </c>
      <c r="U11" s="105"/>
      <c r="W11" s="83" t="str">
        <f>IF(T11=0,"0.00%",(X11-T11)/T11)</f>
        <v>0.00%</v>
      </c>
      <c r="X11" s="78">
        <f>SUM(X9:X10)</f>
        <v>0</v>
      </c>
      <c r="Y11" s="105"/>
      <c r="AA11" s="83" t="str">
        <f>IF(X11=0,"0.00%",(AB11-X11)/X11)</f>
        <v>0.00%</v>
      </c>
      <c r="AB11" s="78">
        <f>SUM(AB9:AB10)</f>
        <v>0</v>
      </c>
      <c r="AC11" s="105"/>
    </row>
    <row r="12" spans="1:29" x14ac:dyDescent="0.25">
      <c r="E12" s="355"/>
      <c r="H12" s="3"/>
      <c r="I12" s="355"/>
      <c r="J12" s="63"/>
      <c r="K12" s="52"/>
      <c r="L12" s="3"/>
      <c r="M12" s="355"/>
      <c r="O12" s="52"/>
      <c r="P12" s="3"/>
      <c r="Q12" s="355"/>
      <c r="S12" s="46"/>
      <c r="T12" s="44"/>
      <c r="U12" s="105"/>
      <c r="W12" s="46"/>
      <c r="X12" s="44"/>
      <c r="Y12" s="105"/>
      <c r="AA12" s="46"/>
      <c r="AB12" s="44"/>
      <c r="AC12" s="105"/>
    </row>
    <row r="13" spans="1:29" x14ac:dyDescent="0.25">
      <c r="B13" s="52">
        <v>3.6999999999999998E-2</v>
      </c>
      <c r="C13" s="341" t="s">
        <v>64</v>
      </c>
      <c r="D13" s="9">
        <f>ROUND(D11-(D11/(1+B13)),0)</f>
        <v>0</v>
      </c>
      <c r="E13" s="355"/>
      <c r="G13" s="83" t="str">
        <f t="shared" si="0"/>
        <v>0.00%</v>
      </c>
      <c r="H13" s="9">
        <f>ROUND(H11-(H11/(1+B13)),0)</f>
        <v>0</v>
      </c>
      <c r="I13" s="355"/>
      <c r="J13" s="64"/>
      <c r="K13" s="83" t="str">
        <f>IF(H13=0,"0.00%",(L13-H13)/H13)</f>
        <v>0.00%</v>
      </c>
      <c r="L13" s="9">
        <f>ROUND(L11-(L11/(1+B13)),0)</f>
        <v>0</v>
      </c>
      <c r="M13" s="355"/>
      <c r="O13" s="83" t="str">
        <f>IF(L13=0,"0.00%",(P13-L13)/L13)</f>
        <v>0.00%</v>
      </c>
      <c r="P13" s="9">
        <f>ROUND(P11-(P11/(1+B13)),0)</f>
        <v>0</v>
      </c>
      <c r="Q13" s="355"/>
      <c r="S13" s="83" t="str">
        <f>IF(P13=0,"0.00%",(T13-P13)/P13)</f>
        <v>0.00%</v>
      </c>
      <c r="T13" s="77">
        <f>ROUND(T11-(T11/(1+B13)),0)</f>
        <v>0</v>
      </c>
      <c r="U13" s="105"/>
      <c r="W13" s="83" t="str">
        <f>IF(T13=0,"0.00%",(X13-T13)/T13)</f>
        <v>0.00%</v>
      </c>
      <c r="X13" s="77">
        <f>ROUND(X11-(X11/(1+B13)),0)</f>
        <v>0</v>
      </c>
      <c r="Y13" s="105"/>
      <c r="AA13" s="83" t="str">
        <f>IF(X13=0,"0.00%",(AB13-X13)/X13)</f>
        <v>0.00%</v>
      </c>
      <c r="AB13" s="77">
        <f>ROUND(AB11-(AB11/(1+G13)),0)</f>
        <v>0</v>
      </c>
      <c r="AC13" s="105"/>
    </row>
    <row r="14" spans="1:29" x14ac:dyDescent="0.25">
      <c r="E14" s="355"/>
      <c r="H14" s="3"/>
      <c r="I14" s="355"/>
      <c r="J14" s="63"/>
      <c r="K14" s="52"/>
      <c r="L14" s="3"/>
      <c r="M14" s="355"/>
      <c r="O14" s="52"/>
      <c r="P14" s="3"/>
      <c r="Q14" s="355"/>
      <c r="S14" s="46"/>
      <c r="T14" s="44"/>
      <c r="U14" s="105"/>
      <c r="W14" s="46"/>
      <c r="X14" s="44"/>
      <c r="Y14" s="105"/>
      <c r="AA14" s="46"/>
      <c r="AB14" s="44"/>
      <c r="AC14" s="105"/>
    </row>
    <row r="15" spans="1:29" x14ac:dyDescent="0.25">
      <c r="B15" s="21" t="s">
        <v>50</v>
      </c>
      <c r="D15" s="10">
        <f>D11-D13</f>
        <v>0</v>
      </c>
      <c r="E15" s="355"/>
      <c r="G15" s="83" t="str">
        <f t="shared" si="0"/>
        <v>0.00%</v>
      </c>
      <c r="H15" s="9">
        <f>H11-H13</f>
        <v>0</v>
      </c>
      <c r="I15" s="355"/>
      <c r="J15" s="62"/>
      <c r="K15" s="83" t="str">
        <f>IF(H15=0,"0.00%",(L15-H15)/H15)</f>
        <v>0.00%</v>
      </c>
      <c r="L15" s="9">
        <f>L11-L13</f>
        <v>0</v>
      </c>
      <c r="M15" s="355"/>
      <c r="O15" s="83" t="str">
        <f>IF(L15=0,"0.00%",(P15-L15)/L15)</f>
        <v>0.00%</v>
      </c>
      <c r="P15" s="9">
        <f>P11-P13</f>
        <v>0</v>
      </c>
      <c r="Q15" s="355"/>
      <c r="S15" s="83" t="str">
        <f>IF(P15=0,"0.00%",(T15-P15)/P15)</f>
        <v>0.00%</v>
      </c>
      <c r="T15" s="19">
        <f>T11-T13</f>
        <v>0</v>
      </c>
      <c r="U15" s="105"/>
      <c r="W15" s="83" t="str">
        <f>IF(T15=0,"0.00%",(X15-T15)/T15)</f>
        <v>0.00%</v>
      </c>
      <c r="X15" s="19">
        <f>X11-X13</f>
        <v>0</v>
      </c>
      <c r="Y15" s="105"/>
      <c r="AA15" s="83" t="str">
        <f>IF(X15=0,"0.00%",(AB15-X15)/X15)</f>
        <v>0.00%</v>
      </c>
      <c r="AB15" s="19">
        <f>AB11-AB13</f>
        <v>0</v>
      </c>
      <c r="AC15" s="105"/>
    </row>
    <row r="16" spans="1:29" x14ac:dyDescent="0.25">
      <c r="E16" s="355"/>
      <c r="H16" s="3"/>
      <c r="I16" s="355"/>
      <c r="J16" s="62"/>
      <c r="L16" s="3"/>
      <c r="M16" s="355"/>
      <c r="P16" s="3"/>
      <c r="Q16" s="355"/>
      <c r="T16" s="49"/>
      <c r="U16" s="105"/>
      <c r="X16" s="49"/>
      <c r="Y16" s="105"/>
      <c r="AB16" s="49"/>
      <c r="AC16" s="105"/>
    </row>
    <row r="17" spans="1:29" x14ac:dyDescent="0.25">
      <c r="C17" s="20"/>
      <c r="E17" s="355"/>
      <c r="H17" s="3"/>
      <c r="I17" s="355"/>
      <c r="J17" s="63"/>
      <c r="L17" s="3"/>
      <c r="M17" s="355"/>
      <c r="P17" s="3"/>
      <c r="Q17" s="355"/>
      <c r="T17" s="44"/>
      <c r="U17" s="105"/>
      <c r="X17" s="44"/>
      <c r="Y17" s="105"/>
      <c r="AB17" s="44"/>
      <c r="AC17" s="105"/>
    </row>
    <row r="18" spans="1:29" x14ac:dyDescent="0.25">
      <c r="A18" s="148"/>
      <c r="D18" s="29" t="s">
        <v>177</v>
      </c>
      <c r="E18" s="349"/>
      <c r="F18" s="32"/>
      <c r="I18" s="349"/>
      <c r="J18" s="65"/>
      <c r="M18" s="349"/>
      <c r="Q18" s="349"/>
      <c r="U18" s="106"/>
      <c r="Y18" s="106"/>
      <c r="AC18" s="106"/>
    </row>
    <row r="19" spans="1:29" ht="17.25" x14ac:dyDescent="0.4">
      <c r="A19" s="149"/>
      <c r="D19" s="35" t="s">
        <v>48</v>
      </c>
      <c r="E19" s="350"/>
      <c r="F19" s="34"/>
      <c r="H19" s="14" t="s">
        <v>48</v>
      </c>
      <c r="I19" s="104">
        <v>0.02</v>
      </c>
      <c r="J19" s="29"/>
      <c r="L19" s="14" t="s">
        <v>48</v>
      </c>
      <c r="M19" s="104">
        <v>0.02</v>
      </c>
      <c r="P19" s="14" t="s">
        <v>48</v>
      </c>
      <c r="Q19" s="104">
        <v>0.02</v>
      </c>
      <c r="T19" s="14" t="s">
        <v>48</v>
      </c>
      <c r="U19" s="104">
        <v>0.02</v>
      </c>
      <c r="X19" s="14" t="s">
        <v>48</v>
      </c>
      <c r="Y19" s="104">
        <v>0.02</v>
      </c>
      <c r="AB19" s="14" t="s">
        <v>48</v>
      </c>
      <c r="AC19" s="104">
        <v>0.02</v>
      </c>
    </row>
    <row r="20" spans="1:29" s="13" customFormat="1" x14ac:dyDescent="0.25">
      <c r="A20" s="150"/>
      <c r="B20" s="21" t="s">
        <v>46</v>
      </c>
      <c r="C20" s="341"/>
      <c r="D20" s="10"/>
      <c r="E20" s="334"/>
      <c r="F20" s="10"/>
      <c r="G20" s="372"/>
      <c r="H20" s="10"/>
      <c r="I20" s="335"/>
      <c r="J20" s="57"/>
      <c r="K20" s="379"/>
      <c r="L20" s="10"/>
      <c r="M20" s="365"/>
      <c r="O20" s="379"/>
      <c r="P20" s="10"/>
      <c r="Q20" s="365"/>
      <c r="R20" s="111"/>
      <c r="T20" s="10"/>
      <c r="U20" s="74"/>
      <c r="X20" s="10"/>
      <c r="Y20" s="74"/>
      <c r="AB20" s="10"/>
      <c r="AC20" s="74"/>
    </row>
    <row r="21" spans="1:29" x14ac:dyDescent="0.25">
      <c r="A21" s="151"/>
      <c r="B21" s="12"/>
      <c r="D21" s="2">
        <v>0</v>
      </c>
      <c r="E21" s="333"/>
      <c r="F21" s="2"/>
      <c r="G21" s="83" t="str">
        <f t="shared" ref="G21:G30" si="1">IF(D21=0,"0.00%",(H21-D21)/D21)</f>
        <v>0.00%</v>
      </c>
      <c r="H21" s="2">
        <f t="shared" ref="H21:H27" si="2">ROUND(D21*(1+$I$19),0)</f>
        <v>0</v>
      </c>
      <c r="I21" s="382" t="str">
        <f t="shared" ref="I21:I28" si="3">TEXT($I$19,"0.0%")&amp;" = Est. S &amp; C"</f>
        <v>2.0% = Est. S &amp; C</v>
      </c>
      <c r="J21" s="66"/>
      <c r="K21" s="83" t="str">
        <f t="shared" ref="K21:K27" si="4">IF(H21=0,"0.00%",(L21-H21)/H21)</f>
        <v>0.00%</v>
      </c>
      <c r="L21" s="2">
        <f>ROUND(H21*(1+M19),0)</f>
        <v>0</v>
      </c>
      <c r="M21" s="336" t="str">
        <f>TEXT(M19,"0.0%")&amp;" = Est. S &amp; C"</f>
        <v>2.0% = Est. S &amp; C</v>
      </c>
      <c r="O21" s="83" t="str">
        <f t="shared" ref="O21:O27" si="5">IF(L21=0,"0.00%",(P21-L21)/L21)</f>
        <v>0.00%</v>
      </c>
      <c r="P21" s="2">
        <f>ROUND(L21*(1+Q19),0)</f>
        <v>0</v>
      </c>
      <c r="Q21" s="336" t="str">
        <f>TEXT(Q19,"0.0%")&amp;" = Est. S &amp; C"</f>
        <v>2.0% = Est. S &amp; C</v>
      </c>
      <c r="S21" s="83" t="str">
        <f t="shared" ref="S21:S27" si="6">IF(P21=0,"0.00%",(T21-P21)/P21)</f>
        <v>0.00%</v>
      </c>
      <c r="T21" s="2">
        <f>ROUND(P21*(1+U19),0)</f>
        <v>0</v>
      </c>
      <c r="U21" s="36" t="str">
        <f>TEXT(U19,"0.0%")&amp;" = Est. S &amp; C"</f>
        <v>2.0% = Est. S &amp; C</v>
      </c>
      <c r="W21" s="83" t="str">
        <f t="shared" ref="W21:W27" si="7">IF(T21=0,"0.00%",(X21-T21)/T21)</f>
        <v>0.00%</v>
      </c>
      <c r="X21" s="2">
        <f>ROUND(T21*(1+Y19),0)</f>
        <v>0</v>
      </c>
      <c r="Y21" s="36" t="str">
        <f>TEXT(Y19,"0.0%")&amp;" = Est. S &amp; C"</f>
        <v>2.0% = Est. S &amp; C</v>
      </c>
      <c r="AA21" s="83" t="str">
        <f t="shared" ref="AA21:AA27" si="8">IF(X21=0,"0.00%",(AB21-X21)/X21)</f>
        <v>0.00%</v>
      </c>
      <c r="AB21" s="2">
        <f>ROUND(X21*(1+AC19),0)</f>
        <v>0</v>
      </c>
      <c r="AC21" s="36" t="str">
        <f>TEXT(AC19,"0.0%")&amp;" = Est. S &amp; C"</f>
        <v>2.0% = Est. S &amp; C</v>
      </c>
    </row>
    <row r="22" spans="1:29" x14ac:dyDescent="0.25">
      <c r="A22" s="152"/>
      <c r="B22" s="12"/>
      <c r="D22" s="2">
        <v>0</v>
      </c>
      <c r="E22" s="333"/>
      <c r="F22" s="2"/>
      <c r="G22" s="83" t="str">
        <f t="shared" si="1"/>
        <v>0.00%</v>
      </c>
      <c r="H22" s="2">
        <f t="shared" si="2"/>
        <v>0</v>
      </c>
      <c r="I22" s="336" t="str">
        <f t="shared" si="3"/>
        <v>2.0% = Est. S &amp; C</v>
      </c>
      <c r="J22" s="66"/>
      <c r="K22" s="83" t="str">
        <f t="shared" si="4"/>
        <v>0.00%</v>
      </c>
      <c r="L22" s="2">
        <f>ROUND(H22*(1+M19),0)</f>
        <v>0</v>
      </c>
      <c r="M22" s="336" t="str">
        <f>TEXT(M19,"0.0%")&amp;" = Est. S &amp; C"</f>
        <v>2.0% = Est. S &amp; C</v>
      </c>
      <c r="O22" s="83" t="str">
        <f t="shared" si="5"/>
        <v>0.00%</v>
      </c>
      <c r="P22" s="2">
        <f>ROUND(L22*(1+Q19),0)</f>
        <v>0</v>
      </c>
      <c r="Q22" s="336" t="str">
        <f>TEXT(Q19,"0.0%")&amp;" = Est. S &amp; C"</f>
        <v>2.0% = Est. S &amp; C</v>
      </c>
      <c r="S22" s="83" t="str">
        <f t="shared" si="6"/>
        <v>0.00%</v>
      </c>
      <c r="T22" s="2">
        <f>ROUND(P22*(1+U19),0)</f>
        <v>0</v>
      </c>
      <c r="U22" s="36" t="str">
        <f>TEXT(U19,"0.0%")&amp;" = Est. S &amp; C"</f>
        <v>2.0% = Est. S &amp; C</v>
      </c>
      <c r="W22" s="83" t="str">
        <f t="shared" si="7"/>
        <v>0.00%</v>
      </c>
      <c r="X22" s="2">
        <f>ROUND(T22*(1+Y19),0)</f>
        <v>0</v>
      </c>
      <c r="Y22" s="36" t="str">
        <f>TEXT(Y19,"0.0%")&amp;" = Est. S &amp; C"</f>
        <v>2.0% = Est. S &amp; C</v>
      </c>
      <c r="AA22" s="83" t="str">
        <f t="shared" si="8"/>
        <v>0.00%</v>
      </c>
      <c r="AB22" s="2">
        <f>ROUND(X22*(1+AC19),0)</f>
        <v>0</v>
      </c>
      <c r="AC22" s="36" t="str">
        <f>TEXT(AC19,"0.0%")&amp;" = Est. S &amp; C"</f>
        <v>2.0% = Est. S &amp; C</v>
      </c>
    </row>
    <row r="23" spans="1:29" x14ac:dyDescent="0.25">
      <c r="A23" s="152"/>
      <c r="B23" s="12"/>
      <c r="D23" s="2">
        <v>0</v>
      </c>
      <c r="E23" s="333"/>
      <c r="F23" s="2"/>
      <c r="G23" s="83" t="str">
        <f t="shared" si="1"/>
        <v>0.00%</v>
      </c>
      <c r="H23" s="2">
        <f t="shared" si="2"/>
        <v>0</v>
      </c>
      <c r="I23" s="336" t="str">
        <f t="shared" si="3"/>
        <v>2.0% = Est. S &amp; C</v>
      </c>
      <c r="J23" s="66"/>
      <c r="K23" s="83" t="str">
        <f t="shared" si="4"/>
        <v>0.00%</v>
      </c>
      <c r="L23" s="2">
        <f>ROUND(H23*(1+M19),0)</f>
        <v>0</v>
      </c>
      <c r="M23" s="336" t="str">
        <f>TEXT(M19,"0.0%")&amp;" = Est. S &amp; C"</f>
        <v>2.0% = Est. S &amp; C</v>
      </c>
      <c r="O23" s="83" t="str">
        <f t="shared" si="5"/>
        <v>0.00%</v>
      </c>
      <c r="P23" s="2">
        <f>ROUND(L23*(1+Q19),0)</f>
        <v>0</v>
      </c>
      <c r="Q23" s="336" t="str">
        <f>TEXT(Q19,"0.0%")&amp;" = Est. S &amp; C"</f>
        <v>2.0% = Est. S &amp; C</v>
      </c>
      <c r="S23" s="83" t="str">
        <f t="shared" si="6"/>
        <v>0.00%</v>
      </c>
      <c r="T23" s="2">
        <f>ROUND(P23*(1+U19),0)</f>
        <v>0</v>
      </c>
      <c r="U23" s="36" t="str">
        <f>TEXT(U19,"0.0%")&amp;" = Est. S &amp; C"</f>
        <v>2.0% = Est. S &amp; C</v>
      </c>
      <c r="W23" s="83" t="str">
        <f t="shared" si="7"/>
        <v>0.00%</v>
      </c>
      <c r="X23" s="2">
        <f>ROUND(T23*(1+Y19),0)</f>
        <v>0</v>
      </c>
      <c r="Y23" s="36" t="str">
        <f>TEXT(Y19,"0.0%")&amp;" = Est. S &amp; C"</f>
        <v>2.0% = Est. S &amp; C</v>
      </c>
      <c r="AA23" s="83" t="str">
        <f t="shared" si="8"/>
        <v>0.00%</v>
      </c>
      <c r="AB23" s="2">
        <f>ROUND(X23*(1+AC19),0)</f>
        <v>0</v>
      </c>
      <c r="AC23" s="36" t="str">
        <f>TEXT(AC19,"0.0%")&amp;" = Est. S &amp; C"</f>
        <v>2.0% = Est. S &amp; C</v>
      </c>
    </row>
    <row r="24" spans="1:29" x14ac:dyDescent="0.25">
      <c r="A24" s="152"/>
      <c r="B24" s="12"/>
      <c r="D24" s="2">
        <v>0</v>
      </c>
      <c r="E24" s="333"/>
      <c r="F24" s="2"/>
      <c r="G24" s="83" t="str">
        <f t="shared" si="1"/>
        <v>0.00%</v>
      </c>
      <c r="H24" s="2">
        <f t="shared" si="2"/>
        <v>0</v>
      </c>
      <c r="I24" s="336" t="str">
        <f t="shared" si="3"/>
        <v>2.0% = Est. S &amp; C</v>
      </c>
      <c r="J24" s="66"/>
      <c r="K24" s="83" t="str">
        <f t="shared" si="4"/>
        <v>0.00%</v>
      </c>
      <c r="L24" s="2">
        <f>ROUND(H24*(1+M19),0)</f>
        <v>0</v>
      </c>
      <c r="M24" s="336" t="str">
        <f>TEXT(M19,"0.0%")&amp;" = Est. S &amp; C"</f>
        <v>2.0% = Est. S &amp; C</v>
      </c>
      <c r="O24" s="83" t="str">
        <f t="shared" si="5"/>
        <v>0.00%</v>
      </c>
      <c r="P24" s="2">
        <f>ROUND(L24*(1+Q19),0)</f>
        <v>0</v>
      </c>
      <c r="Q24" s="336" t="str">
        <f>TEXT(Q19,"0.0%")&amp;" = Est. S &amp; C"</f>
        <v>2.0% = Est. S &amp; C</v>
      </c>
      <c r="S24" s="83" t="str">
        <f t="shared" si="6"/>
        <v>0.00%</v>
      </c>
      <c r="T24" s="2">
        <f>ROUND(P24*(1+U19),0)</f>
        <v>0</v>
      </c>
      <c r="U24" s="36" t="str">
        <f>TEXT(U19,"0.0%")&amp;" = Est. S &amp; C"</f>
        <v>2.0% = Est. S &amp; C</v>
      </c>
      <c r="W24" s="83" t="str">
        <f t="shared" si="7"/>
        <v>0.00%</v>
      </c>
      <c r="X24" s="2">
        <f>ROUND(T24*(1+Y19),0)</f>
        <v>0</v>
      </c>
      <c r="Y24" s="36" t="str">
        <f>TEXT(Y19,"0.0%")&amp;" = Est. S &amp; C"</f>
        <v>2.0% = Est. S &amp; C</v>
      </c>
      <c r="AA24" s="83" t="str">
        <f t="shared" si="8"/>
        <v>0.00%</v>
      </c>
      <c r="AB24" s="2">
        <f>ROUND(X24*(1+AC19),0)</f>
        <v>0</v>
      </c>
      <c r="AC24" s="36" t="str">
        <f>TEXT(AC19,"0.0%")&amp;" = Est. S &amp; C"</f>
        <v>2.0% = Est. S &amp; C</v>
      </c>
    </row>
    <row r="25" spans="1:29" x14ac:dyDescent="0.25">
      <c r="A25" s="152"/>
      <c r="B25" s="12"/>
      <c r="D25" s="2">
        <v>0</v>
      </c>
      <c r="E25" s="333"/>
      <c r="F25" s="2"/>
      <c r="G25" s="83" t="str">
        <f t="shared" si="1"/>
        <v>0.00%</v>
      </c>
      <c r="H25" s="2">
        <f t="shared" si="2"/>
        <v>0</v>
      </c>
      <c r="I25" s="336" t="str">
        <f t="shared" si="3"/>
        <v>2.0% = Est. S &amp; C</v>
      </c>
      <c r="J25" s="66"/>
      <c r="K25" s="83" t="str">
        <f t="shared" si="4"/>
        <v>0.00%</v>
      </c>
      <c r="L25" s="2">
        <f>ROUND(H25*(1+M19),0)</f>
        <v>0</v>
      </c>
      <c r="M25" s="336" t="str">
        <f>TEXT(M19,"0.0%")&amp;" = Est. S &amp; C"</f>
        <v>2.0% = Est. S &amp; C</v>
      </c>
      <c r="O25" s="83" t="str">
        <f t="shared" si="5"/>
        <v>0.00%</v>
      </c>
      <c r="P25" s="2">
        <f>ROUND(L25*(1+Q19),0)</f>
        <v>0</v>
      </c>
      <c r="Q25" s="336" t="str">
        <f>TEXT(Q19,"0.0%")&amp;" = Est. S &amp; C"</f>
        <v>2.0% = Est. S &amp; C</v>
      </c>
      <c r="S25" s="83" t="str">
        <f t="shared" si="6"/>
        <v>0.00%</v>
      </c>
      <c r="T25" s="2">
        <f>ROUND(P25*(1+U19),0)</f>
        <v>0</v>
      </c>
      <c r="U25" s="36" t="str">
        <f>TEXT(U19,"0.0%")&amp;" = Est. S &amp; C"</f>
        <v>2.0% = Est. S &amp; C</v>
      </c>
      <c r="W25" s="83" t="str">
        <f t="shared" si="7"/>
        <v>0.00%</v>
      </c>
      <c r="X25" s="2">
        <f>ROUND(T25*(1+Y19),0)</f>
        <v>0</v>
      </c>
      <c r="Y25" s="36" t="str">
        <f>TEXT(Y19,"0.0%")&amp;" = Est. S &amp; C"</f>
        <v>2.0% = Est. S &amp; C</v>
      </c>
      <c r="AA25" s="83" t="str">
        <f t="shared" si="8"/>
        <v>0.00%</v>
      </c>
      <c r="AB25" s="2">
        <f>ROUND(X25*(1+AC19),0)</f>
        <v>0</v>
      </c>
      <c r="AC25" s="36" t="str">
        <f>TEXT(AC19,"0.0%")&amp;" = Est. S &amp; C"</f>
        <v>2.0% = Est. S &amp; C</v>
      </c>
    </row>
    <row r="26" spans="1:29" x14ac:dyDescent="0.25">
      <c r="A26" s="152"/>
      <c r="B26" s="12"/>
      <c r="D26" s="2">
        <v>0</v>
      </c>
      <c r="E26" s="333"/>
      <c r="F26" s="2"/>
      <c r="G26" s="83" t="str">
        <f t="shared" si="1"/>
        <v>0.00%</v>
      </c>
      <c r="H26" s="2">
        <f t="shared" si="2"/>
        <v>0</v>
      </c>
      <c r="I26" s="336" t="str">
        <f t="shared" si="3"/>
        <v>2.0% = Est. S &amp; C</v>
      </c>
      <c r="J26" s="66"/>
      <c r="K26" s="83" t="str">
        <f t="shared" si="4"/>
        <v>0.00%</v>
      </c>
      <c r="L26" s="2">
        <f>ROUND(H26*(1+M19),0)</f>
        <v>0</v>
      </c>
      <c r="M26" s="336" t="str">
        <f>TEXT(M19,"0.0%")&amp;" = Est. S &amp; C"</f>
        <v>2.0% = Est. S &amp; C</v>
      </c>
      <c r="O26" s="83" t="str">
        <f t="shared" si="5"/>
        <v>0.00%</v>
      </c>
      <c r="P26" s="2">
        <f>ROUND(L26*(1+Q19),0)</f>
        <v>0</v>
      </c>
      <c r="Q26" s="336" t="str">
        <f>TEXT(Q19,"0.0%")&amp;" = Est. S &amp; C"</f>
        <v>2.0% = Est. S &amp; C</v>
      </c>
      <c r="S26" s="83" t="str">
        <f t="shared" si="6"/>
        <v>0.00%</v>
      </c>
      <c r="T26" s="2">
        <f>ROUND(P26*(1+U19),0)</f>
        <v>0</v>
      </c>
      <c r="U26" s="36" t="str">
        <f>TEXT(U19,"0.0%")&amp;" = Est. S &amp; C"</f>
        <v>2.0% = Est. S &amp; C</v>
      </c>
      <c r="W26" s="83" t="str">
        <f t="shared" si="7"/>
        <v>0.00%</v>
      </c>
      <c r="X26" s="2">
        <f>ROUND(T26*(1+Y19),0)</f>
        <v>0</v>
      </c>
      <c r="Y26" s="36" t="str">
        <f>TEXT(Y19,"0.0%")&amp;" = Est. S &amp; C"</f>
        <v>2.0% = Est. S &amp; C</v>
      </c>
      <c r="AA26" s="83" t="str">
        <f t="shared" si="8"/>
        <v>0.00%</v>
      </c>
      <c r="AB26" s="2">
        <f>ROUND(X26*(1+AC19),0)</f>
        <v>0</v>
      </c>
      <c r="AC26" s="36" t="str">
        <f>TEXT(AC19,"0.0%")&amp;" = Est. S &amp; C"</f>
        <v>2.0% = Est. S &amp; C</v>
      </c>
    </row>
    <row r="27" spans="1:29" x14ac:dyDescent="0.25">
      <c r="A27" s="152"/>
      <c r="B27" s="12"/>
      <c r="D27" s="2">
        <v>0</v>
      </c>
      <c r="E27" s="333"/>
      <c r="F27" s="2"/>
      <c r="G27" s="83" t="str">
        <f t="shared" si="1"/>
        <v>0.00%</v>
      </c>
      <c r="H27" s="2">
        <f t="shared" si="2"/>
        <v>0</v>
      </c>
      <c r="I27" s="336" t="str">
        <f t="shared" si="3"/>
        <v>2.0% = Est. S &amp; C</v>
      </c>
      <c r="J27" s="66"/>
      <c r="K27" s="83" t="str">
        <f t="shared" si="4"/>
        <v>0.00%</v>
      </c>
      <c r="L27" s="2">
        <f>ROUND(H27*(1+M19),0)</f>
        <v>0</v>
      </c>
      <c r="M27" s="336" t="str">
        <f>TEXT(M19,"0.0%")&amp;" = Est. S &amp; C"</f>
        <v>2.0% = Est. S &amp; C</v>
      </c>
      <c r="O27" s="83" t="str">
        <f t="shared" si="5"/>
        <v>0.00%</v>
      </c>
      <c r="P27" s="2">
        <f>ROUND(L27*(1+Q19),0)</f>
        <v>0</v>
      </c>
      <c r="Q27" s="336" t="str">
        <f>TEXT(Q19,"0.0%")&amp;" = Est. S &amp; C"</f>
        <v>2.0% = Est. S &amp; C</v>
      </c>
      <c r="S27" s="83" t="str">
        <f t="shared" si="6"/>
        <v>0.00%</v>
      </c>
      <c r="T27" s="2">
        <f>ROUND(P27*(1+U19),0)</f>
        <v>0</v>
      </c>
      <c r="U27" s="36" t="str">
        <f>TEXT(U19,"0.0%")&amp;" = Est. S &amp; C"</f>
        <v>2.0% = Est. S &amp; C</v>
      </c>
      <c r="W27" s="83" t="str">
        <f t="shared" si="7"/>
        <v>0.00%</v>
      </c>
      <c r="X27" s="2">
        <f>ROUND(T27*(1+Y19),0)</f>
        <v>0</v>
      </c>
      <c r="Y27" s="36" t="str">
        <f>TEXT(Y19,"0.0%")&amp;" = Est. S &amp; C"</f>
        <v>2.0% = Est. S &amp; C</v>
      </c>
      <c r="AA27" s="83" t="str">
        <f t="shared" si="8"/>
        <v>0.00%</v>
      </c>
      <c r="AB27" s="2">
        <f>ROUND(X27*(1+AC19),0)</f>
        <v>0</v>
      </c>
      <c r="AC27" s="36" t="str">
        <f>TEXT(AC19,"0.0%")&amp;" = Est. S &amp; C"</f>
        <v>2.0% = Est. S &amp; C</v>
      </c>
    </row>
    <row r="28" spans="1:29" x14ac:dyDescent="0.25">
      <c r="A28" s="152"/>
      <c r="B28" s="12"/>
      <c r="D28" s="2">
        <v>0</v>
      </c>
      <c r="E28" s="333"/>
      <c r="F28" s="2"/>
      <c r="G28" s="83" t="str">
        <f>IF(D28=0,"0.00%",(H28-D28)/D28)</f>
        <v>0.00%</v>
      </c>
      <c r="H28" s="2">
        <f>ROUND(D28*(1+$I$19),0)</f>
        <v>0</v>
      </c>
      <c r="I28" s="336" t="str">
        <f t="shared" si="3"/>
        <v>2.0% = Est. S &amp; C</v>
      </c>
      <c r="J28" s="66"/>
      <c r="K28" s="83" t="str">
        <f>IF(H28=0,"0.00%",(L28-H28)/H28)</f>
        <v>0.00%</v>
      </c>
      <c r="L28" s="2">
        <f>ROUND(H28*(1+M20),0)</f>
        <v>0</v>
      </c>
      <c r="M28" s="336" t="str">
        <f>TEXT(M20,"0.0%")&amp;" = Est. S &amp; C"</f>
        <v>0.0% = Est. S &amp; C</v>
      </c>
      <c r="O28" s="83" t="str">
        <f>IF(L28=0,"0.00%",(P28-L28)/L28)</f>
        <v>0.00%</v>
      </c>
      <c r="P28" s="2">
        <f>ROUND(L28*(1+Q20),0)</f>
        <v>0</v>
      </c>
      <c r="Q28" s="336" t="str">
        <f>TEXT(Q20,"0.0%")&amp;" = Est. S &amp; C"</f>
        <v>0.0% = Est. S &amp; C</v>
      </c>
      <c r="S28" s="83" t="str">
        <f>IF(P28=0,"0.00%",(T28-P28)/P28)</f>
        <v>0.00%</v>
      </c>
      <c r="T28" s="2">
        <f>ROUND(P28*(1+U20),0)</f>
        <v>0</v>
      </c>
      <c r="U28" s="36" t="str">
        <f>TEXT(U20,"0.0%")&amp;" = Est. S &amp; C"</f>
        <v>0.0% = Est. S &amp; C</v>
      </c>
      <c r="W28" s="83" t="str">
        <f>IF(T28=0,"0.00%",(X28-T28)/T28)</f>
        <v>0.00%</v>
      </c>
      <c r="X28" s="2">
        <f>ROUND(T28*(1+Y20),0)</f>
        <v>0</v>
      </c>
      <c r="Y28" s="36" t="str">
        <f>TEXT(Y20,"0.0%")&amp;" = Est. S &amp; C"</f>
        <v>0.0% = Est. S &amp; C</v>
      </c>
      <c r="AA28" s="83" t="str">
        <f>IF(X28=0,"0.00%",(AB28-X28)/X28)</f>
        <v>0.00%</v>
      </c>
      <c r="AB28" s="2">
        <f>ROUND(X28*(1+AC20),0)</f>
        <v>0</v>
      </c>
      <c r="AC28" s="36" t="str">
        <f>TEXT(AC20,"0.0%")&amp;" = Est. S &amp; C"</f>
        <v>0.0% = Est. S &amp; C</v>
      </c>
    </row>
    <row r="29" spans="1:29" ht="6" customHeight="1" x14ac:dyDescent="0.25">
      <c r="A29" s="152"/>
      <c r="B29" s="12"/>
      <c r="E29" s="333"/>
      <c r="F29" s="2"/>
      <c r="G29" s="83"/>
      <c r="H29" s="2"/>
      <c r="I29" s="336"/>
      <c r="J29" s="66"/>
      <c r="L29" s="2"/>
      <c r="M29" s="366"/>
      <c r="Q29" s="366"/>
      <c r="T29" s="2"/>
      <c r="U29" s="73"/>
      <c r="X29" s="2"/>
      <c r="Y29" s="73"/>
      <c r="AB29" s="2"/>
      <c r="AC29" s="73"/>
    </row>
    <row r="30" spans="1:29" x14ac:dyDescent="0.25">
      <c r="A30" s="153"/>
      <c r="B30" s="12"/>
      <c r="D30" s="8">
        <f>SUM(D21:D29)</f>
        <v>0</v>
      </c>
      <c r="E30" s="333"/>
      <c r="F30" s="2"/>
      <c r="G30" s="83" t="str">
        <f t="shared" si="1"/>
        <v>0.00%</v>
      </c>
      <c r="H30" s="8">
        <f>SUM(H21:H29)</f>
        <v>0</v>
      </c>
      <c r="I30" s="359"/>
      <c r="J30" s="29"/>
      <c r="K30" s="83" t="str">
        <f>IF(H30=0,"0.00%",(L30-H30)/H30)</f>
        <v>0.00%</v>
      </c>
      <c r="L30" s="8">
        <f>SUM(L21:L29)</f>
        <v>0</v>
      </c>
      <c r="M30" s="366"/>
      <c r="O30" s="83" t="str">
        <f>IF(L30=0,"0.00%",(P30-L30)/L30)</f>
        <v>0.00%</v>
      </c>
      <c r="P30" s="8">
        <f>SUM(P21:P29)</f>
        <v>0</v>
      </c>
      <c r="Q30" s="366"/>
      <c r="S30" s="83" t="str">
        <f>IF(P30=0,"0.00%",(T30-P30)/P30)</f>
        <v>0.00%</v>
      </c>
      <c r="T30" s="8">
        <f>SUM(T21:T29)</f>
        <v>0</v>
      </c>
      <c r="U30" s="73"/>
      <c r="W30" s="83" t="str">
        <f>IF(T30=0,"0.00%",(X30-T30)/T30)</f>
        <v>0.00%</v>
      </c>
      <c r="X30" s="8">
        <f>SUM(X21:X29)</f>
        <v>0</v>
      </c>
      <c r="Y30" s="73"/>
      <c r="AA30" s="83" t="str">
        <f>IF(X30=0,"0.00%",(AB30-X30)/X30)</f>
        <v>0.00%</v>
      </c>
      <c r="AB30" s="8">
        <f>SUM(AB21:AB29)</f>
        <v>0</v>
      </c>
      <c r="AC30" s="73"/>
    </row>
    <row r="31" spans="1:29" x14ac:dyDescent="0.25">
      <c r="A31" s="152"/>
      <c r="E31" s="333"/>
      <c r="F31" s="2"/>
      <c r="H31" s="2"/>
      <c r="I31" s="81"/>
      <c r="J31" s="66"/>
      <c r="L31" s="2"/>
      <c r="M31" s="368"/>
      <c r="Q31" s="368"/>
      <c r="T31" s="2"/>
      <c r="U31" s="73"/>
      <c r="X31" s="2"/>
      <c r="Y31" s="73"/>
      <c r="AB31" s="2"/>
      <c r="AC31" s="73"/>
    </row>
    <row r="32" spans="1:29" s="4" customFormat="1" x14ac:dyDescent="0.25">
      <c r="A32" s="150"/>
      <c r="B32" s="22" t="s">
        <v>35</v>
      </c>
      <c r="C32" s="342"/>
      <c r="D32" s="6"/>
      <c r="E32" s="335"/>
      <c r="F32" s="6"/>
      <c r="G32" s="373"/>
      <c r="H32" s="6"/>
      <c r="I32" s="335"/>
      <c r="J32" s="57"/>
      <c r="K32" s="380"/>
      <c r="L32" s="6"/>
      <c r="M32" s="367"/>
      <c r="O32" s="380"/>
      <c r="P32" s="6"/>
      <c r="Q32" s="367"/>
      <c r="R32" s="111"/>
      <c r="T32" s="6"/>
      <c r="U32" s="71"/>
      <c r="X32" s="6"/>
      <c r="Y32" s="71"/>
      <c r="AB32" s="6"/>
      <c r="AC32" s="71"/>
    </row>
    <row r="33" spans="1:29" x14ac:dyDescent="0.25">
      <c r="A33" s="152"/>
      <c r="B33" s="12"/>
      <c r="D33" s="2">
        <v>0</v>
      </c>
      <c r="E33" s="333"/>
      <c r="F33" s="2"/>
      <c r="G33" s="83" t="str">
        <f t="shared" ref="G33:G39" si="9">IF(D33=0,"0.00%",(H33-D33)/D33)</f>
        <v>0.00%</v>
      </c>
      <c r="H33" s="2">
        <f t="shared" ref="H33:H39" si="10">ROUND(D33*(1+$I$19),0)</f>
        <v>0</v>
      </c>
      <c r="I33" s="336" t="str">
        <f t="shared" ref="I33:I39" si="11">TEXT($I$19,"0.0%")&amp;" = Est. S &amp; C"</f>
        <v>2.0% = Est. S &amp; C</v>
      </c>
      <c r="J33" s="66"/>
      <c r="K33" s="83" t="str">
        <f t="shared" ref="K33:K39" si="12">IF(H33=0,"0.00%",(L33-H33)/H33)</f>
        <v>0.00%</v>
      </c>
      <c r="L33" s="2">
        <f>ROUND(H33*(1+M19),0)</f>
        <v>0</v>
      </c>
      <c r="M33" s="336" t="str">
        <f>TEXT(M19,"0.0%")&amp;" = Est. S &amp; C"</f>
        <v>2.0% = Est. S &amp; C</v>
      </c>
      <c r="O33" s="83" t="str">
        <f t="shared" ref="O33:O39" si="13">IF(L33=0,"0.00%",(P33-L33)/L33)</f>
        <v>0.00%</v>
      </c>
      <c r="P33" s="2">
        <f>ROUND(L33*(1+Q19),0)</f>
        <v>0</v>
      </c>
      <c r="Q33" s="336" t="str">
        <f>TEXT(Q19,"0.0%")&amp;" = Est. S &amp; C"</f>
        <v>2.0% = Est. S &amp; C</v>
      </c>
      <c r="S33" s="83" t="str">
        <f t="shared" ref="S33:S39" si="14">IF(P33=0,"0.00%",(T33-P33)/P33)</f>
        <v>0.00%</v>
      </c>
      <c r="T33" s="2">
        <f>ROUND(P33*(1+U19),0)</f>
        <v>0</v>
      </c>
      <c r="U33" s="36" t="str">
        <f>TEXT(U19,"0.0%")&amp;" = Est. S &amp; C"</f>
        <v>2.0% = Est. S &amp; C</v>
      </c>
      <c r="W33" s="83" t="str">
        <f t="shared" ref="W33:W39" si="15">IF(T33=0,"0.00%",(X33-T33)/T33)</f>
        <v>0.00%</v>
      </c>
      <c r="X33" s="2">
        <f>ROUND(T33*(1+Y19),0)</f>
        <v>0</v>
      </c>
      <c r="Y33" s="36" t="str">
        <f>TEXT(Y19,"0.0%")&amp;" = Est. S &amp; C"</f>
        <v>2.0% = Est. S &amp; C</v>
      </c>
      <c r="AA33" s="83" t="str">
        <f t="shared" ref="AA33:AA39" si="16">IF(X33=0,"0.00%",(AB33-X33)/X33)</f>
        <v>0.00%</v>
      </c>
      <c r="AB33" s="2">
        <f>ROUND(X33*(1+AC19),0)</f>
        <v>0</v>
      </c>
      <c r="AC33" s="36" t="str">
        <f>TEXT(AC19,"0.0%")&amp;" = Est. S &amp; C"</f>
        <v>2.0% = Est. S &amp; C</v>
      </c>
    </row>
    <row r="34" spans="1:29" x14ac:dyDescent="0.25">
      <c r="A34" s="152"/>
      <c r="B34" s="12"/>
      <c r="D34" s="2">
        <v>0</v>
      </c>
      <c r="E34" s="333"/>
      <c r="F34" s="2"/>
      <c r="G34" s="83" t="str">
        <f t="shared" si="9"/>
        <v>0.00%</v>
      </c>
      <c r="H34" s="2">
        <f t="shared" si="10"/>
        <v>0</v>
      </c>
      <c r="I34" s="336" t="str">
        <f t="shared" si="11"/>
        <v>2.0% = Est. S &amp; C</v>
      </c>
      <c r="J34" s="66"/>
      <c r="K34" s="83" t="str">
        <f t="shared" si="12"/>
        <v>0.00%</v>
      </c>
      <c r="L34" s="2">
        <f>ROUND(H34*(1+M19),0)</f>
        <v>0</v>
      </c>
      <c r="M34" s="336" t="str">
        <f>TEXT(M19,"0.0%")&amp;" = Est. S &amp; C"</f>
        <v>2.0% = Est. S &amp; C</v>
      </c>
      <c r="O34" s="83" t="str">
        <f t="shared" si="13"/>
        <v>0.00%</v>
      </c>
      <c r="P34" s="2">
        <f>ROUND(L34*(1+Q19),0)</f>
        <v>0</v>
      </c>
      <c r="Q34" s="336" t="str">
        <f>TEXT(Q19,"0.0%")&amp;" = Est. S &amp; C"</f>
        <v>2.0% = Est. S &amp; C</v>
      </c>
      <c r="S34" s="83" t="str">
        <f t="shared" si="14"/>
        <v>0.00%</v>
      </c>
      <c r="T34" s="2">
        <f>ROUND(P34*(1+U19),0)</f>
        <v>0</v>
      </c>
      <c r="U34" s="36" t="str">
        <f>TEXT(U19,"0.0%")&amp;" = Est. S &amp; C"</f>
        <v>2.0% = Est. S &amp; C</v>
      </c>
      <c r="W34" s="83" t="str">
        <f t="shared" si="15"/>
        <v>0.00%</v>
      </c>
      <c r="X34" s="2">
        <f>ROUND(T34*(1+Y19),0)</f>
        <v>0</v>
      </c>
      <c r="Y34" s="36" t="str">
        <f>TEXT(Y19,"0.0%")&amp;" = Est. S &amp; C"</f>
        <v>2.0% = Est. S &amp; C</v>
      </c>
      <c r="AA34" s="83" t="str">
        <f t="shared" si="16"/>
        <v>0.00%</v>
      </c>
      <c r="AB34" s="2">
        <f>ROUND(X34*(1+AC19),0)</f>
        <v>0</v>
      </c>
      <c r="AC34" s="36" t="str">
        <f>TEXT(AC19,"0.0%")&amp;" = Est. S &amp; C"</f>
        <v>2.0% = Est. S &amp; C</v>
      </c>
    </row>
    <row r="35" spans="1:29" x14ac:dyDescent="0.25">
      <c r="A35" s="152"/>
      <c r="B35" s="12"/>
      <c r="D35" s="2">
        <v>0</v>
      </c>
      <c r="E35" s="333"/>
      <c r="F35" s="2"/>
      <c r="G35" s="83" t="str">
        <f t="shared" si="9"/>
        <v>0.00%</v>
      </c>
      <c r="H35" s="2">
        <f t="shared" si="10"/>
        <v>0</v>
      </c>
      <c r="I35" s="336" t="str">
        <f t="shared" si="11"/>
        <v>2.0% = Est. S &amp; C</v>
      </c>
      <c r="J35" s="66"/>
      <c r="K35" s="83" t="str">
        <f t="shared" si="12"/>
        <v>0.00%</v>
      </c>
      <c r="L35" s="2">
        <f>ROUND(H35*(1+M19),0)</f>
        <v>0</v>
      </c>
      <c r="M35" s="336" t="str">
        <f>TEXT(M19,"0.0%")&amp;" = Est. S &amp; C"</f>
        <v>2.0% = Est. S &amp; C</v>
      </c>
      <c r="O35" s="83" t="str">
        <f t="shared" si="13"/>
        <v>0.00%</v>
      </c>
      <c r="P35" s="2">
        <f>ROUND(L35*(1+Q19),0)</f>
        <v>0</v>
      </c>
      <c r="Q35" s="336" t="str">
        <f>TEXT(Q19,"0.0%")&amp;" = Est. S &amp; C"</f>
        <v>2.0% = Est. S &amp; C</v>
      </c>
      <c r="S35" s="83" t="str">
        <f t="shared" si="14"/>
        <v>0.00%</v>
      </c>
      <c r="T35" s="2">
        <f>ROUND(P35*(1+U19),0)</f>
        <v>0</v>
      </c>
      <c r="U35" s="36" t="str">
        <f>TEXT(U19,"0.0%")&amp;" = Est. S &amp; C"</f>
        <v>2.0% = Est. S &amp; C</v>
      </c>
      <c r="W35" s="83" t="str">
        <f t="shared" si="15"/>
        <v>0.00%</v>
      </c>
      <c r="X35" s="2">
        <f>ROUND(T35*(1+Y19),0)</f>
        <v>0</v>
      </c>
      <c r="Y35" s="36" t="str">
        <f>TEXT(Y19,"0.0%")&amp;" = Est. S &amp; C"</f>
        <v>2.0% = Est. S &amp; C</v>
      </c>
      <c r="AA35" s="83" t="str">
        <f t="shared" si="16"/>
        <v>0.00%</v>
      </c>
      <c r="AB35" s="2">
        <f>ROUND(X35*(1+AC19),0)</f>
        <v>0</v>
      </c>
      <c r="AC35" s="36" t="str">
        <f>TEXT(AC19,"0.0%")&amp;" = Est. S &amp; C"</f>
        <v>2.0% = Est. S &amp; C</v>
      </c>
    </row>
    <row r="36" spans="1:29" x14ac:dyDescent="0.25">
      <c r="A36" s="152"/>
      <c r="B36" s="12"/>
      <c r="D36" s="2">
        <v>0</v>
      </c>
      <c r="E36" s="333"/>
      <c r="F36" s="2"/>
      <c r="G36" s="83" t="str">
        <f t="shared" si="9"/>
        <v>0.00%</v>
      </c>
      <c r="H36" s="2">
        <f t="shared" si="10"/>
        <v>0</v>
      </c>
      <c r="I36" s="336" t="str">
        <f t="shared" si="11"/>
        <v>2.0% = Est. S &amp; C</v>
      </c>
      <c r="J36" s="66"/>
      <c r="K36" s="83" t="str">
        <f t="shared" si="12"/>
        <v>0.00%</v>
      </c>
      <c r="L36" s="2">
        <f>ROUND(H36*(1+M19),0)</f>
        <v>0</v>
      </c>
      <c r="M36" s="336" t="str">
        <f>TEXT(M19,"0.0%")&amp;" = Est. S &amp; C"</f>
        <v>2.0% = Est. S &amp; C</v>
      </c>
      <c r="O36" s="83" t="str">
        <f t="shared" si="13"/>
        <v>0.00%</v>
      </c>
      <c r="P36" s="2">
        <f>ROUND(L36*(1+Q19),0)</f>
        <v>0</v>
      </c>
      <c r="Q36" s="336" t="str">
        <f>TEXT(Q19,"0.0%")&amp;" = Est. S &amp; C"</f>
        <v>2.0% = Est. S &amp; C</v>
      </c>
      <c r="S36" s="83" t="str">
        <f t="shared" si="14"/>
        <v>0.00%</v>
      </c>
      <c r="T36" s="2">
        <f>ROUND(P36*(1+U19),0)</f>
        <v>0</v>
      </c>
      <c r="U36" s="36" t="str">
        <f>TEXT(U19,"0.0%")&amp;" = Est. S &amp; C"</f>
        <v>2.0% = Est. S &amp; C</v>
      </c>
      <c r="W36" s="83" t="str">
        <f t="shared" si="15"/>
        <v>0.00%</v>
      </c>
      <c r="X36" s="2">
        <f>ROUND(T36*(1+Y19),0)</f>
        <v>0</v>
      </c>
      <c r="Y36" s="36" t="str">
        <f>TEXT(Y19,"0.0%")&amp;" = Est. S &amp; C"</f>
        <v>2.0% = Est. S &amp; C</v>
      </c>
      <c r="AA36" s="83" t="str">
        <f t="shared" si="16"/>
        <v>0.00%</v>
      </c>
      <c r="AB36" s="2">
        <f>ROUND(X36*(1+AC19),0)</f>
        <v>0</v>
      </c>
      <c r="AC36" s="36" t="str">
        <f>TEXT(AC19,"0.0%")&amp;" = Est. S &amp; C"</f>
        <v>2.0% = Est. S &amp; C</v>
      </c>
    </row>
    <row r="37" spans="1:29" x14ac:dyDescent="0.25">
      <c r="A37" s="152"/>
      <c r="B37" s="12"/>
      <c r="D37" s="2">
        <v>0</v>
      </c>
      <c r="E37" s="333"/>
      <c r="F37" s="2"/>
      <c r="G37" s="83" t="str">
        <f t="shared" si="9"/>
        <v>0.00%</v>
      </c>
      <c r="H37" s="2">
        <f t="shared" si="10"/>
        <v>0</v>
      </c>
      <c r="I37" s="336" t="str">
        <f t="shared" si="11"/>
        <v>2.0% = Est. S &amp; C</v>
      </c>
      <c r="J37" s="66"/>
      <c r="K37" s="83" t="str">
        <f t="shared" si="12"/>
        <v>0.00%</v>
      </c>
      <c r="L37" s="2">
        <f>ROUND(H37*(1+M19),0)</f>
        <v>0</v>
      </c>
      <c r="M37" s="336" t="str">
        <f>TEXT(M19,"0.0%")&amp;" = Est. S &amp; C"</f>
        <v>2.0% = Est. S &amp; C</v>
      </c>
      <c r="O37" s="83" t="str">
        <f t="shared" si="13"/>
        <v>0.00%</v>
      </c>
      <c r="P37" s="2">
        <f>ROUND(L37*(1+Q19),0)</f>
        <v>0</v>
      </c>
      <c r="Q37" s="336" t="str">
        <f>TEXT(Q19,"0.0%")&amp;" = Est. S &amp; C"</f>
        <v>2.0% = Est. S &amp; C</v>
      </c>
      <c r="S37" s="83" t="str">
        <f t="shared" si="14"/>
        <v>0.00%</v>
      </c>
      <c r="T37" s="2">
        <f>ROUND(P37*(1+U19),0)</f>
        <v>0</v>
      </c>
      <c r="U37" s="36" t="str">
        <f>TEXT(U19,"0.0%")&amp;" = Est. S &amp; C"</f>
        <v>2.0% = Est. S &amp; C</v>
      </c>
      <c r="W37" s="83" t="str">
        <f t="shared" si="15"/>
        <v>0.00%</v>
      </c>
      <c r="X37" s="2">
        <f>ROUND(T37*(1+Y19),0)</f>
        <v>0</v>
      </c>
      <c r="Y37" s="36" t="str">
        <f>TEXT(Y19,"0.0%")&amp;" = Est. S &amp; C"</f>
        <v>2.0% = Est. S &amp; C</v>
      </c>
      <c r="AA37" s="83" t="str">
        <f t="shared" si="16"/>
        <v>0.00%</v>
      </c>
      <c r="AB37" s="2">
        <f>ROUND(X37*(1+AC19),0)</f>
        <v>0</v>
      </c>
      <c r="AC37" s="36" t="str">
        <f>TEXT(AC19,"0.0%")&amp;" = Est. S &amp; C"</f>
        <v>2.0% = Est. S &amp; C</v>
      </c>
    </row>
    <row r="38" spans="1:29" x14ac:dyDescent="0.25">
      <c r="A38" s="152"/>
      <c r="B38" s="12"/>
      <c r="D38" s="2">
        <v>0</v>
      </c>
      <c r="E38" s="333"/>
      <c r="F38" s="2"/>
      <c r="G38" s="83" t="str">
        <f t="shared" si="9"/>
        <v>0.00%</v>
      </c>
      <c r="H38" s="2">
        <f t="shared" si="10"/>
        <v>0</v>
      </c>
      <c r="I38" s="336" t="str">
        <f t="shared" si="11"/>
        <v>2.0% = Est. S &amp; C</v>
      </c>
      <c r="J38" s="66"/>
      <c r="K38" s="83" t="str">
        <f t="shared" si="12"/>
        <v>0.00%</v>
      </c>
      <c r="L38" s="2">
        <f>ROUND(H38*(1+M19),0)</f>
        <v>0</v>
      </c>
      <c r="M38" s="336" t="str">
        <f>TEXT(M19,"0.0%")&amp;" = Est. S &amp; C"</f>
        <v>2.0% = Est. S &amp; C</v>
      </c>
      <c r="O38" s="83" t="str">
        <f t="shared" si="13"/>
        <v>0.00%</v>
      </c>
      <c r="P38" s="2">
        <f>ROUND(L38*(1+Q19),0)</f>
        <v>0</v>
      </c>
      <c r="Q38" s="336" t="str">
        <f>TEXT(Q19,"0.0%")&amp;" = Est. S &amp; C"</f>
        <v>2.0% = Est. S &amp; C</v>
      </c>
      <c r="S38" s="83" t="str">
        <f t="shared" si="14"/>
        <v>0.00%</v>
      </c>
      <c r="T38" s="2">
        <f>ROUND(P38*(1+U19),0)</f>
        <v>0</v>
      </c>
      <c r="U38" s="36" t="str">
        <f>TEXT(U19,"0.0%")&amp;" = Est. S &amp; C"</f>
        <v>2.0% = Est. S &amp; C</v>
      </c>
      <c r="W38" s="83" t="str">
        <f t="shared" si="15"/>
        <v>0.00%</v>
      </c>
      <c r="X38" s="2">
        <f>ROUND(T38*(1+Y19),0)</f>
        <v>0</v>
      </c>
      <c r="Y38" s="36" t="str">
        <f>TEXT(Y19,"0.0%")&amp;" = Est. S &amp; C"</f>
        <v>2.0% = Est. S &amp; C</v>
      </c>
      <c r="AA38" s="83" t="str">
        <f t="shared" si="16"/>
        <v>0.00%</v>
      </c>
      <c r="AB38" s="2">
        <f>ROUND(X38*(1+AC19),0)</f>
        <v>0</v>
      </c>
      <c r="AC38" s="36" t="str">
        <f>TEXT(AC19,"0.0%")&amp;" = Est. S &amp; C"</f>
        <v>2.0% = Est. S &amp; C</v>
      </c>
    </row>
    <row r="39" spans="1:29" x14ac:dyDescent="0.25">
      <c r="A39" s="152"/>
      <c r="B39" s="12"/>
      <c r="D39" s="2">
        <v>0</v>
      </c>
      <c r="E39" s="333"/>
      <c r="F39" s="2"/>
      <c r="G39" s="83" t="str">
        <f t="shared" si="9"/>
        <v>0.00%</v>
      </c>
      <c r="H39" s="2">
        <f t="shared" si="10"/>
        <v>0</v>
      </c>
      <c r="I39" s="336" t="str">
        <f t="shared" si="11"/>
        <v>2.0% = Est. S &amp; C</v>
      </c>
      <c r="J39" s="66"/>
      <c r="K39" s="83" t="str">
        <f t="shared" si="12"/>
        <v>0.00%</v>
      </c>
      <c r="L39" s="2">
        <f>ROUND(H39*(1+M19),0)</f>
        <v>0</v>
      </c>
      <c r="M39" s="336" t="str">
        <f>TEXT(M19,"0.0%")&amp;" = Est. S &amp; C"</f>
        <v>2.0% = Est. S &amp; C</v>
      </c>
      <c r="O39" s="83" t="str">
        <f t="shared" si="13"/>
        <v>0.00%</v>
      </c>
      <c r="P39" s="2">
        <f>ROUND(L39*(1+Q19),0)</f>
        <v>0</v>
      </c>
      <c r="Q39" s="336" t="str">
        <f>TEXT(Q19,"0.0%")&amp;" = Est. S &amp; C"</f>
        <v>2.0% = Est. S &amp; C</v>
      </c>
      <c r="S39" s="83" t="str">
        <f t="shared" si="14"/>
        <v>0.00%</v>
      </c>
      <c r="T39" s="2">
        <f>ROUND(P39*(1+U19),0)</f>
        <v>0</v>
      </c>
      <c r="U39" s="36" t="str">
        <f>TEXT(U19,"0.0%")&amp;" = Est. S &amp; C"</f>
        <v>2.0% = Est. S &amp; C</v>
      </c>
      <c r="W39" s="83" t="str">
        <f t="shared" si="15"/>
        <v>0.00%</v>
      </c>
      <c r="X39" s="2">
        <f>ROUND(T39*(1+Y19),0)</f>
        <v>0</v>
      </c>
      <c r="Y39" s="36" t="str">
        <f>TEXT(Y19,"0.0%")&amp;" = Est. S &amp; C"</f>
        <v>2.0% = Est. S &amp; C</v>
      </c>
      <c r="AA39" s="83" t="str">
        <f t="shared" si="16"/>
        <v>0.00%</v>
      </c>
      <c r="AB39" s="2">
        <f>ROUND(X39*(1+AC19),0)</f>
        <v>0</v>
      </c>
      <c r="AC39" s="36" t="str">
        <f>TEXT(AC19,"0.0%")&amp;" = Est. S &amp; C"</f>
        <v>2.0% = Est. S &amp; C</v>
      </c>
    </row>
    <row r="40" spans="1:29" ht="6" customHeight="1" x14ac:dyDescent="0.25">
      <c r="A40" s="152"/>
      <c r="B40" s="12"/>
      <c r="E40" s="333"/>
      <c r="F40" s="2"/>
      <c r="H40" s="2"/>
      <c r="I40" s="336"/>
      <c r="J40" s="66"/>
      <c r="L40" s="2"/>
      <c r="M40" s="366"/>
      <c r="Q40" s="366"/>
      <c r="T40" s="2"/>
      <c r="U40" s="73"/>
      <c r="X40" s="2"/>
      <c r="Y40" s="73"/>
      <c r="AB40" s="2"/>
      <c r="AC40" s="73"/>
    </row>
    <row r="41" spans="1:29" x14ac:dyDescent="0.25">
      <c r="A41" s="153"/>
      <c r="B41" s="12"/>
      <c r="D41" s="8">
        <f>SUM(D33:D40)</f>
        <v>0</v>
      </c>
      <c r="E41" s="333"/>
      <c r="F41" s="2"/>
      <c r="G41" s="83" t="str">
        <f>IF(D41=0,"0.00%",(H41-D41)/D41)</f>
        <v>0.00%</v>
      </c>
      <c r="H41" s="8">
        <f>SUM(H33:H40)</f>
        <v>0</v>
      </c>
      <c r="I41" s="359"/>
      <c r="J41" s="29"/>
      <c r="K41" s="83" t="str">
        <f>IF(H41=0,"0.00%",(L41-H41)/H41)</f>
        <v>0.00%</v>
      </c>
      <c r="L41" s="8">
        <f>SUM(L33:L40)</f>
        <v>0</v>
      </c>
      <c r="M41" s="366"/>
      <c r="O41" s="83" t="str">
        <f>IF(L41=0,"0.00%",(P41-L41)/L41)</f>
        <v>0.00%</v>
      </c>
      <c r="P41" s="8">
        <f>SUM(P33:P40)</f>
        <v>0</v>
      </c>
      <c r="Q41" s="366"/>
      <c r="S41" s="83" t="str">
        <f>IF(P41=0,"0.00%",(T41-P41)/P41)</f>
        <v>0.00%</v>
      </c>
      <c r="T41" s="8">
        <f>SUM(T33:T40)</f>
        <v>0</v>
      </c>
      <c r="U41" s="73"/>
      <c r="W41" s="83" t="str">
        <f>IF(T41=0,"0.00%",(X41-T41)/T41)</f>
        <v>0.00%</v>
      </c>
      <c r="X41" s="8">
        <f>SUM(X33:X40)</f>
        <v>0</v>
      </c>
      <c r="Y41" s="73"/>
      <c r="AA41" s="83" t="str">
        <f>IF(X41=0,"0.00%",(AB41-X41)/X41)</f>
        <v>0.00%</v>
      </c>
      <c r="AB41" s="8">
        <f>SUM(AB33:AB40)</f>
        <v>0</v>
      </c>
      <c r="AC41" s="73"/>
    </row>
    <row r="42" spans="1:29" x14ac:dyDescent="0.25">
      <c r="A42" s="152"/>
      <c r="B42" s="20" t="s">
        <v>28</v>
      </c>
      <c r="E42" s="333"/>
      <c r="F42" s="2"/>
      <c r="H42" s="2"/>
      <c r="I42" s="336"/>
      <c r="J42" s="66"/>
      <c r="L42" s="2"/>
      <c r="M42" s="366"/>
      <c r="Q42" s="366"/>
      <c r="T42" s="2"/>
      <c r="U42" s="73"/>
      <c r="X42" s="2"/>
      <c r="Y42" s="73"/>
      <c r="AB42" s="2"/>
      <c r="AC42" s="73"/>
    </row>
    <row r="43" spans="1:29" x14ac:dyDescent="0.25">
      <c r="A43" s="154"/>
      <c r="B43" s="21" t="s">
        <v>27</v>
      </c>
      <c r="E43" s="333"/>
      <c r="F43" s="2"/>
      <c r="H43" s="2"/>
      <c r="I43" s="336"/>
      <c r="J43" s="66"/>
      <c r="L43" s="2"/>
      <c r="M43" s="366"/>
      <c r="Q43" s="366"/>
      <c r="T43" s="2"/>
      <c r="U43" s="73"/>
      <c r="X43" s="2"/>
      <c r="Y43" s="73"/>
      <c r="AB43" s="2"/>
      <c r="AC43" s="73"/>
    </row>
    <row r="44" spans="1:29" x14ac:dyDescent="0.25">
      <c r="A44" s="152"/>
      <c r="B44" s="12" t="s">
        <v>83</v>
      </c>
      <c r="C44" s="339" t="s">
        <v>76</v>
      </c>
      <c r="D44" s="2">
        <v>0</v>
      </c>
      <c r="E44" s="356" t="str">
        <f>TEXT('MYP Assumptions'!$D$55,"0.00%")&amp;", STRS rate"</f>
        <v>12.58%, STRS rate</v>
      </c>
      <c r="F44" s="2"/>
      <c r="G44" s="83" t="str">
        <f t="shared" ref="G44:G53" si="17">IF(D44=0,"0.00%",(H44-D44)/D44)</f>
        <v>0.00%</v>
      </c>
      <c r="H44" s="2">
        <f>ROUND(H30*LEFT(I44,6),0)</f>
        <v>0</v>
      </c>
      <c r="I44" s="356" t="str">
        <f>TEXT('MYP Assumptions'!E55,"0.00%")&amp;", projected STRS rate"</f>
        <v>14.43%, projected STRS rate</v>
      </c>
      <c r="J44" s="66"/>
      <c r="K44" s="83" t="str">
        <f t="shared" ref="K44:K53" si="18">IF(H44=0,"0.00%",(L44-H44)/H44)</f>
        <v>0.00%</v>
      </c>
      <c r="L44" s="2">
        <f>ROUND(L30*LEFT(M44,6),0)</f>
        <v>0</v>
      </c>
      <c r="M44" s="356" t="str">
        <f>TEXT('MYP Assumptions'!F55,"0.00%")&amp;", projected STRS rate"</f>
        <v>16.28%, projected STRS rate</v>
      </c>
      <c r="O44" s="83" t="str">
        <f t="shared" ref="O44:O53" si="19">IF(L44=0,"0.00%",(P44-L44)/L44)</f>
        <v>0.00%</v>
      </c>
      <c r="P44" s="2">
        <f>ROUND(P30*LEFT(Q44,6),0)</f>
        <v>0</v>
      </c>
      <c r="Q44" s="356" t="str">
        <f>TEXT('MYP Assumptions'!G55,"0.00%")&amp;", projected STRS rate"</f>
        <v>18.13%, projected STRS rate</v>
      </c>
      <c r="S44" s="83" t="str">
        <f t="shared" ref="S44:S53" si="20">IF(P44=0,"0.00%",(T44-P44)/P44)</f>
        <v>0.00%</v>
      </c>
      <c r="T44" s="2">
        <f>ROUND(T30*LEFT(U44,6),0)</f>
        <v>0</v>
      </c>
      <c r="U44" s="81" t="str">
        <f>TEXT('MYP Assumptions'!H55,"0.00%")&amp;", projected STRS rate"</f>
        <v>19.10%, projected STRS rate</v>
      </c>
      <c r="W44" s="83" t="str">
        <f t="shared" ref="W44:W53" si="21">IF(T44=0,"0.00%",(X44-T44)/T44)</f>
        <v>0.00%</v>
      </c>
      <c r="X44" s="2">
        <f>ROUND(X30*LEFT(Y44,6),0)</f>
        <v>0</v>
      </c>
      <c r="Y44" s="81" t="str">
        <f>TEXT('MYP Assumptions'!I55,"0.00%")&amp;", projected STRS rate"</f>
        <v>19.10%, projected STRS rate</v>
      </c>
      <c r="AA44" s="83" t="str">
        <f t="shared" ref="AA44:AA53" si="22">IF(X44=0,"0.00%",(AB44-X44)/X44)</f>
        <v>0.00%</v>
      </c>
      <c r="AB44" s="2">
        <f>ROUND(AB30*LEFT(AC44,6),0)</f>
        <v>0</v>
      </c>
      <c r="AC44" s="81" t="str">
        <f>TEXT('MYP Assumptions'!J55,"0.00%")&amp;", projected STRS rate"</f>
        <v>19.10%, projected STRS rate</v>
      </c>
    </row>
    <row r="45" spans="1:29" x14ac:dyDescent="0.25">
      <c r="A45" s="152"/>
      <c r="B45" s="12" t="s">
        <v>84</v>
      </c>
      <c r="C45" s="339" t="s">
        <v>77</v>
      </c>
      <c r="D45" s="2">
        <v>0</v>
      </c>
      <c r="E45" s="356" t="str">
        <f>TEXT('MYP Assumptions'!$D$56,"0.00%")&amp;", PERS rate"</f>
        <v>13.89%, PERS rate</v>
      </c>
      <c r="F45" s="2"/>
      <c r="G45" s="83" t="str">
        <f t="shared" si="17"/>
        <v>0.00%</v>
      </c>
      <c r="H45" s="2">
        <f>ROUND(H41*LEFT(I45,6),0)</f>
        <v>0</v>
      </c>
      <c r="I45" s="356" t="str">
        <f>TEXT('MYP Assumptions'!E56,"0.00%")&amp;", projected PERS rate"</f>
        <v>15.53%, projected PERS rate</v>
      </c>
      <c r="J45" s="66"/>
      <c r="K45" s="83" t="str">
        <f t="shared" si="18"/>
        <v>0.00%</v>
      </c>
      <c r="L45" s="2">
        <f>ROUND(L41*LEFT(M45,6),0)</f>
        <v>0</v>
      </c>
      <c r="M45" s="356" t="str">
        <f>TEXT('MYP Assumptions'!F56,"0.00%")&amp;", projected PERS rate"</f>
        <v>18.10%, projected PERS rate</v>
      </c>
      <c r="O45" s="83" t="str">
        <f t="shared" si="19"/>
        <v>0.00%</v>
      </c>
      <c r="P45" s="2">
        <f>ROUND(P41*LEFT(Q45,6),0)</f>
        <v>0</v>
      </c>
      <c r="Q45" s="356" t="str">
        <f>TEXT('MYP Assumptions'!G56,"0.00%")&amp;", projected PERS rate"</f>
        <v>20.80%, projected PERS rate</v>
      </c>
      <c r="S45" s="83" t="str">
        <f t="shared" si="20"/>
        <v>0.00%</v>
      </c>
      <c r="T45" s="2">
        <f>ROUND(T41*LEFT(U45,6),0)</f>
        <v>0</v>
      </c>
      <c r="U45" s="81" t="str">
        <f>TEXT('MYP Assumptions'!H56,"0.00%")&amp;", projected PERS rate"</f>
        <v>23.80%, projected PERS rate</v>
      </c>
      <c r="W45" s="83" t="str">
        <f t="shared" si="21"/>
        <v>0.00%</v>
      </c>
      <c r="X45" s="2">
        <f>ROUND(X41*LEFT(Y45,6),0)</f>
        <v>0</v>
      </c>
      <c r="Y45" s="81" t="str">
        <f>TEXT('MYP Assumptions'!I56,"0.00%")&amp;", projected PERS rate"</f>
        <v>25.20%, projected PERS rate</v>
      </c>
      <c r="AA45" s="83" t="str">
        <f t="shared" si="22"/>
        <v>0.00%</v>
      </c>
      <c r="AB45" s="2">
        <f>ROUND(AB41*LEFT(AC45,6),0)</f>
        <v>0</v>
      </c>
      <c r="AC45" s="81" t="str">
        <f>TEXT('MYP Assumptions'!J56,"0.00%")&amp;", projected PERS rate"</f>
        <v>26.10%, projected PERS rate</v>
      </c>
    </row>
    <row r="46" spans="1:29" x14ac:dyDescent="0.25">
      <c r="A46" s="152"/>
      <c r="B46" s="12" t="s">
        <v>85</v>
      </c>
      <c r="C46" s="339" t="s">
        <v>78</v>
      </c>
      <c r="D46" s="2">
        <v>0</v>
      </c>
      <c r="E46" s="356" t="str">
        <f>TEXT('MYP Assumptions'!$D$57,"0.00%")&amp;", SS rate"</f>
        <v>6.20%, SS rate</v>
      </c>
      <c r="F46" s="2"/>
      <c r="G46" s="83" t="str">
        <f t="shared" si="17"/>
        <v>0.00%</v>
      </c>
      <c r="H46" s="2">
        <f>ROUND(H41*LEFT(I46,5),0)</f>
        <v>0</v>
      </c>
      <c r="I46" s="356" t="str">
        <f>TEXT('MYP Assumptions'!E57,"0.00%")&amp;", no rate change"</f>
        <v>6.20%, no rate change</v>
      </c>
      <c r="J46" s="66"/>
      <c r="K46" s="83" t="str">
        <f t="shared" si="18"/>
        <v>0.00%</v>
      </c>
      <c r="L46" s="2">
        <f>ROUND(L41*LEFT(M46,5),0)</f>
        <v>0</v>
      </c>
      <c r="M46" s="356" t="str">
        <f>TEXT('MYP Assumptions'!F57,"0.00%")&amp;", no rate change"</f>
        <v>6.20%, no rate change</v>
      </c>
      <c r="O46" s="83" t="str">
        <f t="shared" si="19"/>
        <v>0.00%</v>
      </c>
      <c r="P46" s="2">
        <f>ROUND(P41*LEFT(Q46,5),0)</f>
        <v>0</v>
      </c>
      <c r="Q46" s="356" t="str">
        <f>TEXT('MYP Assumptions'!G57,"0.00%")&amp;", no rate change"</f>
        <v>6.20%, no rate change</v>
      </c>
      <c r="S46" s="83" t="str">
        <f t="shared" si="20"/>
        <v>0.00%</v>
      </c>
      <c r="T46" s="2">
        <f>ROUND(T41*LEFT(U46,5),0)</f>
        <v>0</v>
      </c>
      <c r="U46" s="81" t="str">
        <f>TEXT('MYP Assumptions'!H57,"0.00%")&amp;", no rate change"</f>
        <v>6.20%, no rate change</v>
      </c>
      <c r="W46" s="83" t="str">
        <f t="shared" si="21"/>
        <v>0.00%</v>
      </c>
      <c r="X46" s="2">
        <f>ROUND(X41*LEFT(Y46,5),0)</f>
        <v>0</v>
      </c>
      <c r="Y46" s="81" t="str">
        <f>TEXT('MYP Assumptions'!I57,"0.00%")&amp;", no rate change"</f>
        <v>6.20%, no rate change</v>
      </c>
      <c r="AA46" s="83" t="str">
        <f t="shared" si="22"/>
        <v>0.00%</v>
      </c>
      <c r="AB46" s="2">
        <f>ROUND(AB41*LEFT(AC46,5),0)</f>
        <v>0</v>
      </c>
      <c r="AC46" s="81" t="str">
        <f>TEXT('MYP Assumptions'!J57,"0.00%")&amp;", no rate change"</f>
        <v>6.20%, no rate change</v>
      </c>
    </row>
    <row r="47" spans="1:29" x14ac:dyDescent="0.25">
      <c r="A47" s="152"/>
      <c r="B47" s="12" t="s">
        <v>86</v>
      </c>
      <c r="C47" s="339" t="s">
        <v>79</v>
      </c>
      <c r="D47" s="2">
        <v>0</v>
      </c>
      <c r="E47" s="356" t="str">
        <f>TEXT('MYP Assumptions'!$D$58,"0.00%")&amp;", Medicare rate"</f>
        <v>1.45%, Medicare rate</v>
      </c>
      <c r="F47" s="2"/>
      <c r="G47" s="83" t="str">
        <f t="shared" si="17"/>
        <v>0.00%</v>
      </c>
      <c r="H47" s="2">
        <f>ROUND((H41+H30)*LEFT(I47,5),0)</f>
        <v>0</v>
      </c>
      <c r="I47" s="356" t="str">
        <f>TEXT('MYP Assumptions'!E58,"0.00%")&amp;", no rate change"</f>
        <v>1.45%, no rate change</v>
      </c>
      <c r="J47" s="66"/>
      <c r="K47" s="83" t="str">
        <f t="shared" si="18"/>
        <v>0.00%</v>
      </c>
      <c r="L47" s="2">
        <f>ROUND((L41+L30)*LEFT(M47,5),0)</f>
        <v>0</v>
      </c>
      <c r="M47" s="356" t="str">
        <f>TEXT('MYP Assumptions'!F58,"0.00%")&amp;", no rate change"</f>
        <v>1.45%, no rate change</v>
      </c>
      <c r="O47" s="83" t="str">
        <f t="shared" si="19"/>
        <v>0.00%</v>
      </c>
      <c r="P47" s="2">
        <f>ROUND((P41+P30)*LEFT(Q47,5),0)</f>
        <v>0</v>
      </c>
      <c r="Q47" s="356" t="str">
        <f>TEXT('MYP Assumptions'!G58,"0.00%")&amp;", no rate change"</f>
        <v>1.45%, no rate change</v>
      </c>
      <c r="S47" s="83" t="str">
        <f t="shared" si="20"/>
        <v>0.00%</v>
      </c>
      <c r="T47" s="2">
        <f>ROUND((T41+T30)*LEFT(U47,5),0)</f>
        <v>0</v>
      </c>
      <c r="U47" s="81" t="str">
        <f>TEXT('MYP Assumptions'!H58,"0.00%")&amp;", no rate change"</f>
        <v>1.45%, no rate change</v>
      </c>
      <c r="W47" s="83" t="str">
        <f t="shared" si="21"/>
        <v>0.00%</v>
      </c>
      <c r="X47" s="2">
        <f>ROUND((X41+X30)*LEFT(Y47,5),0)</f>
        <v>0</v>
      </c>
      <c r="Y47" s="81" t="str">
        <f>TEXT('MYP Assumptions'!I58,"0.00%")&amp;", no rate change"</f>
        <v>1.45%, no rate change</v>
      </c>
      <c r="AA47" s="83" t="str">
        <f t="shared" si="22"/>
        <v>0.00%</v>
      </c>
      <c r="AB47" s="2">
        <f>ROUND((AB41+AB30)*LEFT(AC47,5),0)</f>
        <v>0</v>
      </c>
      <c r="AC47" s="81" t="str">
        <f>TEXT('MYP Assumptions'!J58,"0.00%")&amp;", no rate change"</f>
        <v>1.45%, no rate change</v>
      </c>
    </row>
    <row r="48" spans="1:29" x14ac:dyDescent="0.25">
      <c r="A48" s="152"/>
      <c r="B48" s="12" t="s">
        <v>87</v>
      </c>
      <c r="C48" s="339" t="s">
        <v>80</v>
      </c>
      <c r="D48" s="2">
        <v>0</v>
      </c>
      <c r="E48" s="356"/>
      <c r="F48" s="2"/>
      <c r="G48" s="83" t="str">
        <f t="shared" si="17"/>
        <v>0.00%</v>
      </c>
      <c r="H48" s="2">
        <f>ROUND((D48)*(LEFT(I48,5)+1),0)</f>
        <v>0</v>
      </c>
      <c r="I48" s="356" t="str">
        <f>TEXT('MYP Assumptions'!$M$65,"0.00%")&amp;", projected increase"</f>
        <v>7.00%, projected increase</v>
      </c>
      <c r="J48" s="66"/>
      <c r="K48" s="83" t="str">
        <f t="shared" si="18"/>
        <v>0.00%</v>
      </c>
      <c r="L48" s="2">
        <f>ROUND((H48)*(LEFT(M48,5)+1),0)</f>
        <v>0</v>
      </c>
      <c r="M48" s="356" t="str">
        <f>TEXT('MYP Assumptions'!$M$65,"0.00%")&amp;", projected increase"</f>
        <v>7.00%, projected increase</v>
      </c>
      <c r="O48" s="83" t="str">
        <f t="shared" si="19"/>
        <v>0.00%</v>
      </c>
      <c r="P48" s="2">
        <f>ROUND((L48)*(LEFT(Q48,5)+1),0)</f>
        <v>0</v>
      </c>
      <c r="Q48" s="356" t="str">
        <f>TEXT('MYP Assumptions'!$M$65,"0.00%")&amp;", projected increase"</f>
        <v>7.00%, projected increase</v>
      </c>
      <c r="S48" s="83" t="str">
        <f t="shared" si="20"/>
        <v>0.00%</v>
      </c>
      <c r="T48" s="2">
        <f>ROUND((P48)*(LEFT(U48,5)+1),0)</f>
        <v>0</v>
      </c>
      <c r="U48" s="81" t="str">
        <f>TEXT('MYP Assumptions'!$M$65,"0.00%")&amp;", projected increase"</f>
        <v>7.00%, projected increase</v>
      </c>
      <c r="W48" s="83" t="str">
        <f t="shared" si="21"/>
        <v>0.00%</v>
      </c>
      <c r="X48" s="2">
        <f>ROUND((T48)*(LEFT(Y48,5)+1),0)</f>
        <v>0</v>
      </c>
      <c r="Y48" s="81" t="str">
        <f>TEXT('MYP Assumptions'!$M$65,"0.00%")&amp;", projected increase"</f>
        <v>7.00%, projected increase</v>
      </c>
      <c r="AA48" s="83" t="str">
        <f t="shared" si="22"/>
        <v>0.00%</v>
      </c>
      <c r="AB48" s="2">
        <f>ROUND((X48)*(LEFT(AC48,5)+1),0)</f>
        <v>0</v>
      </c>
      <c r="AC48" s="81" t="str">
        <f>TEXT('MYP Assumptions'!$M$65,"0.00%")&amp;", projected increase"</f>
        <v>7.00%, projected increase</v>
      </c>
    </row>
    <row r="49" spans="1:29" x14ac:dyDescent="0.25">
      <c r="A49" s="152"/>
      <c r="B49" s="12" t="s">
        <v>88</v>
      </c>
      <c r="C49" s="339" t="s">
        <v>81</v>
      </c>
      <c r="D49" s="2">
        <v>0</v>
      </c>
      <c r="E49" s="356" t="str">
        <f>TEXT('MYP Assumptions'!$D$59,"0.00%")&amp;", SUI rate"</f>
        <v>0.05%, SUI rate</v>
      </c>
      <c r="F49" s="2"/>
      <c r="G49" s="83" t="str">
        <f t="shared" si="17"/>
        <v>0.00%</v>
      </c>
      <c r="H49" s="2">
        <f>ROUND((H41+H30)*LEFT(I49,5),0)</f>
        <v>0</v>
      </c>
      <c r="I49" s="356" t="str">
        <f>TEXT('MYP Assumptions'!E59,"0.00%")&amp;", no rate change"</f>
        <v>0.05%, no rate change</v>
      </c>
      <c r="J49" s="66"/>
      <c r="K49" s="83" t="str">
        <f t="shared" si="18"/>
        <v>0.00%</v>
      </c>
      <c r="L49" s="2">
        <f>ROUND((L41+L30)*LEFT(M49,5),0)</f>
        <v>0</v>
      </c>
      <c r="M49" s="356" t="str">
        <f>TEXT('MYP Assumptions'!F59,"0.00%")&amp;", no rate change"</f>
        <v>0.05%, no rate change</v>
      </c>
      <c r="O49" s="83" t="str">
        <f t="shared" si="19"/>
        <v>0.00%</v>
      </c>
      <c r="P49" s="2">
        <f>ROUND((P41+P30)*LEFT(Q49,5),0)</f>
        <v>0</v>
      </c>
      <c r="Q49" s="356" t="str">
        <f>TEXT('MYP Assumptions'!G59,"0.00%")&amp;", no rate change"</f>
        <v>0.05%, no rate change</v>
      </c>
      <c r="S49" s="83" t="str">
        <f t="shared" si="20"/>
        <v>0.00%</v>
      </c>
      <c r="T49" s="2">
        <f>ROUND((T41+T30)*LEFT(U49,5),0)</f>
        <v>0</v>
      </c>
      <c r="U49" s="81" t="str">
        <f>TEXT('MYP Assumptions'!H59,"0.00%")&amp;", no rate change"</f>
        <v>0.05%, no rate change</v>
      </c>
      <c r="W49" s="83" t="str">
        <f t="shared" si="21"/>
        <v>0.00%</v>
      </c>
      <c r="X49" s="2">
        <f>ROUND((X41+X30)*LEFT(Y49,5),0)</f>
        <v>0</v>
      </c>
      <c r="Y49" s="81" t="str">
        <f>TEXT('MYP Assumptions'!I59,"0.00%")&amp;", no rate change"</f>
        <v>0.05%, no rate change</v>
      </c>
      <c r="AA49" s="83" t="str">
        <f t="shared" si="22"/>
        <v>0.00%</v>
      </c>
      <c r="AB49" s="2">
        <f>ROUND((AB41+AB30)*LEFT(AC49,5),0)</f>
        <v>0</v>
      </c>
      <c r="AC49" s="81" t="str">
        <f>TEXT('MYP Assumptions'!J59,"0.00%")&amp;", no rate change"</f>
        <v>0.05%, no rate change</v>
      </c>
    </row>
    <row r="50" spans="1:29" x14ac:dyDescent="0.25">
      <c r="A50" s="152"/>
      <c r="B50" s="12" t="s">
        <v>89</v>
      </c>
      <c r="C50" s="339" t="s">
        <v>82</v>
      </c>
      <c r="D50" s="2">
        <v>0</v>
      </c>
      <c r="E50" s="356" t="str">
        <f>TEXT('MYP Assumptions'!$D$60,"0.00%")&amp;", W/C rate"</f>
        <v>1.10%, W/C rate</v>
      </c>
      <c r="F50" s="2"/>
      <c r="G50" s="83" t="str">
        <f t="shared" si="17"/>
        <v>0.00%</v>
      </c>
      <c r="H50" s="2">
        <f>ROUND((H41+H30)*LEFT(I50,5),0)</f>
        <v>0</v>
      </c>
      <c r="I50" s="356" t="str">
        <f>TEXT('MYP Assumptions'!E60,"0.00%")&amp;", no rate change"</f>
        <v>0.80%, no rate change</v>
      </c>
      <c r="J50" s="66"/>
      <c r="K50" s="83" t="str">
        <f t="shared" si="18"/>
        <v>0.00%</v>
      </c>
      <c r="L50" s="2">
        <f>ROUND((L41+L30)*LEFT(M50,5),0)</f>
        <v>0</v>
      </c>
      <c r="M50" s="356" t="str">
        <f>TEXT('MYP Assumptions'!F60,"0.00%")&amp;", no rate change"</f>
        <v>0.80%, no rate change</v>
      </c>
      <c r="O50" s="83" t="str">
        <f t="shared" si="19"/>
        <v>0.00%</v>
      </c>
      <c r="P50" s="2">
        <f>ROUND((P41+P30)*LEFT(Q50,5),0)</f>
        <v>0</v>
      </c>
      <c r="Q50" s="356" t="str">
        <f>TEXT('MYP Assumptions'!G60,"0.00%")&amp;", no rate change"</f>
        <v>0.80%, no rate change</v>
      </c>
      <c r="S50" s="83" t="str">
        <f t="shared" si="20"/>
        <v>0.00%</v>
      </c>
      <c r="T50" s="2">
        <f>ROUND((T41+T30)*LEFT(U50,5),0)</f>
        <v>0</v>
      </c>
      <c r="U50" s="81" t="str">
        <f>TEXT('MYP Assumptions'!H60,"0.00%")&amp;", no rate change"</f>
        <v>0.80%, no rate change</v>
      </c>
      <c r="W50" s="83" t="str">
        <f t="shared" si="21"/>
        <v>0.00%</v>
      </c>
      <c r="X50" s="2">
        <f>ROUND((X41+X30)*LEFT(Y50,5),0)</f>
        <v>0</v>
      </c>
      <c r="Y50" s="81" t="str">
        <f>TEXT('MYP Assumptions'!I60,"0.00%")&amp;", no rate change"</f>
        <v>0.80%, no rate change</v>
      </c>
      <c r="AA50" s="83" t="str">
        <f t="shared" si="22"/>
        <v>0.00%</v>
      </c>
      <c r="AB50" s="2">
        <f>ROUND((AB41+AB30)*LEFT(AC50,5),0)</f>
        <v>0</v>
      </c>
      <c r="AC50" s="81" t="str">
        <f>TEXT('MYP Assumptions'!J60,"0.00%")&amp;", no rate change"</f>
        <v>0.80%, no rate change</v>
      </c>
    </row>
    <row r="51" spans="1:29" x14ac:dyDescent="0.25">
      <c r="A51" s="152"/>
      <c r="B51" s="12" t="s">
        <v>90</v>
      </c>
      <c r="C51" s="339" t="s">
        <v>92</v>
      </c>
      <c r="D51" s="2">
        <v>0</v>
      </c>
      <c r="E51" s="333"/>
      <c r="F51" s="2"/>
      <c r="G51" s="83" t="str">
        <f t="shared" si="17"/>
        <v>0.00%</v>
      </c>
      <c r="H51" s="2">
        <f>D51</f>
        <v>0</v>
      </c>
      <c r="I51" s="356" t="s">
        <v>166</v>
      </c>
      <c r="J51" s="66"/>
      <c r="K51" s="83" t="str">
        <f t="shared" si="18"/>
        <v>0.00%</v>
      </c>
      <c r="L51" s="2">
        <f>H51</f>
        <v>0</v>
      </c>
      <c r="M51" s="356" t="s">
        <v>166</v>
      </c>
      <c r="O51" s="83" t="str">
        <f t="shared" si="19"/>
        <v>0.00%</v>
      </c>
      <c r="P51" s="2">
        <f>L51</f>
        <v>0</v>
      </c>
      <c r="Q51" s="356" t="s">
        <v>166</v>
      </c>
      <c r="S51" s="83" t="str">
        <f t="shared" si="20"/>
        <v>0.00%</v>
      </c>
      <c r="T51" s="2">
        <f>P51</f>
        <v>0</v>
      </c>
      <c r="U51" s="81" t="s">
        <v>166</v>
      </c>
      <c r="W51" s="83" t="str">
        <f t="shared" si="21"/>
        <v>0.00%</v>
      </c>
      <c r="X51" s="2">
        <f>T51</f>
        <v>0</v>
      </c>
      <c r="Y51" s="81" t="s">
        <v>166</v>
      </c>
      <c r="AA51" s="83" t="str">
        <f t="shared" si="22"/>
        <v>0.00%</v>
      </c>
      <c r="AB51" s="2">
        <f>X51</f>
        <v>0</v>
      </c>
      <c r="AC51" s="81" t="s">
        <v>166</v>
      </c>
    </row>
    <row r="52" spans="1:29" x14ac:dyDescent="0.25">
      <c r="A52" s="152"/>
      <c r="B52" s="12" t="s">
        <v>91</v>
      </c>
      <c r="C52" s="339" t="s">
        <v>93</v>
      </c>
      <c r="D52" s="2">
        <v>0</v>
      </c>
      <c r="E52" s="333"/>
      <c r="F52" s="2"/>
      <c r="G52" s="83" t="str">
        <f t="shared" si="17"/>
        <v>0.00%</v>
      </c>
      <c r="H52" s="2">
        <f>D52</f>
        <v>0</v>
      </c>
      <c r="I52" s="356" t="s">
        <v>166</v>
      </c>
      <c r="J52" s="66"/>
      <c r="K52" s="83" t="str">
        <f t="shared" si="18"/>
        <v>0.00%</v>
      </c>
      <c r="L52" s="2">
        <f>H52</f>
        <v>0</v>
      </c>
      <c r="M52" s="356" t="s">
        <v>166</v>
      </c>
      <c r="O52" s="83" t="str">
        <f t="shared" si="19"/>
        <v>0.00%</v>
      </c>
      <c r="P52" s="2">
        <f>L52</f>
        <v>0</v>
      </c>
      <c r="Q52" s="356" t="s">
        <v>166</v>
      </c>
      <c r="S52" s="83" t="str">
        <f t="shared" si="20"/>
        <v>0.00%</v>
      </c>
      <c r="T52" s="2">
        <f>P52</f>
        <v>0</v>
      </c>
      <c r="U52" s="81" t="s">
        <v>166</v>
      </c>
      <c r="W52" s="83" t="str">
        <f t="shared" si="21"/>
        <v>0.00%</v>
      </c>
      <c r="X52" s="2">
        <f>T52</f>
        <v>0</v>
      </c>
      <c r="Y52" s="81" t="s">
        <v>166</v>
      </c>
      <c r="AA52" s="83" t="str">
        <f t="shared" si="22"/>
        <v>0.00%</v>
      </c>
      <c r="AB52" s="2">
        <f>X52</f>
        <v>0</v>
      </c>
      <c r="AC52" s="81" t="s">
        <v>166</v>
      </c>
    </row>
    <row r="53" spans="1:29" x14ac:dyDescent="0.25">
      <c r="A53" s="153"/>
      <c r="B53" s="12"/>
      <c r="D53" s="8">
        <f>SUM(D44:D52)</f>
        <v>0</v>
      </c>
      <c r="E53" s="333"/>
      <c r="F53" s="2"/>
      <c r="G53" s="83" t="str">
        <f t="shared" si="17"/>
        <v>0.00%</v>
      </c>
      <c r="H53" s="8">
        <f>SUM(H44:H52)</f>
        <v>0</v>
      </c>
      <c r="I53" s="359"/>
      <c r="J53" s="29"/>
      <c r="K53" s="83" t="str">
        <f t="shared" si="18"/>
        <v>0.00%</v>
      </c>
      <c r="L53" s="8">
        <f>SUM(L44:L52)</f>
        <v>0</v>
      </c>
      <c r="M53" s="366"/>
      <c r="O53" s="83" t="str">
        <f t="shared" si="19"/>
        <v>0.00%</v>
      </c>
      <c r="P53" s="8">
        <f>SUM(P44:P52)</f>
        <v>0</v>
      </c>
      <c r="Q53" s="366"/>
      <c r="S53" s="83" t="str">
        <f t="shared" si="20"/>
        <v>0.00%</v>
      </c>
      <c r="T53" s="8">
        <f>SUM(T44:T52)</f>
        <v>0</v>
      </c>
      <c r="U53" s="73"/>
      <c r="W53" s="83" t="str">
        <f t="shared" si="21"/>
        <v>0.00%</v>
      </c>
      <c r="X53" s="8">
        <f>SUM(X44:X52)</f>
        <v>0</v>
      </c>
      <c r="Y53" s="73"/>
      <c r="AA53" s="83" t="str">
        <f t="shared" si="22"/>
        <v>0.00%</v>
      </c>
      <c r="AB53" s="8">
        <f>SUM(AB44:AB52)</f>
        <v>0</v>
      </c>
      <c r="AC53" s="73"/>
    </row>
    <row r="54" spans="1:29" x14ac:dyDescent="0.25">
      <c r="A54" s="154"/>
      <c r="B54" s="12"/>
      <c r="E54" s="333"/>
      <c r="F54" s="2"/>
      <c r="H54" s="2"/>
      <c r="I54" s="336"/>
      <c r="J54" s="66"/>
      <c r="L54" s="2"/>
      <c r="M54" s="366"/>
      <c r="Q54" s="366"/>
      <c r="T54" s="2"/>
      <c r="U54" s="73"/>
      <c r="X54" s="2"/>
      <c r="Y54" s="73"/>
      <c r="AB54" s="2"/>
      <c r="AC54" s="73"/>
    </row>
    <row r="55" spans="1:29" x14ac:dyDescent="0.25">
      <c r="A55" s="153"/>
      <c r="B55" s="21" t="s">
        <v>26</v>
      </c>
      <c r="D55" s="8">
        <f>SUM(D53,D41,D30)</f>
        <v>0</v>
      </c>
      <c r="E55" s="333"/>
      <c r="F55" s="2"/>
      <c r="G55" s="83" t="str">
        <f>IF(D55=0,"0.00%",(H55-D55)/D55)</f>
        <v>0.00%</v>
      </c>
      <c r="H55" s="8">
        <f>SUM(H53,H41,H30)</f>
        <v>0</v>
      </c>
      <c r="I55" s="359"/>
      <c r="J55" s="29"/>
      <c r="K55" s="83" t="str">
        <f>IF(H55=0,"0.00%",(L55-H55)/H55)</f>
        <v>0.00%</v>
      </c>
      <c r="L55" s="8">
        <f>SUM(L53,L41,L30)</f>
        <v>0</v>
      </c>
      <c r="M55" s="366"/>
      <c r="O55" s="83" t="str">
        <f>IF(L55=0,"0.00%",(P55-L55)/L55)</f>
        <v>0.00%</v>
      </c>
      <c r="P55" s="8">
        <f>SUM(P53,P41,P30)</f>
        <v>0</v>
      </c>
      <c r="Q55" s="366"/>
      <c r="S55" s="83" t="str">
        <f>IF(P55=0,"0.00%",(T55-P55)/P55)</f>
        <v>0.00%</v>
      </c>
      <c r="T55" s="8">
        <f>SUM(T53,T41,T30)</f>
        <v>0</v>
      </c>
      <c r="U55" s="73"/>
      <c r="W55" s="83" t="str">
        <f>IF(T55=0,"0.00%",(X55-T55)/T55)</f>
        <v>0.00%</v>
      </c>
      <c r="X55" s="8">
        <f>SUM(X53,X41,X30)</f>
        <v>0</v>
      </c>
      <c r="Y55" s="73"/>
      <c r="AA55" s="83" t="str">
        <f>IF(X55=0,"0.00%",(AB55-X55)/X55)</f>
        <v>0.00%</v>
      </c>
      <c r="AB55" s="8">
        <f>SUM(AB53,AB41,AB30)</f>
        <v>0</v>
      </c>
      <c r="AC55" s="73"/>
    </row>
    <row r="56" spans="1:29" x14ac:dyDescent="0.25">
      <c r="A56" s="155"/>
      <c r="E56" s="333"/>
      <c r="F56" s="2"/>
      <c r="H56" s="2"/>
      <c r="I56" s="336"/>
      <c r="J56" s="66"/>
      <c r="L56" s="2"/>
      <c r="M56" s="366"/>
      <c r="Q56" s="366"/>
      <c r="T56" s="2"/>
      <c r="U56" s="73"/>
      <c r="X56" s="2"/>
      <c r="Y56" s="73"/>
      <c r="AB56" s="2"/>
      <c r="AC56" s="73"/>
    </row>
    <row r="57" spans="1:29" x14ac:dyDescent="0.25">
      <c r="A57" s="152"/>
      <c r="E57" s="333"/>
      <c r="F57" s="2"/>
      <c r="H57" s="2"/>
      <c r="I57" s="336"/>
      <c r="J57" s="66"/>
      <c r="L57" s="2"/>
      <c r="M57" s="366"/>
      <c r="Q57" s="366"/>
      <c r="T57" s="2"/>
      <c r="U57" s="73"/>
      <c r="X57" s="2"/>
      <c r="Y57" s="73"/>
      <c r="AB57" s="2"/>
      <c r="AC57" s="73"/>
    </row>
    <row r="58" spans="1:29" x14ac:dyDescent="0.25">
      <c r="A58" s="155"/>
      <c r="B58" s="22" t="s">
        <v>25</v>
      </c>
      <c r="C58" s="342"/>
      <c r="E58" s="333"/>
      <c r="F58" s="2"/>
      <c r="H58" s="2"/>
      <c r="I58" s="336"/>
      <c r="J58" s="66"/>
      <c r="L58" s="2"/>
      <c r="M58" s="366"/>
      <c r="Q58" s="366"/>
      <c r="T58" s="2"/>
      <c r="U58" s="73"/>
      <c r="X58" s="2"/>
      <c r="Y58" s="73"/>
      <c r="AB58" s="2"/>
      <c r="AC58" s="73"/>
    </row>
    <row r="59" spans="1:29" x14ac:dyDescent="0.25">
      <c r="A59" s="152"/>
      <c r="B59" s="12"/>
      <c r="D59" s="2">
        <v>0</v>
      </c>
      <c r="E59" s="333"/>
      <c r="F59" s="2"/>
      <c r="G59" s="83" t="str">
        <f t="shared" ref="G59:G66" si="23">IF(D59=0,"0.00%",(H59-D59)/D59)</f>
        <v>0.00%</v>
      </c>
      <c r="H59" s="2">
        <f t="shared" ref="H59:H65" si="24">ROUND(D59*(LEFT(I59,5)+1),0)</f>
        <v>0</v>
      </c>
      <c r="I59" s="356" t="str">
        <f>TEXT('MYP Assumptions'!E75,"0.00%")&amp;", CPI"</f>
        <v>3.42%, CPI</v>
      </c>
      <c r="J59" s="66"/>
      <c r="K59" s="83" t="str">
        <f t="shared" ref="K59:K66" si="25">IF(H59=0,"0.00%",(L59-H59)/H59)</f>
        <v>0.00%</v>
      </c>
      <c r="L59" s="2">
        <f>ROUND(H59*(LEFT(M59,5)+1),0)</f>
        <v>0</v>
      </c>
      <c r="M59" s="356" t="str">
        <f>TEXT('MYP Assumptions'!F75,"0.00%")&amp;", CPI"</f>
        <v>3.35%, CPI</v>
      </c>
      <c r="O59" s="83" t="str">
        <f t="shared" ref="O59:O66" si="26">IF(L59=0,"0.00%",(P59-L59)/L59)</f>
        <v>0.00%</v>
      </c>
      <c r="P59" s="2">
        <f>ROUND(L59*(LEFT(Q59,5)+1),0)</f>
        <v>0</v>
      </c>
      <c r="Q59" s="356" t="str">
        <f>TEXT('MYP Assumptions'!G75,"0.00%")&amp;", CPI"</f>
        <v>3.02%, CPI</v>
      </c>
      <c r="S59" s="83" t="str">
        <f t="shared" ref="S59:S66" si="27">IF(P59=0,"0.00%",(T59-P59)/P59)</f>
        <v>0.00%</v>
      </c>
      <c r="T59" s="2">
        <f>ROUND(P59*(LEFT(U59,5)+1),0)</f>
        <v>0</v>
      </c>
      <c r="U59" s="81" t="str">
        <f>TEXT('MYP Assumptions'!H75,"0.00%")&amp;", CPI"</f>
        <v>2.73%, CPI</v>
      </c>
      <c r="W59" s="83" t="str">
        <f t="shared" ref="W59:W66" si="28">IF(T59=0,"0.00%",(X59-T59)/T59)</f>
        <v>0.00%</v>
      </c>
      <c r="X59" s="2">
        <f>ROUND(T59*(LEFT(Y59,5)+1),0)</f>
        <v>0</v>
      </c>
      <c r="Y59" s="81" t="str">
        <f>TEXT('MYP Assumptions'!I75,"0.00%")&amp;", CPI"</f>
        <v>2.73%, CPI</v>
      </c>
      <c r="AA59" s="83" t="str">
        <f t="shared" ref="AA59:AA66" si="29">IF(X59=0,"0.00%",(AB59-X59)/X59)</f>
        <v>0.00%</v>
      </c>
      <c r="AB59" s="2">
        <f>ROUND(X59*(LEFT(AC59,5)+1),0)</f>
        <v>0</v>
      </c>
      <c r="AC59" s="81" t="str">
        <f>TEXT('MYP Assumptions'!J75,"0.00%")&amp;", CPI"</f>
        <v>2.73%, CPI</v>
      </c>
    </row>
    <row r="60" spans="1:29" x14ac:dyDescent="0.25">
      <c r="A60" s="152"/>
      <c r="B60" s="12"/>
      <c r="D60" s="2">
        <v>0</v>
      </c>
      <c r="E60" s="333"/>
      <c r="F60" s="2"/>
      <c r="G60" s="83" t="str">
        <f t="shared" si="23"/>
        <v>0.00%</v>
      </c>
      <c r="H60" s="2">
        <f t="shared" si="24"/>
        <v>0</v>
      </c>
      <c r="I60" s="356" t="str">
        <f>TEXT('MYP Assumptions'!E75,"0.00%")&amp;", CPI"</f>
        <v>3.42%, CPI</v>
      </c>
      <c r="J60" s="66"/>
      <c r="K60" s="83" t="str">
        <f t="shared" si="25"/>
        <v>0.00%</v>
      </c>
      <c r="L60" s="2">
        <f t="shared" ref="L60:L65" si="30">ROUND(H60*(LEFT(M60,5)+1),0)</f>
        <v>0</v>
      </c>
      <c r="M60" s="356" t="str">
        <f>TEXT('MYP Assumptions'!F75,"0.00%")&amp;", CPI"</f>
        <v>3.35%, CPI</v>
      </c>
      <c r="O60" s="83" t="str">
        <f t="shared" si="26"/>
        <v>0.00%</v>
      </c>
      <c r="P60" s="2">
        <f t="shared" ref="P60:P65" si="31">ROUND(L60*(LEFT(Q60,5)+1),0)</f>
        <v>0</v>
      </c>
      <c r="Q60" s="356" t="str">
        <f>TEXT('MYP Assumptions'!G75,"0.00%")&amp;", CPI"</f>
        <v>3.02%, CPI</v>
      </c>
      <c r="S60" s="83" t="str">
        <f t="shared" si="27"/>
        <v>0.00%</v>
      </c>
      <c r="T60" s="2">
        <f t="shared" ref="T60:T65" si="32">ROUND(P60*(LEFT(U60,5)+1),0)</f>
        <v>0</v>
      </c>
      <c r="U60" s="81" t="str">
        <f>TEXT('MYP Assumptions'!H75,"0.00%")&amp;", CPI"</f>
        <v>2.73%, CPI</v>
      </c>
      <c r="W60" s="83" t="str">
        <f t="shared" si="28"/>
        <v>0.00%</v>
      </c>
      <c r="X60" s="2">
        <f t="shared" ref="X60:X65" si="33">ROUND(T60*(LEFT(Y60,5)+1),0)</f>
        <v>0</v>
      </c>
      <c r="Y60" s="81" t="str">
        <f>TEXT('MYP Assumptions'!I75,"0.00%")&amp;", CPI"</f>
        <v>2.73%, CPI</v>
      </c>
      <c r="AA60" s="83" t="str">
        <f t="shared" si="29"/>
        <v>0.00%</v>
      </c>
      <c r="AB60" s="2">
        <f t="shared" ref="AB60:AB65" si="34">ROUND(X60*(LEFT(AC60,5)+1),0)</f>
        <v>0</v>
      </c>
      <c r="AC60" s="81" t="str">
        <f>TEXT('MYP Assumptions'!J75,"0.00%")&amp;", CPI"</f>
        <v>2.73%, CPI</v>
      </c>
    </row>
    <row r="61" spans="1:29" x14ac:dyDescent="0.25">
      <c r="A61" s="152"/>
      <c r="B61" s="12"/>
      <c r="D61" s="2">
        <v>0</v>
      </c>
      <c r="E61" s="333"/>
      <c r="F61" s="2"/>
      <c r="G61" s="83" t="str">
        <f t="shared" si="23"/>
        <v>0.00%</v>
      </c>
      <c r="H61" s="2">
        <f t="shared" si="24"/>
        <v>0</v>
      </c>
      <c r="I61" s="356" t="str">
        <f>TEXT('MYP Assumptions'!E75,"0.00%")&amp;", CPI"</f>
        <v>3.42%, CPI</v>
      </c>
      <c r="J61" s="66"/>
      <c r="K61" s="83" t="str">
        <f t="shared" si="25"/>
        <v>0.00%</v>
      </c>
      <c r="L61" s="2">
        <f t="shared" si="30"/>
        <v>0</v>
      </c>
      <c r="M61" s="356" t="str">
        <f>TEXT('MYP Assumptions'!F75,"0.00%")&amp;", CPI"</f>
        <v>3.35%, CPI</v>
      </c>
      <c r="O61" s="83" t="str">
        <f t="shared" si="26"/>
        <v>0.00%</v>
      </c>
      <c r="P61" s="2">
        <f t="shared" si="31"/>
        <v>0</v>
      </c>
      <c r="Q61" s="356" t="str">
        <f>TEXT('MYP Assumptions'!G75,"0.00%")&amp;", CPI"</f>
        <v>3.02%, CPI</v>
      </c>
      <c r="S61" s="83" t="str">
        <f t="shared" si="27"/>
        <v>0.00%</v>
      </c>
      <c r="T61" s="2">
        <f t="shared" si="32"/>
        <v>0</v>
      </c>
      <c r="U61" s="81" t="str">
        <f>TEXT('MYP Assumptions'!H75,"0.00%")&amp;", CPI"</f>
        <v>2.73%, CPI</v>
      </c>
      <c r="W61" s="83" t="str">
        <f t="shared" si="28"/>
        <v>0.00%</v>
      </c>
      <c r="X61" s="2">
        <f t="shared" si="33"/>
        <v>0</v>
      </c>
      <c r="Y61" s="81" t="str">
        <f>TEXT('MYP Assumptions'!I75,"0.00%")&amp;", CPI"</f>
        <v>2.73%, CPI</v>
      </c>
      <c r="AA61" s="83" t="str">
        <f t="shared" si="29"/>
        <v>0.00%</v>
      </c>
      <c r="AB61" s="2">
        <f t="shared" si="34"/>
        <v>0</v>
      </c>
      <c r="AC61" s="81" t="str">
        <f>TEXT('MYP Assumptions'!J75,"0.00%")&amp;", CPI"</f>
        <v>2.73%, CPI</v>
      </c>
    </row>
    <row r="62" spans="1:29" x14ac:dyDescent="0.25">
      <c r="A62" s="152"/>
      <c r="B62" s="12"/>
      <c r="D62" s="2">
        <v>0</v>
      </c>
      <c r="E62" s="333"/>
      <c r="F62" s="2"/>
      <c r="G62" s="83" t="str">
        <f t="shared" si="23"/>
        <v>0.00%</v>
      </c>
      <c r="H62" s="2">
        <f t="shared" si="24"/>
        <v>0</v>
      </c>
      <c r="I62" s="356" t="str">
        <f>TEXT('MYP Assumptions'!E75,"0.00%")&amp;", CPI"</f>
        <v>3.42%, CPI</v>
      </c>
      <c r="J62" s="66"/>
      <c r="K62" s="83" t="str">
        <f t="shared" si="25"/>
        <v>0.00%</v>
      </c>
      <c r="L62" s="2">
        <f t="shared" si="30"/>
        <v>0</v>
      </c>
      <c r="M62" s="356" t="str">
        <f>TEXT('MYP Assumptions'!F75,"0.00%")&amp;", CPI"</f>
        <v>3.35%, CPI</v>
      </c>
      <c r="O62" s="83" t="str">
        <f t="shared" si="26"/>
        <v>0.00%</v>
      </c>
      <c r="P62" s="2">
        <f t="shared" si="31"/>
        <v>0</v>
      </c>
      <c r="Q62" s="356" t="str">
        <f>TEXT('MYP Assumptions'!G75,"0.00%")&amp;", CPI"</f>
        <v>3.02%, CPI</v>
      </c>
      <c r="S62" s="83" t="str">
        <f t="shared" si="27"/>
        <v>0.00%</v>
      </c>
      <c r="T62" s="2">
        <f t="shared" si="32"/>
        <v>0</v>
      </c>
      <c r="U62" s="81" t="str">
        <f>TEXT('MYP Assumptions'!H75,"0.00%")&amp;", CPI"</f>
        <v>2.73%, CPI</v>
      </c>
      <c r="W62" s="83" t="str">
        <f t="shared" si="28"/>
        <v>0.00%</v>
      </c>
      <c r="X62" s="2">
        <f t="shared" si="33"/>
        <v>0</v>
      </c>
      <c r="Y62" s="81" t="str">
        <f>TEXT('MYP Assumptions'!I75,"0.00%")&amp;", CPI"</f>
        <v>2.73%, CPI</v>
      </c>
      <c r="AA62" s="83" t="str">
        <f t="shared" si="29"/>
        <v>0.00%</v>
      </c>
      <c r="AB62" s="2">
        <f t="shared" si="34"/>
        <v>0</v>
      </c>
      <c r="AC62" s="81" t="str">
        <f>TEXT('MYP Assumptions'!J75,"0.00%")&amp;", CPI"</f>
        <v>2.73%, CPI</v>
      </c>
    </row>
    <row r="63" spans="1:29" x14ac:dyDescent="0.25">
      <c r="A63" s="152"/>
      <c r="B63" s="12"/>
      <c r="D63" s="2">
        <v>0</v>
      </c>
      <c r="E63" s="333"/>
      <c r="F63" s="2"/>
      <c r="G63" s="83" t="str">
        <f t="shared" si="23"/>
        <v>0.00%</v>
      </c>
      <c r="H63" s="2">
        <f t="shared" si="24"/>
        <v>0</v>
      </c>
      <c r="I63" s="356" t="str">
        <f>TEXT('MYP Assumptions'!E75,"0.00%")&amp;", CPI"</f>
        <v>3.42%, CPI</v>
      </c>
      <c r="J63" s="66"/>
      <c r="K63" s="83" t="str">
        <f t="shared" si="25"/>
        <v>0.00%</v>
      </c>
      <c r="L63" s="2">
        <f t="shared" si="30"/>
        <v>0</v>
      </c>
      <c r="M63" s="356" t="str">
        <f>TEXT('MYP Assumptions'!F75,"0.00%")&amp;", CPI"</f>
        <v>3.35%, CPI</v>
      </c>
      <c r="O63" s="83" t="str">
        <f t="shared" si="26"/>
        <v>0.00%</v>
      </c>
      <c r="P63" s="2">
        <f t="shared" si="31"/>
        <v>0</v>
      </c>
      <c r="Q63" s="356" t="str">
        <f>TEXT('MYP Assumptions'!G75,"0.00%")&amp;", CPI"</f>
        <v>3.02%, CPI</v>
      </c>
      <c r="S63" s="83" t="str">
        <f t="shared" si="27"/>
        <v>0.00%</v>
      </c>
      <c r="T63" s="2">
        <f t="shared" si="32"/>
        <v>0</v>
      </c>
      <c r="U63" s="81" t="str">
        <f>TEXT('MYP Assumptions'!H75,"0.00%")&amp;", CPI"</f>
        <v>2.73%, CPI</v>
      </c>
      <c r="W63" s="83" t="str">
        <f t="shared" si="28"/>
        <v>0.00%</v>
      </c>
      <c r="X63" s="2">
        <f t="shared" si="33"/>
        <v>0</v>
      </c>
      <c r="Y63" s="81" t="str">
        <f>TEXT('MYP Assumptions'!I75,"0.00%")&amp;", CPI"</f>
        <v>2.73%, CPI</v>
      </c>
      <c r="AA63" s="83" t="str">
        <f t="shared" si="29"/>
        <v>0.00%</v>
      </c>
      <c r="AB63" s="2">
        <f t="shared" si="34"/>
        <v>0</v>
      </c>
      <c r="AC63" s="81" t="str">
        <f>TEXT('MYP Assumptions'!J75,"0.00%")&amp;", CPI"</f>
        <v>2.73%, CPI</v>
      </c>
    </row>
    <row r="64" spans="1:29" x14ac:dyDescent="0.25">
      <c r="A64" s="152"/>
      <c r="B64" s="12"/>
      <c r="D64" s="2">
        <v>0</v>
      </c>
      <c r="E64" s="333"/>
      <c r="F64" s="2"/>
      <c r="G64" s="83" t="str">
        <f t="shared" si="23"/>
        <v>0.00%</v>
      </c>
      <c r="H64" s="2">
        <f t="shared" si="24"/>
        <v>0</v>
      </c>
      <c r="I64" s="356" t="str">
        <f>TEXT('MYP Assumptions'!E75,"0.00%")&amp;", CPI"</f>
        <v>3.42%, CPI</v>
      </c>
      <c r="J64" s="66"/>
      <c r="K64" s="83" t="str">
        <f t="shared" si="25"/>
        <v>0.00%</v>
      </c>
      <c r="L64" s="2">
        <f t="shared" si="30"/>
        <v>0</v>
      </c>
      <c r="M64" s="356" t="str">
        <f>TEXT('MYP Assumptions'!F75,"0.00%")&amp;", CPI"</f>
        <v>3.35%, CPI</v>
      </c>
      <c r="O64" s="83" t="str">
        <f t="shared" si="26"/>
        <v>0.00%</v>
      </c>
      <c r="P64" s="2">
        <f t="shared" si="31"/>
        <v>0</v>
      </c>
      <c r="Q64" s="356" t="str">
        <f>TEXT('MYP Assumptions'!G75,"0.00%")&amp;", CPI"</f>
        <v>3.02%, CPI</v>
      </c>
      <c r="S64" s="83" t="str">
        <f t="shared" si="27"/>
        <v>0.00%</v>
      </c>
      <c r="T64" s="2">
        <f t="shared" si="32"/>
        <v>0</v>
      </c>
      <c r="U64" s="81" t="str">
        <f>TEXT('MYP Assumptions'!H75,"0.00%")&amp;", CPI"</f>
        <v>2.73%, CPI</v>
      </c>
      <c r="W64" s="83" t="str">
        <f t="shared" si="28"/>
        <v>0.00%</v>
      </c>
      <c r="X64" s="2">
        <f t="shared" si="33"/>
        <v>0</v>
      </c>
      <c r="Y64" s="81" t="str">
        <f>TEXT('MYP Assumptions'!I75,"0.00%")&amp;", CPI"</f>
        <v>2.73%, CPI</v>
      </c>
      <c r="AA64" s="83" t="str">
        <f t="shared" si="29"/>
        <v>0.00%</v>
      </c>
      <c r="AB64" s="2">
        <f t="shared" si="34"/>
        <v>0</v>
      </c>
      <c r="AC64" s="81" t="str">
        <f>TEXT('MYP Assumptions'!J75,"0.00%")&amp;", CPI"</f>
        <v>2.73%, CPI</v>
      </c>
    </row>
    <row r="65" spans="1:29" x14ac:dyDescent="0.25">
      <c r="A65" s="152"/>
      <c r="B65" s="12"/>
      <c r="C65" s="343"/>
      <c r="D65" s="2">
        <v>0</v>
      </c>
      <c r="E65" s="333"/>
      <c r="F65" s="2"/>
      <c r="G65" s="83" t="str">
        <f t="shared" si="23"/>
        <v>0.00%</v>
      </c>
      <c r="H65" s="2">
        <f t="shared" si="24"/>
        <v>0</v>
      </c>
      <c r="I65" s="356" t="str">
        <f>TEXT('MYP Assumptions'!E75,"0.00%")&amp;", CPI"</f>
        <v>3.42%, CPI</v>
      </c>
      <c r="J65" s="66"/>
      <c r="K65" s="83" t="str">
        <f t="shared" si="25"/>
        <v>0.00%</v>
      </c>
      <c r="L65" s="2">
        <f t="shared" si="30"/>
        <v>0</v>
      </c>
      <c r="M65" s="356" t="str">
        <f>TEXT('MYP Assumptions'!F75,"0.00%")&amp;", CPI"</f>
        <v>3.35%, CPI</v>
      </c>
      <c r="O65" s="83" t="str">
        <f t="shared" si="26"/>
        <v>0.00%</v>
      </c>
      <c r="P65" s="2">
        <f t="shared" si="31"/>
        <v>0</v>
      </c>
      <c r="Q65" s="356" t="str">
        <f>TEXT('MYP Assumptions'!G75,"0.00%")&amp;", CPI"</f>
        <v>3.02%, CPI</v>
      </c>
      <c r="S65" s="83" t="str">
        <f t="shared" si="27"/>
        <v>0.00%</v>
      </c>
      <c r="T65" s="2">
        <f t="shared" si="32"/>
        <v>0</v>
      </c>
      <c r="U65" s="81" t="str">
        <f>TEXT('MYP Assumptions'!H75,"0.00%")&amp;", CPI"</f>
        <v>2.73%, CPI</v>
      </c>
      <c r="W65" s="83" t="str">
        <f t="shared" si="28"/>
        <v>0.00%</v>
      </c>
      <c r="X65" s="2">
        <f t="shared" si="33"/>
        <v>0</v>
      </c>
      <c r="Y65" s="81" t="str">
        <f>TEXT('MYP Assumptions'!I75,"0.00%")&amp;", CPI"</f>
        <v>2.73%, CPI</v>
      </c>
      <c r="AA65" s="83" t="str">
        <f t="shared" si="29"/>
        <v>0.00%</v>
      </c>
      <c r="AB65" s="2">
        <f t="shared" si="34"/>
        <v>0</v>
      </c>
      <c r="AC65" s="81" t="str">
        <f>TEXT('MYP Assumptions'!J75,"0.00%")&amp;", CPI"</f>
        <v>2.73%, CPI</v>
      </c>
    </row>
    <row r="66" spans="1:29" x14ac:dyDescent="0.25">
      <c r="A66" s="153"/>
      <c r="B66" s="339"/>
      <c r="D66" s="8">
        <f>SUM(D59:D65)</f>
        <v>0</v>
      </c>
      <c r="E66" s="333"/>
      <c r="F66" s="2"/>
      <c r="G66" s="83" t="str">
        <f t="shared" si="23"/>
        <v>0.00%</v>
      </c>
      <c r="H66" s="8">
        <f>SUM(H59:H65)</f>
        <v>0</v>
      </c>
      <c r="I66" s="359"/>
      <c r="J66" s="29"/>
      <c r="K66" s="83" t="str">
        <f t="shared" si="25"/>
        <v>0.00%</v>
      </c>
      <c r="L66" s="8">
        <f>SUM(L59:L65)</f>
        <v>0</v>
      </c>
      <c r="M66" s="366"/>
      <c r="O66" s="83" t="str">
        <f t="shared" si="26"/>
        <v>0.00%</v>
      </c>
      <c r="P66" s="8">
        <f>SUM(P59:P65)</f>
        <v>0</v>
      </c>
      <c r="Q66" s="366"/>
      <c r="S66" s="83" t="str">
        <f t="shared" si="27"/>
        <v>0.00%</v>
      </c>
      <c r="T66" s="8">
        <f>SUM(T59:T65)</f>
        <v>0</v>
      </c>
      <c r="U66" s="73"/>
      <c r="W66" s="83" t="str">
        <f t="shared" si="28"/>
        <v>0.00%</v>
      </c>
      <c r="X66" s="8">
        <f>SUM(X59:X65)</f>
        <v>0</v>
      </c>
      <c r="Y66" s="73"/>
      <c r="AA66" s="83" t="str">
        <f t="shared" si="29"/>
        <v>0.00%</v>
      </c>
      <c r="AB66" s="8">
        <f>SUM(AB59:AB65)</f>
        <v>0</v>
      </c>
      <c r="AC66" s="73"/>
    </row>
    <row r="67" spans="1:29" x14ac:dyDescent="0.25">
      <c r="A67" s="152"/>
      <c r="E67" s="333"/>
      <c r="F67" s="2"/>
      <c r="H67" s="2"/>
      <c r="I67" s="336"/>
      <c r="J67" s="66"/>
      <c r="L67" s="2"/>
      <c r="M67" s="366"/>
      <c r="Q67" s="366"/>
      <c r="T67" s="2"/>
      <c r="U67" s="73"/>
      <c r="X67" s="2"/>
      <c r="Y67" s="73"/>
      <c r="AB67" s="2"/>
      <c r="AC67" s="73"/>
    </row>
    <row r="68" spans="1:29" s="4" customFormat="1" x14ac:dyDescent="0.25">
      <c r="A68" s="150"/>
      <c r="B68" s="21" t="s">
        <v>16</v>
      </c>
      <c r="C68" s="342"/>
      <c r="D68" s="6"/>
      <c r="E68" s="335"/>
      <c r="F68" s="6"/>
      <c r="G68" s="373"/>
      <c r="H68" s="6"/>
      <c r="I68" s="342"/>
      <c r="J68" s="58"/>
      <c r="K68" s="380"/>
      <c r="L68" s="6"/>
      <c r="M68" s="367"/>
      <c r="O68" s="380"/>
      <c r="P68" s="6"/>
      <c r="Q68" s="367"/>
      <c r="R68" s="111"/>
      <c r="U68" s="71"/>
      <c r="Y68" s="71"/>
      <c r="AC68" s="71"/>
    </row>
    <row r="69" spans="1:29" x14ac:dyDescent="0.25">
      <c r="A69" s="152"/>
      <c r="B69" s="12"/>
      <c r="D69" s="2">
        <v>0</v>
      </c>
      <c r="E69" s="333"/>
      <c r="F69" s="2"/>
      <c r="G69" s="83" t="str">
        <f t="shared" ref="G69:G74" si="35">IF(D69=0,"0.00%",(H69-D69)/D69)</f>
        <v>0.00%</v>
      </c>
      <c r="H69" s="2">
        <f>ROUND(D69*(LEFT(I69,5)+1),0)</f>
        <v>0</v>
      </c>
      <c r="I69" s="356" t="str">
        <f>TEXT('MYP Assumptions'!E75,"0.00%")&amp;", CPI"</f>
        <v>3.42%, CPI</v>
      </c>
      <c r="J69" s="66"/>
      <c r="K69" s="83" t="str">
        <f t="shared" ref="K69:K82" si="36">IF(H69=0,"0.00%",(L69-H69)/H69)</f>
        <v>0.00%</v>
      </c>
      <c r="L69" s="2">
        <f>ROUND(H69*(LEFT(M69,5)+1),0)</f>
        <v>0</v>
      </c>
      <c r="M69" s="356" t="str">
        <f>TEXT('MYP Assumptions'!F75,"0.00%")&amp;", CPI"</f>
        <v>3.35%, CPI</v>
      </c>
      <c r="O69" s="83" t="str">
        <f t="shared" ref="O69:O82" si="37">IF(L69=0,"0.00%",(P69-L69)/L69)</f>
        <v>0.00%</v>
      </c>
      <c r="P69" s="2">
        <f>ROUND(L69*(LEFT(Q69,5)+1),0)</f>
        <v>0</v>
      </c>
      <c r="Q69" s="356" t="str">
        <f>TEXT('MYP Assumptions'!G75,"0.00%")&amp;", CPI"</f>
        <v>3.02%, CPI</v>
      </c>
      <c r="S69" s="83" t="str">
        <f t="shared" ref="S69:S82" si="38">IF(P69=0,"0.00%",(T69-P69)/P69)</f>
        <v>0.00%</v>
      </c>
      <c r="T69" s="2">
        <f>ROUND(P69*(LEFT(U69,5)+1),0)</f>
        <v>0</v>
      </c>
      <c r="U69" s="81" t="str">
        <f>TEXT('MYP Assumptions'!H75,"0.00%")&amp;", CPI"</f>
        <v>2.73%, CPI</v>
      </c>
      <c r="W69" s="83" t="str">
        <f t="shared" ref="W69:W82" si="39">IF(T69=0,"0.00%",(X69-T69)/T69)</f>
        <v>0.00%</v>
      </c>
      <c r="X69" s="2">
        <f>ROUND(T69*(LEFT(Y69,5)+1),0)</f>
        <v>0</v>
      </c>
      <c r="Y69" s="81" t="str">
        <f>TEXT('MYP Assumptions'!I75,"0.00%")&amp;", CPI"</f>
        <v>2.73%, CPI</v>
      </c>
      <c r="AA69" s="83" t="str">
        <f t="shared" ref="AA69:AA82" si="40">IF(X69=0,"0.00%",(AB69-X69)/X69)</f>
        <v>0.00%</v>
      </c>
      <c r="AB69" s="2">
        <f>ROUND(X69*(LEFT(AC69,5)+1),0)</f>
        <v>0</v>
      </c>
      <c r="AC69" s="81" t="str">
        <f>TEXT('MYP Assumptions'!J75,"0.00%")&amp;", CPI"</f>
        <v>2.73%, CPI</v>
      </c>
    </row>
    <row r="70" spans="1:29" x14ac:dyDescent="0.25">
      <c r="A70" s="152"/>
      <c r="B70" s="12"/>
      <c r="D70" s="2">
        <v>0</v>
      </c>
      <c r="E70" s="333"/>
      <c r="F70" s="2"/>
      <c r="G70" s="83" t="str">
        <f t="shared" si="35"/>
        <v>0.00%</v>
      </c>
      <c r="H70" s="2">
        <f>ROUND(D70*(LEFT(I70,5)+1),0)</f>
        <v>0</v>
      </c>
      <c r="I70" s="356" t="str">
        <f>TEXT('MYP Assumptions'!E75,"0.00%")&amp;", CPI"</f>
        <v>3.42%, CPI</v>
      </c>
      <c r="J70" s="66"/>
      <c r="K70" s="83" t="str">
        <f t="shared" si="36"/>
        <v>0.00%</v>
      </c>
      <c r="L70" s="2">
        <f t="shared" ref="L70:L81" si="41">ROUND(H70*(LEFT(M70,5)+1),0)</f>
        <v>0</v>
      </c>
      <c r="M70" s="356" t="str">
        <f>TEXT('MYP Assumptions'!F75,"0.00%")&amp;", CPI"</f>
        <v>3.35%, CPI</v>
      </c>
      <c r="O70" s="83" t="str">
        <f t="shared" si="37"/>
        <v>0.00%</v>
      </c>
      <c r="P70" s="2">
        <f t="shared" ref="P70:P81" si="42">ROUND(L70*(LEFT(Q70,5)+1),0)</f>
        <v>0</v>
      </c>
      <c r="Q70" s="356" t="str">
        <f>TEXT('MYP Assumptions'!G75,"0.00%")&amp;", CPI"</f>
        <v>3.02%, CPI</v>
      </c>
      <c r="S70" s="83" t="str">
        <f t="shared" si="38"/>
        <v>0.00%</v>
      </c>
      <c r="T70" s="2">
        <f t="shared" ref="T70:T81" si="43">ROUND(P70*(LEFT(U70,5)+1),0)</f>
        <v>0</v>
      </c>
      <c r="U70" s="81" t="str">
        <f>TEXT('MYP Assumptions'!H75,"0.00%")&amp;", CPI"</f>
        <v>2.73%, CPI</v>
      </c>
      <c r="W70" s="83" t="str">
        <f t="shared" si="39"/>
        <v>0.00%</v>
      </c>
      <c r="X70" s="2">
        <f t="shared" ref="X70:X81" si="44">ROUND(T70*(LEFT(Y70,5)+1),0)</f>
        <v>0</v>
      </c>
      <c r="Y70" s="81" t="str">
        <f>TEXT('MYP Assumptions'!I75,"0.00%")&amp;", CPI"</f>
        <v>2.73%, CPI</v>
      </c>
      <c r="AA70" s="83" t="str">
        <f t="shared" si="40"/>
        <v>0.00%</v>
      </c>
      <c r="AB70" s="2">
        <f t="shared" ref="AB70:AB81" si="45">ROUND(X70*(LEFT(AC70,5)+1),0)</f>
        <v>0</v>
      </c>
      <c r="AC70" s="81" t="str">
        <f>TEXT('MYP Assumptions'!J75,"0.00%")&amp;", CPI"</f>
        <v>2.73%, CPI</v>
      </c>
    </row>
    <row r="71" spans="1:29" x14ac:dyDescent="0.25">
      <c r="A71" s="152"/>
      <c r="B71" s="12"/>
      <c r="D71" s="2">
        <v>0</v>
      </c>
      <c r="E71" s="333"/>
      <c r="F71" s="2"/>
      <c r="G71" s="83" t="str">
        <f t="shared" si="35"/>
        <v>0.00%</v>
      </c>
      <c r="H71" s="2">
        <f t="shared" ref="H71:H76" si="46">ROUND(D71*(LEFT(I71,5)+1),0)</f>
        <v>0</v>
      </c>
      <c r="I71" s="356" t="str">
        <f>TEXT('MYP Assumptions'!E75,"0.00%")&amp;", CPI"</f>
        <v>3.42%, CPI</v>
      </c>
      <c r="J71" s="66"/>
      <c r="K71" s="83" t="str">
        <f t="shared" si="36"/>
        <v>0.00%</v>
      </c>
      <c r="L71" s="2">
        <f t="shared" si="41"/>
        <v>0</v>
      </c>
      <c r="M71" s="356" t="str">
        <f>TEXT('MYP Assumptions'!F75,"0.00%")&amp;", CPI"</f>
        <v>3.35%, CPI</v>
      </c>
      <c r="O71" s="83" t="str">
        <f t="shared" si="37"/>
        <v>0.00%</v>
      </c>
      <c r="P71" s="2">
        <f t="shared" si="42"/>
        <v>0</v>
      </c>
      <c r="Q71" s="356" t="str">
        <f>TEXT('MYP Assumptions'!G75,"0.00%")&amp;", CPI"</f>
        <v>3.02%, CPI</v>
      </c>
      <c r="S71" s="83" t="str">
        <f t="shared" si="38"/>
        <v>0.00%</v>
      </c>
      <c r="T71" s="2">
        <f t="shared" si="43"/>
        <v>0</v>
      </c>
      <c r="U71" s="81" t="str">
        <f>TEXT('MYP Assumptions'!H75,"0.00%")&amp;", CPI"</f>
        <v>2.73%, CPI</v>
      </c>
      <c r="W71" s="83" t="str">
        <f t="shared" si="39"/>
        <v>0.00%</v>
      </c>
      <c r="X71" s="2">
        <f t="shared" si="44"/>
        <v>0</v>
      </c>
      <c r="Y71" s="81" t="str">
        <f>TEXT('MYP Assumptions'!I75,"0.00%")&amp;", CPI"</f>
        <v>2.73%, CPI</v>
      </c>
      <c r="AA71" s="83" t="str">
        <f t="shared" si="40"/>
        <v>0.00%</v>
      </c>
      <c r="AB71" s="2">
        <f t="shared" si="45"/>
        <v>0</v>
      </c>
      <c r="AC71" s="81" t="str">
        <f>TEXT('MYP Assumptions'!J75,"0.00%")&amp;", CPI"</f>
        <v>2.73%, CPI</v>
      </c>
    </row>
    <row r="72" spans="1:29" x14ac:dyDescent="0.25">
      <c r="A72" s="152"/>
      <c r="B72" s="12"/>
      <c r="D72" s="2">
        <v>0</v>
      </c>
      <c r="E72" s="333"/>
      <c r="F72" s="2"/>
      <c r="G72" s="83" t="str">
        <f t="shared" si="35"/>
        <v>0.00%</v>
      </c>
      <c r="H72" s="2">
        <f t="shared" si="46"/>
        <v>0</v>
      </c>
      <c r="I72" s="356" t="str">
        <f>TEXT('MYP Assumptions'!E75,"0.00%")&amp;", CPI"</f>
        <v>3.42%, CPI</v>
      </c>
      <c r="J72" s="66"/>
      <c r="K72" s="83" t="str">
        <f t="shared" si="36"/>
        <v>0.00%</v>
      </c>
      <c r="L72" s="2">
        <f t="shared" si="41"/>
        <v>0</v>
      </c>
      <c r="M72" s="356" t="str">
        <f>TEXT('MYP Assumptions'!F75,"0.00%")&amp;", CPI"</f>
        <v>3.35%, CPI</v>
      </c>
      <c r="O72" s="83" t="str">
        <f t="shared" si="37"/>
        <v>0.00%</v>
      </c>
      <c r="P72" s="2">
        <f t="shared" si="42"/>
        <v>0</v>
      </c>
      <c r="Q72" s="356" t="str">
        <f>TEXT('MYP Assumptions'!G75,"0.00%")&amp;", CPI"</f>
        <v>3.02%, CPI</v>
      </c>
      <c r="S72" s="83" t="str">
        <f t="shared" si="38"/>
        <v>0.00%</v>
      </c>
      <c r="T72" s="2">
        <f t="shared" si="43"/>
        <v>0</v>
      </c>
      <c r="U72" s="81" t="str">
        <f>TEXT('MYP Assumptions'!H75,"0.00%")&amp;", CPI"</f>
        <v>2.73%, CPI</v>
      </c>
      <c r="W72" s="83" t="str">
        <f t="shared" si="39"/>
        <v>0.00%</v>
      </c>
      <c r="X72" s="2">
        <f t="shared" si="44"/>
        <v>0</v>
      </c>
      <c r="Y72" s="81" t="str">
        <f>TEXT('MYP Assumptions'!I75,"0.00%")&amp;", CPI"</f>
        <v>2.73%, CPI</v>
      </c>
      <c r="AA72" s="83" t="str">
        <f t="shared" si="40"/>
        <v>0.00%</v>
      </c>
      <c r="AB72" s="2">
        <f t="shared" si="45"/>
        <v>0</v>
      </c>
      <c r="AC72" s="81" t="str">
        <f>TEXT('MYP Assumptions'!J75,"0.00%")&amp;", CPI"</f>
        <v>2.73%, CPI</v>
      </c>
    </row>
    <row r="73" spans="1:29" x14ac:dyDescent="0.25">
      <c r="A73" s="152"/>
      <c r="B73" s="12"/>
      <c r="D73" s="2">
        <v>0</v>
      </c>
      <c r="E73" s="333"/>
      <c r="F73" s="2"/>
      <c r="G73" s="83" t="str">
        <f t="shared" si="35"/>
        <v>0.00%</v>
      </c>
      <c r="H73" s="2">
        <f t="shared" si="46"/>
        <v>0</v>
      </c>
      <c r="I73" s="356" t="str">
        <f>TEXT('MYP Assumptions'!E75,"0.00%")&amp;", CPI"</f>
        <v>3.42%, CPI</v>
      </c>
      <c r="J73" s="66"/>
      <c r="K73" s="83" t="str">
        <f t="shared" si="36"/>
        <v>0.00%</v>
      </c>
      <c r="L73" s="2">
        <f t="shared" si="41"/>
        <v>0</v>
      </c>
      <c r="M73" s="356" t="str">
        <f>TEXT('MYP Assumptions'!F75,"0.00%")&amp;", CPI"</f>
        <v>3.35%, CPI</v>
      </c>
      <c r="O73" s="83" t="str">
        <f t="shared" si="37"/>
        <v>0.00%</v>
      </c>
      <c r="P73" s="2">
        <f t="shared" si="42"/>
        <v>0</v>
      </c>
      <c r="Q73" s="356" t="str">
        <f>TEXT('MYP Assumptions'!G75,"0.00%")&amp;", CPI"</f>
        <v>3.02%, CPI</v>
      </c>
      <c r="S73" s="83" t="str">
        <f t="shared" si="38"/>
        <v>0.00%</v>
      </c>
      <c r="T73" s="2">
        <f t="shared" si="43"/>
        <v>0</v>
      </c>
      <c r="U73" s="81" t="str">
        <f>TEXT('MYP Assumptions'!H75,"0.00%")&amp;", CPI"</f>
        <v>2.73%, CPI</v>
      </c>
      <c r="W73" s="83" t="str">
        <f t="shared" si="39"/>
        <v>0.00%</v>
      </c>
      <c r="X73" s="2">
        <f t="shared" si="44"/>
        <v>0</v>
      </c>
      <c r="Y73" s="81" t="str">
        <f>TEXT('MYP Assumptions'!I75,"0.00%")&amp;", CPI"</f>
        <v>2.73%, CPI</v>
      </c>
      <c r="AA73" s="83" t="str">
        <f t="shared" si="40"/>
        <v>0.00%</v>
      </c>
      <c r="AB73" s="2">
        <f t="shared" si="45"/>
        <v>0</v>
      </c>
      <c r="AC73" s="81" t="str">
        <f>TEXT('MYP Assumptions'!J75,"0.00%")&amp;", CPI"</f>
        <v>2.73%, CPI</v>
      </c>
    </row>
    <row r="74" spans="1:29" x14ac:dyDescent="0.25">
      <c r="A74" s="152"/>
      <c r="B74" s="12"/>
      <c r="D74" s="2">
        <v>0</v>
      </c>
      <c r="E74" s="333"/>
      <c r="F74" s="2"/>
      <c r="G74" s="83" t="str">
        <f t="shared" si="35"/>
        <v>0.00%</v>
      </c>
      <c r="H74" s="2">
        <f t="shared" si="46"/>
        <v>0</v>
      </c>
      <c r="I74" s="356" t="str">
        <f>TEXT('MYP Assumptions'!E75,"0.00%")&amp;", CPI"</f>
        <v>3.42%, CPI</v>
      </c>
      <c r="J74" s="66"/>
      <c r="K74" s="83" t="str">
        <f t="shared" si="36"/>
        <v>0.00%</v>
      </c>
      <c r="L74" s="2">
        <f t="shared" si="41"/>
        <v>0</v>
      </c>
      <c r="M74" s="356" t="str">
        <f>TEXT('MYP Assumptions'!F75,"0.00%")&amp;", CPI"</f>
        <v>3.35%, CPI</v>
      </c>
      <c r="O74" s="83" t="str">
        <f t="shared" si="37"/>
        <v>0.00%</v>
      </c>
      <c r="P74" s="2">
        <f t="shared" si="42"/>
        <v>0</v>
      </c>
      <c r="Q74" s="356" t="str">
        <f>TEXT('MYP Assumptions'!G75,"0.00%")&amp;", CPI"</f>
        <v>3.02%, CPI</v>
      </c>
      <c r="S74" s="83" t="str">
        <f t="shared" si="38"/>
        <v>0.00%</v>
      </c>
      <c r="T74" s="2">
        <f t="shared" si="43"/>
        <v>0</v>
      </c>
      <c r="U74" s="81" t="str">
        <f>TEXT('MYP Assumptions'!H75,"0.00%")&amp;", CPI"</f>
        <v>2.73%, CPI</v>
      </c>
      <c r="W74" s="83" t="str">
        <f t="shared" si="39"/>
        <v>0.00%</v>
      </c>
      <c r="X74" s="2">
        <f t="shared" si="44"/>
        <v>0</v>
      </c>
      <c r="Y74" s="81" t="str">
        <f>TEXT('MYP Assumptions'!I75,"0.00%")&amp;", CPI"</f>
        <v>2.73%, CPI</v>
      </c>
      <c r="AA74" s="83" t="str">
        <f t="shared" si="40"/>
        <v>0.00%</v>
      </c>
      <c r="AB74" s="2">
        <f t="shared" si="45"/>
        <v>0</v>
      </c>
      <c r="AC74" s="81" t="str">
        <f>TEXT('MYP Assumptions'!J75,"0.00%")&amp;", CPI"</f>
        <v>2.73%, CPI</v>
      </c>
    </row>
    <row r="75" spans="1:29" x14ac:dyDescent="0.25">
      <c r="A75" s="152"/>
      <c r="B75" s="12"/>
      <c r="D75" s="2">
        <v>0</v>
      </c>
      <c r="E75" s="333"/>
      <c r="F75" s="2"/>
      <c r="G75" s="83" t="str">
        <f>IF(D75=0,"0.00%",(H75-D75)/D75)</f>
        <v>0.00%</v>
      </c>
      <c r="H75" s="2">
        <f t="shared" si="46"/>
        <v>0</v>
      </c>
      <c r="I75" s="356" t="str">
        <f>TEXT('MYP Assumptions'!E75,"0.00%")&amp;", CPI"</f>
        <v>3.42%, CPI</v>
      </c>
      <c r="J75" s="66"/>
      <c r="K75" s="83" t="str">
        <f t="shared" si="36"/>
        <v>0.00%</v>
      </c>
      <c r="L75" s="2">
        <f t="shared" si="41"/>
        <v>0</v>
      </c>
      <c r="M75" s="356" t="str">
        <f>TEXT('MYP Assumptions'!F75,"0.00%")&amp;", CPI"</f>
        <v>3.35%, CPI</v>
      </c>
      <c r="O75" s="83" t="str">
        <f t="shared" si="37"/>
        <v>0.00%</v>
      </c>
      <c r="P75" s="2">
        <f t="shared" si="42"/>
        <v>0</v>
      </c>
      <c r="Q75" s="356" t="str">
        <f>TEXT('MYP Assumptions'!G75,"0.00%")&amp;", CPI"</f>
        <v>3.02%, CPI</v>
      </c>
      <c r="S75" s="83" t="str">
        <f t="shared" si="38"/>
        <v>0.00%</v>
      </c>
      <c r="T75" s="2">
        <f t="shared" si="43"/>
        <v>0</v>
      </c>
      <c r="U75" s="81" t="str">
        <f>TEXT('MYP Assumptions'!H75,"0.00%")&amp;", CPI"</f>
        <v>2.73%, CPI</v>
      </c>
      <c r="W75" s="83" t="str">
        <f t="shared" si="39"/>
        <v>0.00%</v>
      </c>
      <c r="X75" s="2">
        <f t="shared" si="44"/>
        <v>0</v>
      </c>
      <c r="Y75" s="81" t="str">
        <f>TEXT('MYP Assumptions'!I75,"0.00%")&amp;", CPI"</f>
        <v>2.73%, CPI</v>
      </c>
      <c r="AA75" s="83" t="str">
        <f t="shared" si="40"/>
        <v>0.00%</v>
      </c>
      <c r="AB75" s="2">
        <f t="shared" si="45"/>
        <v>0</v>
      </c>
      <c r="AC75" s="81" t="str">
        <f>TEXT('MYP Assumptions'!J75,"0.00%")&amp;", CPI"</f>
        <v>2.73%, CPI</v>
      </c>
    </row>
    <row r="76" spans="1:29" x14ac:dyDescent="0.25">
      <c r="A76" s="152"/>
      <c r="B76" s="12"/>
      <c r="D76" s="2">
        <v>0</v>
      </c>
      <c r="E76" s="333"/>
      <c r="F76" s="2"/>
      <c r="G76" s="83" t="str">
        <f t="shared" ref="G76:G82" si="47">IF(D76=0,"0.00%",(H76-D76)/D76)</f>
        <v>0.00%</v>
      </c>
      <c r="H76" s="2">
        <f t="shared" si="46"/>
        <v>0</v>
      </c>
      <c r="I76" s="356" t="str">
        <f>TEXT('MYP Assumptions'!E75,"0.00%")&amp;", CPI"</f>
        <v>3.42%, CPI</v>
      </c>
      <c r="J76" s="66"/>
      <c r="K76" s="83" t="str">
        <f t="shared" si="36"/>
        <v>0.00%</v>
      </c>
      <c r="L76" s="2">
        <f t="shared" si="41"/>
        <v>0</v>
      </c>
      <c r="M76" s="356" t="str">
        <f>TEXT('MYP Assumptions'!F75,"0.00%")&amp;", CPI"</f>
        <v>3.35%, CPI</v>
      </c>
      <c r="O76" s="83" t="str">
        <f t="shared" si="37"/>
        <v>0.00%</v>
      </c>
      <c r="P76" s="2">
        <f t="shared" si="42"/>
        <v>0</v>
      </c>
      <c r="Q76" s="356" t="str">
        <f>TEXT('MYP Assumptions'!G75,"0.00%")&amp;", CPI"</f>
        <v>3.02%, CPI</v>
      </c>
      <c r="S76" s="83" t="str">
        <f t="shared" si="38"/>
        <v>0.00%</v>
      </c>
      <c r="T76" s="2">
        <f t="shared" si="43"/>
        <v>0</v>
      </c>
      <c r="U76" s="81" t="str">
        <f>TEXT('MYP Assumptions'!H75,"0.00%")&amp;", CPI"</f>
        <v>2.73%, CPI</v>
      </c>
      <c r="W76" s="83" t="str">
        <f t="shared" si="39"/>
        <v>0.00%</v>
      </c>
      <c r="X76" s="2">
        <f t="shared" si="44"/>
        <v>0</v>
      </c>
      <c r="Y76" s="81" t="str">
        <f>TEXT('MYP Assumptions'!I75,"0.00%")&amp;", CPI"</f>
        <v>2.73%, CPI</v>
      </c>
      <c r="AA76" s="83" t="str">
        <f t="shared" si="40"/>
        <v>0.00%</v>
      </c>
      <c r="AB76" s="2">
        <f t="shared" si="45"/>
        <v>0</v>
      </c>
      <c r="AC76" s="81" t="str">
        <f>TEXT('MYP Assumptions'!J75,"0.00%")&amp;", CPI"</f>
        <v>2.73%, CPI</v>
      </c>
    </row>
    <row r="77" spans="1:29" x14ac:dyDescent="0.25">
      <c r="A77" s="152"/>
      <c r="B77" s="12"/>
      <c r="D77" s="2">
        <v>0</v>
      </c>
      <c r="E77" s="333"/>
      <c r="F77" s="2"/>
      <c r="G77" s="83" t="str">
        <f t="shared" si="47"/>
        <v>0.00%</v>
      </c>
      <c r="H77" s="2">
        <f>ROUND(D77*(LEFT(I77,5)+1),0)</f>
        <v>0</v>
      </c>
      <c r="I77" s="356" t="str">
        <f>TEXT('MYP Assumptions'!E75,"0.00%")&amp;", CPI"</f>
        <v>3.42%, CPI</v>
      </c>
      <c r="J77" s="66"/>
      <c r="K77" s="83" t="str">
        <f t="shared" si="36"/>
        <v>0.00%</v>
      </c>
      <c r="L77" s="2">
        <f t="shared" si="41"/>
        <v>0</v>
      </c>
      <c r="M77" s="356" t="str">
        <f>TEXT('MYP Assumptions'!F75,"0.00%")&amp;", CPI"</f>
        <v>3.35%, CPI</v>
      </c>
      <c r="O77" s="83" t="str">
        <f t="shared" si="37"/>
        <v>0.00%</v>
      </c>
      <c r="P77" s="2">
        <f t="shared" si="42"/>
        <v>0</v>
      </c>
      <c r="Q77" s="356" t="str">
        <f>TEXT('MYP Assumptions'!G75,"0.00%")&amp;", CPI"</f>
        <v>3.02%, CPI</v>
      </c>
      <c r="S77" s="83" t="str">
        <f t="shared" si="38"/>
        <v>0.00%</v>
      </c>
      <c r="T77" s="2">
        <f t="shared" si="43"/>
        <v>0</v>
      </c>
      <c r="U77" s="81" t="str">
        <f>TEXT('MYP Assumptions'!H75,"0.00%")&amp;", CPI"</f>
        <v>2.73%, CPI</v>
      </c>
      <c r="W77" s="83" t="str">
        <f t="shared" si="39"/>
        <v>0.00%</v>
      </c>
      <c r="X77" s="2">
        <f t="shared" si="44"/>
        <v>0</v>
      </c>
      <c r="Y77" s="81" t="str">
        <f>TEXT('MYP Assumptions'!I75,"0.00%")&amp;", CPI"</f>
        <v>2.73%, CPI</v>
      </c>
      <c r="AA77" s="83" t="str">
        <f t="shared" si="40"/>
        <v>0.00%</v>
      </c>
      <c r="AB77" s="2">
        <f t="shared" si="45"/>
        <v>0</v>
      </c>
      <c r="AC77" s="81" t="str">
        <f>TEXT('MYP Assumptions'!J75,"0.00%")&amp;", CPI"</f>
        <v>2.73%, CPI</v>
      </c>
    </row>
    <row r="78" spans="1:29" x14ac:dyDescent="0.25">
      <c r="A78" s="152"/>
      <c r="B78" s="12"/>
      <c r="D78" s="2">
        <v>0</v>
      </c>
      <c r="E78" s="333"/>
      <c r="F78" s="2"/>
      <c r="G78" s="83" t="str">
        <f t="shared" si="47"/>
        <v>0.00%</v>
      </c>
      <c r="H78" s="2">
        <f>ROUND(D78*(LEFT(I78,5)+1),0)</f>
        <v>0</v>
      </c>
      <c r="I78" s="356" t="str">
        <f>TEXT('MYP Assumptions'!E75,"0.00%")&amp;", CPI"</f>
        <v>3.42%, CPI</v>
      </c>
      <c r="J78" s="66"/>
      <c r="K78" s="83" t="str">
        <f t="shared" si="36"/>
        <v>0.00%</v>
      </c>
      <c r="L78" s="2">
        <f t="shared" si="41"/>
        <v>0</v>
      </c>
      <c r="M78" s="356" t="str">
        <f>TEXT('MYP Assumptions'!F75,"0.00%")&amp;", CPI"</f>
        <v>3.35%, CPI</v>
      </c>
      <c r="O78" s="83" t="str">
        <f t="shared" si="37"/>
        <v>0.00%</v>
      </c>
      <c r="P78" s="2">
        <f t="shared" si="42"/>
        <v>0</v>
      </c>
      <c r="Q78" s="356" t="str">
        <f>TEXT('MYP Assumptions'!G75,"0.00%")&amp;", CPI"</f>
        <v>3.02%, CPI</v>
      </c>
      <c r="S78" s="83" t="str">
        <f t="shared" si="38"/>
        <v>0.00%</v>
      </c>
      <c r="T78" s="2">
        <f t="shared" si="43"/>
        <v>0</v>
      </c>
      <c r="U78" s="81" t="str">
        <f>TEXT('MYP Assumptions'!H75,"0.00%")&amp;", CPI"</f>
        <v>2.73%, CPI</v>
      </c>
      <c r="W78" s="83" t="str">
        <f t="shared" si="39"/>
        <v>0.00%</v>
      </c>
      <c r="X78" s="2">
        <f t="shared" si="44"/>
        <v>0</v>
      </c>
      <c r="Y78" s="81" t="str">
        <f>TEXT('MYP Assumptions'!I75,"0.00%")&amp;", CPI"</f>
        <v>2.73%, CPI</v>
      </c>
      <c r="AA78" s="83" t="str">
        <f t="shared" si="40"/>
        <v>0.00%</v>
      </c>
      <c r="AB78" s="2">
        <f t="shared" si="45"/>
        <v>0</v>
      </c>
      <c r="AC78" s="81" t="str">
        <f>TEXT('MYP Assumptions'!J75,"0.00%")&amp;", CPI"</f>
        <v>2.73%, CPI</v>
      </c>
    </row>
    <row r="79" spans="1:29" x14ac:dyDescent="0.25">
      <c r="A79" s="152"/>
      <c r="B79" s="12"/>
      <c r="D79" s="2">
        <v>0</v>
      </c>
      <c r="E79" s="333"/>
      <c r="F79" s="2"/>
      <c r="G79" s="83" t="str">
        <f t="shared" si="47"/>
        <v>0.00%</v>
      </c>
      <c r="H79" s="2">
        <f>ROUND(D79*(LEFT(I79,5)+1),0)</f>
        <v>0</v>
      </c>
      <c r="I79" s="356" t="str">
        <f>TEXT('MYP Assumptions'!E75,"0.00%")&amp;", CPI"</f>
        <v>3.42%, CPI</v>
      </c>
      <c r="J79" s="66"/>
      <c r="K79" s="83" t="str">
        <f t="shared" si="36"/>
        <v>0.00%</v>
      </c>
      <c r="L79" s="2">
        <f t="shared" si="41"/>
        <v>0</v>
      </c>
      <c r="M79" s="356" t="str">
        <f>TEXT('MYP Assumptions'!F75,"0.00%")&amp;", CPI"</f>
        <v>3.35%, CPI</v>
      </c>
      <c r="O79" s="83" t="str">
        <f t="shared" si="37"/>
        <v>0.00%</v>
      </c>
      <c r="P79" s="2">
        <f t="shared" si="42"/>
        <v>0</v>
      </c>
      <c r="Q79" s="356" t="str">
        <f>TEXT('MYP Assumptions'!G75,"0.00%")&amp;", CPI"</f>
        <v>3.02%, CPI</v>
      </c>
      <c r="S79" s="83" t="str">
        <f t="shared" si="38"/>
        <v>0.00%</v>
      </c>
      <c r="T79" s="2">
        <f t="shared" si="43"/>
        <v>0</v>
      </c>
      <c r="U79" s="81" t="str">
        <f>TEXT('MYP Assumptions'!H75,"0.00%")&amp;", CPI"</f>
        <v>2.73%, CPI</v>
      </c>
      <c r="W79" s="83" t="str">
        <f t="shared" si="39"/>
        <v>0.00%</v>
      </c>
      <c r="X79" s="2">
        <f t="shared" si="44"/>
        <v>0</v>
      </c>
      <c r="Y79" s="81" t="str">
        <f>TEXT('MYP Assumptions'!I75,"0.00%")&amp;", CPI"</f>
        <v>2.73%, CPI</v>
      </c>
      <c r="AA79" s="83" t="str">
        <f t="shared" si="40"/>
        <v>0.00%</v>
      </c>
      <c r="AB79" s="2">
        <f t="shared" si="45"/>
        <v>0</v>
      </c>
      <c r="AC79" s="81" t="str">
        <f>TEXT('MYP Assumptions'!J75,"0.00%")&amp;", CPI"</f>
        <v>2.73%, CPI</v>
      </c>
    </row>
    <row r="80" spans="1:29" x14ac:dyDescent="0.25">
      <c r="A80" s="152"/>
      <c r="B80" s="12"/>
      <c r="D80" s="2">
        <v>0</v>
      </c>
      <c r="E80" s="333"/>
      <c r="F80" s="2"/>
      <c r="G80" s="83" t="str">
        <f t="shared" si="47"/>
        <v>0.00%</v>
      </c>
      <c r="H80" s="2">
        <f>ROUND(D80*(LEFT(I80,5)+1),0)</f>
        <v>0</v>
      </c>
      <c r="I80" s="356" t="str">
        <f>TEXT('MYP Assumptions'!E75,"0.00%")&amp;", CPI"</f>
        <v>3.42%, CPI</v>
      </c>
      <c r="J80" s="66"/>
      <c r="K80" s="83" t="str">
        <f t="shared" si="36"/>
        <v>0.00%</v>
      </c>
      <c r="L80" s="2">
        <f t="shared" si="41"/>
        <v>0</v>
      </c>
      <c r="M80" s="356" t="str">
        <f>TEXT('MYP Assumptions'!F75,"0.00%")&amp;", CPI"</f>
        <v>3.35%, CPI</v>
      </c>
      <c r="O80" s="83" t="str">
        <f t="shared" si="37"/>
        <v>0.00%</v>
      </c>
      <c r="P80" s="2">
        <f t="shared" si="42"/>
        <v>0</v>
      </c>
      <c r="Q80" s="356" t="str">
        <f>TEXT('MYP Assumptions'!G75,"0.00%")&amp;", CPI"</f>
        <v>3.02%, CPI</v>
      </c>
      <c r="S80" s="83" t="str">
        <f t="shared" si="38"/>
        <v>0.00%</v>
      </c>
      <c r="T80" s="2">
        <f t="shared" si="43"/>
        <v>0</v>
      </c>
      <c r="U80" s="81" t="str">
        <f>TEXT('MYP Assumptions'!H75,"0.00%")&amp;", CPI"</f>
        <v>2.73%, CPI</v>
      </c>
      <c r="W80" s="83" t="str">
        <f t="shared" si="39"/>
        <v>0.00%</v>
      </c>
      <c r="X80" s="2">
        <f t="shared" si="44"/>
        <v>0</v>
      </c>
      <c r="Y80" s="81" t="str">
        <f>TEXT('MYP Assumptions'!I75,"0.00%")&amp;", CPI"</f>
        <v>2.73%, CPI</v>
      </c>
      <c r="AA80" s="83" t="str">
        <f t="shared" si="40"/>
        <v>0.00%</v>
      </c>
      <c r="AB80" s="2">
        <f t="shared" si="45"/>
        <v>0</v>
      </c>
      <c r="AC80" s="81" t="str">
        <f>TEXT('MYP Assumptions'!J75,"0.00%")&amp;", CPI"</f>
        <v>2.73%, CPI</v>
      </c>
    </row>
    <row r="81" spans="1:29" x14ac:dyDescent="0.25">
      <c r="A81" s="152"/>
      <c r="B81" s="12"/>
      <c r="D81" s="2">
        <f>'RS 3010-ALL'!AF80</f>
        <v>0</v>
      </c>
      <c r="E81" s="333"/>
      <c r="F81" s="2"/>
      <c r="G81" s="83" t="str">
        <f t="shared" si="47"/>
        <v>0.00%</v>
      </c>
      <c r="H81" s="2">
        <f>ROUND(D81*(LEFT(I81,5)+1),0)</f>
        <v>0</v>
      </c>
      <c r="I81" s="356" t="str">
        <f>TEXT('MYP Assumptions'!E75,"0.00%")&amp;", CPI"</f>
        <v>3.42%, CPI</v>
      </c>
      <c r="J81" s="66"/>
      <c r="K81" s="83" t="str">
        <f t="shared" si="36"/>
        <v>0.00%</v>
      </c>
      <c r="L81" s="2">
        <f t="shared" si="41"/>
        <v>0</v>
      </c>
      <c r="M81" s="356" t="str">
        <f>TEXT('MYP Assumptions'!F75,"0.00%")&amp;", CPI"</f>
        <v>3.35%, CPI</v>
      </c>
      <c r="O81" s="83" t="str">
        <f t="shared" si="37"/>
        <v>0.00%</v>
      </c>
      <c r="P81" s="2">
        <f t="shared" si="42"/>
        <v>0</v>
      </c>
      <c r="Q81" s="356" t="str">
        <f>TEXT('MYP Assumptions'!G75,"0.00%")&amp;", CPI"</f>
        <v>3.02%, CPI</v>
      </c>
      <c r="S81" s="83" t="str">
        <f t="shared" si="38"/>
        <v>0.00%</v>
      </c>
      <c r="T81" s="2">
        <f t="shared" si="43"/>
        <v>0</v>
      </c>
      <c r="U81" s="81" t="str">
        <f>TEXT('MYP Assumptions'!H75,"0.00%")&amp;", CPI"</f>
        <v>2.73%, CPI</v>
      </c>
      <c r="W81" s="83" t="str">
        <f t="shared" si="39"/>
        <v>0.00%</v>
      </c>
      <c r="X81" s="2">
        <f t="shared" si="44"/>
        <v>0</v>
      </c>
      <c r="Y81" s="81" t="str">
        <f>TEXT('MYP Assumptions'!I75,"0.00%")&amp;", CPI"</f>
        <v>2.73%, CPI</v>
      </c>
      <c r="AA81" s="83" t="str">
        <f t="shared" si="40"/>
        <v>0.00%</v>
      </c>
      <c r="AB81" s="2">
        <f t="shared" si="45"/>
        <v>0</v>
      </c>
      <c r="AC81" s="81" t="str">
        <f>TEXT('MYP Assumptions'!J75,"0.00%")&amp;", CPI"</f>
        <v>2.73%, CPI</v>
      </c>
    </row>
    <row r="82" spans="1:29" x14ac:dyDescent="0.25">
      <c r="A82" s="153"/>
      <c r="D82" s="8">
        <f>SUM(D69:D81)</f>
        <v>0</v>
      </c>
      <c r="E82" s="333"/>
      <c r="F82" s="2"/>
      <c r="G82" s="83" t="str">
        <f t="shared" si="47"/>
        <v>0.00%</v>
      </c>
      <c r="H82" s="8">
        <f>SUM(H69:H81)</f>
        <v>0</v>
      </c>
      <c r="I82" s="359"/>
      <c r="J82" s="29"/>
      <c r="K82" s="83" t="str">
        <f t="shared" si="36"/>
        <v>0.00%</v>
      </c>
      <c r="L82" s="8">
        <f>SUM(L69:L81)</f>
        <v>0</v>
      </c>
      <c r="M82" s="366"/>
      <c r="O82" s="83" t="str">
        <f t="shared" si="37"/>
        <v>0.00%</v>
      </c>
      <c r="P82" s="8">
        <f>SUM(P69:P81)</f>
        <v>0</v>
      </c>
      <c r="Q82" s="366"/>
      <c r="S82" s="83" t="str">
        <f t="shared" si="38"/>
        <v>0.00%</v>
      </c>
      <c r="T82" s="8">
        <f>SUM(T69:T81)</f>
        <v>0</v>
      </c>
      <c r="U82" s="73"/>
      <c r="W82" s="83" t="str">
        <f t="shared" si="39"/>
        <v>0.00%</v>
      </c>
      <c r="X82" s="8">
        <f>SUM(X69:X81)</f>
        <v>0</v>
      </c>
      <c r="Y82" s="73"/>
      <c r="AA82" s="83" t="str">
        <f t="shared" si="40"/>
        <v>0.00%</v>
      </c>
      <c r="AB82" s="8">
        <f>SUM(AB69:AB81)</f>
        <v>0</v>
      </c>
      <c r="AC82" s="73"/>
    </row>
    <row r="83" spans="1:29" x14ac:dyDescent="0.25">
      <c r="A83" s="152"/>
      <c r="B83" s="21"/>
      <c r="E83" s="333"/>
      <c r="F83" s="2"/>
      <c r="G83" s="83"/>
      <c r="H83" s="2"/>
      <c r="I83" s="336"/>
      <c r="J83" s="66"/>
      <c r="L83" s="2"/>
      <c r="M83" s="366"/>
      <c r="Q83" s="366"/>
      <c r="T83" s="2"/>
      <c r="U83" s="73"/>
      <c r="X83" s="2"/>
      <c r="Y83" s="73"/>
      <c r="AB83" s="2"/>
      <c r="AC83" s="73"/>
    </row>
    <row r="84" spans="1:29" x14ac:dyDescent="0.25">
      <c r="A84" s="152"/>
      <c r="E84" s="333"/>
      <c r="F84" s="2"/>
      <c r="H84" s="2"/>
      <c r="I84" s="336"/>
      <c r="J84" s="66"/>
      <c r="L84" s="2"/>
      <c r="M84" s="366"/>
      <c r="Q84" s="366"/>
      <c r="T84" s="2"/>
      <c r="U84" s="73"/>
      <c r="X84" s="2"/>
      <c r="Y84" s="73"/>
      <c r="AB84" s="2"/>
      <c r="AC84" s="73"/>
    </row>
    <row r="85" spans="1:29" x14ac:dyDescent="0.25">
      <c r="A85" s="153"/>
      <c r="B85" s="21" t="s">
        <v>0</v>
      </c>
      <c r="D85" s="8">
        <f>SUM(D82,D66,D55,D13)</f>
        <v>0</v>
      </c>
      <c r="E85" s="333"/>
      <c r="F85" s="2"/>
      <c r="G85" s="83" t="str">
        <f>IF(D85=0,"0.00%",(H85-D85)/D85)</f>
        <v>0.00%</v>
      </c>
      <c r="H85" s="8">
        <f>SUM(H82,H66,H55,H13)</f>
        <v>0</v>
      </c>
      <c r="I85" s="359"/>
      <c r="J85" s="29"/>
      <c r="K85" s="83" t="str">
        <f>IF(H85=0,"0.00%",(L85-H85)/H85)</f>
        <v>0.00%</v>
      </c>
      <c r="L85" s="8">
        <f>SUM(L82,L66,L55,L13)</f>
        <v>0</v>
      </c>
      <c r="M85" s="366"/>
      <c r="O85" s="83" t="str">
        <f>IF(L85=0,"0.00%",(P85-L85)/L85)</f>
        <v>0.00%</v>
      </c>
      <c r="P85" s="8">
        <f>SUM(P82,P66,P55,P13)</f>
        <v>0</v>
      </c>
      <c r="Q85" s="366"/>
      <c r="S85" s="83" t="str">
        <f>IF(P85=0,"0.00%",(T85-P85)/P85)</f>
        <v>0.00%</v>
      </c>
      <c r="T85" s="8">
        <f>SUM(T82,T66,T55,T13)</f>
        <v>0</v>
      </c>
      <c r="U85" s="73"/>
      <c r="W85" s="83" t="str">
        <f>IF(T85=0,"0.00%",(X85-T85)/T85)</f>
        <v>0.00%</v>
      </c>
      <c r="X85" s="8">
        <f>SUM(X82,X66,X55,X13)</f>
        <v>0</v>
      </c>
      <c r="Y85" s="73"/>
      <c r="AA85" s="83" t="str">
        <f>IF(X85=0,"0.00%",(AB85-X85)/X85)</f>
        <v>0.00%</v>
      </c>
      <c r="AB85" s="8">
        <f>SUM(AB82,AB66,AB55,AB13)</f>
        <v>0</v>
      </c>
      <c r="AC85" s="73"/>
    </row>
    <row r="86" spans="1:29" x14ac:dyDescent="0.25">
      <c r="A86" s="152"/>
      <c r="E86" s="333"/>
      <c r="F86" s="2"/>
      <c r="H86" s="2"/>
      <c r="I86" s="336"/>
      <c r="J86" s="66"/>
      <c r="L86" s="2"/>
      <c r="M86" s="366"/>
      <c r="Q86" s="366"/>
      <c r="T86" s="2"/>
      <c r="U86" s="73"/>
      <c r="X86" s="2"/>
      <c r="Y86" s="73"/>
      <c r="AB86" s="2"/>
      <c r="AC86" s="73"/>
    </row>
    <row r="87" spans="1:29" x14ac:dyDescent="0.25">
      <c r="A87" s="152"/>
      <c r="B87" s="21" t="s">
        <v>138</v>
      </c>
      <c r="D87" s="3">
        <f>D11-D85</f>
        <v>0</v>
      </c>
      <c r="G87" s="83" t="str">
        <f>IF(D87=0,"0.00%",(H87-D87)/D87)</f>
        <v>0.00%</v>
      </c>
      <c r="H87" s="3">
        <f>H11-H85</f>
        <v>0</v>
      </c>
      <c r="I87" s="336"/>
      <c r="J87" s="66"/>
      <c r="K87" s="83" t="str">
        <f>IF(H87=0,"0.00%",(L87-H87)/H87)</f>
        <v>0.00%</v>
      </c>
      <c r="L87" s="3">
        <f>L11-L85</f>
        <v>0</v>
      </c>
      <c r="M87" s="366"/>
      <c r="O87" s="83" t="str">
        <f>IF(L87=0,"0.00%",(P87-L87)/L87)</f>
        <v>0.00%</v>
      </c>
      <c r="P87" s="3">
        <f>P11-P85</f>
        <v>0</v>
      </c>
      <c r="Q87" s="366"/>
      <c r="S87" s="83" t="str">
        <f>IF(P87=0,"0.00%",(T87-P87)/P87)</f>
        <v>0.00%</v>
      </c>
      <c r="T87" s="3">
        <f>T11-T85</f>
        <v>0</v>
      </c>
      <c r="U87" s="73"/>
      <c r="W87" s="83" t="str">
        <f>IF(T87=0,"0.00%",(X87-T87)/T87)</f>
        <v>0.00%</v>
      </c>
      <c r="X87" s="3">
        <f>X11-X85</f>
        <v>0</v>
      </c>
      <c r="Y87" s="73"/>
      <c r="AA87" s="83" t="str">
        <f>IF(X87=0,"0.00%",(AB87-X87)/X87)</f>
        <v>0.00%</v>
      </c>
      <c r="AB87" s="3">
        <f>AB11-AB85</f>
        <v>0</v>
      </c>
      <c r="AC87" s="73"/>
    </row>
    <row r="88" spans="1:29" x14ac:dyDescent="0.25">
      <c r="B88" s="21"/>
      <c r="C88" s="20"/>
      <c r="D88" s="3"/>
      <c r="H88" s="3"/>
      <c r="I88" s="336"/>
      <c r="J88" s="66"/>
      <c r="L88" s="3"/>
      <c r="M88" s="366"/>
      <c r="P88" s="3"/>
      <c r="Q88" s="366"/>
      <c r="T88" s="44"/>
      <c r="U88" s="73"/>
      <c r="X88" s="44"/>
      <c r="Y88" s="73"/>
      <c r="AB88" s="44"/>
      <c r="AC88" s="73"/>
    </row>
    <row r="89" spans="1:29" x14ac:dyDescent="0.25">
      <c r="B89" s="21" t="s">
        <v>136</v>
      </c>
      <c r="C89" s="102"/>
      <c r="D89" s="3">
        <f>D7+D87</f>
        <v>0</v>
      </c>
      <c r="G89" s="83" t="str">
        <f>IF(D89=0,"0.00%",(H89-D89)/D89)</f>
        <v>0.00%</v>
      </c>
      <c r="H89" s="3">
        <f>H7+H87</f>
        <v>0</v>
      </c>
      <c r="I89" s="336"/>
      <c r="J89" s="66"/>
      <c r="K89" s="83" t="str">
        <f>IF(H89=0,"0.00%",(L89-H89)/H89)</f>
        <v>0.00%</v>
      </c>
      <c r="L89" s="3">
        <f>L7+L87</f>
        <v>0</v>
      </c>
      <c r="M89" s="366"/>
      <c r="O89" s="83" t="str">
        <f>IF(L89=0,"0.00%",(P89-L89)/L89)</f>
        <v>0.00%</v>
      </c>
      <c r="P89" s="3">
        <f>P7+P87</f>
        <v>0</v>
      </c>
      <c r="Q89" s="366"/>
      <c r="S89" s="83" t="str">
        <f>IF(P89=0,"0.00%",(T89-P89)/P89)</f>
        <v>0.00%</v>
      </c>
      <c r="T89" s="49">
        <f>T7+T87</f>
        <v>0</v>
      </c>
      <c r="U89" s="73"/>
      <c r="W89" s="83" t="str">
        <f>IF(T89=0,"0.00%",(X89-T89)/T89)</f>
        <v>0.00%</v>
      </c>
      <c r="X89" s="49">
        <f>X7+X87</f>
        <v>0</v>
      </c>
      <c r="Y89" s="73"/>
      <c r="AA89" s="83" t="str">
        <f>IF(X89=0,"0.00%",(AB89-X89)/X89)</f>
        <v>0.00%</v>
      </c>
      <c r="AB89" s="49">
        <f>AB7+AB87</f>
        <v>0</v>
      </c>
      <c r="AC89" s="73"/>
    </row>
    <row r="90" spans="1:29" x14ac:dyDescent="0.25">
      <c r="C90" s="342"/>
      <c r="G90" s="374"/>
      <c r="H90" s="5"/>
      <c r="I90" s="359"/>
      <c r="J90" s="29"/>
      <c r="L90" s="5"/>
      <c r="M90" s="366"/>
      <c r="P90" s="5"/>
      <c r="Q90" s="366"/>
      <c r="T90" s="5"/>
      <c r="U90" s="73"/>
      <c r="X90" s="5"/>
      <c r="Y90" s="73"/>
      <c r="AB90" s="5"/>
      <c r="AC90" s="73"/>
    </row>
    <row r="91" spans="1:29" x14ac:dyDescent="0.25">
      <c r="C91" s="344"/>
      <c r="G91" s="374"/>
      <c r="H91" s="36"/>
      <c r="I91" s="336"/>
      <c r="J91" s="66"/>
      <c r="L91" s="2"/>
      <c r="M91" s="366"/>
      <c r="Q91" s="366"/>
      <c r="T91" s="2"/>
      <c r="U91" s="73"/>
      <c r="X91" s="2"/>
      <c r="Y91" s="73"/>
      <c r="AB91" s="2"/>
      <c r="AC91" s="73"/>
    </row>
    <row r="92" spans="1:29" x14ac:dyDescent="0.25">
      <c r="C92" s="344"/>
      <c r="G92" s="374"/>
      <c r="H92" s="36"/>
      <c r="I92" s="336"/>
      <c r="J92" s="66"/>
      <c r="L92" s="2"/>
      <c r="M92" s="366"/>
      <c r="Q92" s="366"/>
      <c r="T92" s="2"/>
      <c r="U92" s="73"/>
      <c r="X92" s="2"/>
      <c r="Y92" s="73"/>
      <c r="AB92" s="2"/>
      <c r="AC92" s="73"/>
    </row>
    <row r="93" spans="1:29" x14ac:dyDescent="0.25">
      <c r="C93" s="344"/>
      <c r="G93" s="374"/>
      <c r="H93" s="36"/>
      <c r="I93" s="336"/>
      <c r="J93" s="66"/>
      <c r="L93" s="2"/>
      <c r="M93" s="366"/>
      <c r="Q93" s="366"/>
      <c r="T93" s="2"/>
      <c r="U93" s="73"/>
      <c r="X93" s="2"/>
      <c r="Y93" s="73"/>
      <c r="AB93" s="2"/>
      <c r="AC93" s="73"/>
    </row>
    <row r="94" spans="1:29" x14ac:dyDescent="0.25">
      <c r="C94" s="344"/>
      <c r="G94" s="374"/>
      <c r="H94" s="36"/>
      <c r="I94" s="336"/>
      <c r="J94" s="66"/>
      <c r="L94" s="2"/>
      <c r="M94" s="366"/>
      <c r="Q94" s="366"/>
      <c r="T94" s="2"/>
      <c r="U94" s="73"/>
      <c r="X94" s="2"/>
      <c r="Y94" s="73"/>
      <c r="AB94" s="2"/>
      <c r="AC94" s="73"/>
    </row>
    <row r="95" spans="1:29" s="137" customFormat="1" ht="11.25" x14ac:dyDescent="0.2">
      <c r="A95" s="156"/>
      <c r="B95" s="132"/>
      <c r="C95" s="345" t="s">
        <v>223</v>
      </c>
      <c r="D95" s="134">
        <f>+D82+D66+D53+D41+D30</f>
        <v>0</v>
      </c>
      <c r="E95" s="357"/>
      <c r="G95" s="133" t="s">
        <v>223</v>
      </c>
      <c r="H95" s="134">
        <f>+H82+H66+H53+H41+H30</f>
        <v>0</v>
      </c>
      <c r="I95" s="360"/>
      <c r="J95" s="135"/>
      <c r="K95" s="133" t="s">
        <v>223</v>
      </c>
      <c r="L95" s="134">
        <f>+L82+L66+L53+L41+L30</f>
        <v>0</v>
      </c>
      <c r="M95" s="363"/>
      <c r="O95" s="133" t="s">
        <v>223</v>
      </c>
      <c r="P95" s="134">
        <f>+P82+P66+P53+P41+P30</f>
        <v>0</v>
      </c>
      <c r="Q95" s="363"/>
      <c r="R95" s="139"/>
      <c r="S95" s="133" t="s">
        <v>223</v>
      </c>
      <c r="T95" s="134">
        <f>+T82+T66+T53+T41+T30</f>
        <v>0</v>
      </c>
      <c r="U95" s="138"/>
      <c r="W95" s="133" t="s">
        <v>223</v>
      </c>
      <c r="X95" s="134">
        <f>+X82+X66+X53+X41+X30</f>
        <v>0</v>
      </c>
      <c r="Y95" s="138"/>
      <c r="AA95" s="133" t="s">
        <v>223</v>
      </c>
      <c r="AB95" s="134">
        <f>+AB82+AB66+AB53+AB41+AB30</f>
        <v>0</v>
      </c>
      <c r="AC95" s="138"/>
    </row>
    <row r="96" spans="1:29" s="137" customFormat="1" ht="11.25" x14ac:dyDescent="0.2">
      <c r="A96" s="158"/>
      <c r="B96" s="132"/>
      <c r="C96" s="346" t="s">
        <v>224</v>
      </c>
      <c r="D96" s="142">
        <f>+D13</f>
        <v>0</v>
      </c>
      <c r="E96" s="351"/>
      <c r="F96" s="144"/>
      <c r="G96" s="375" t="s">
        <v>224</v>
      </c>
      <c r="H96" s="142">
        <f>+H13</f>
        <v>0</v>
      </c>
      <c r="I96" s="358"/>
      <c r="J96" s="143"/>
      <c r="K96" s="375" t="s">
        <v>224</v>
      </c>
      <c r="L96" s="142">
        <f>+L13</f>
        <v>0</v>
      </c>
      <c r="M96" s="363"/>
      <c r="O96" s="375" t="s">
        <v>224</v>
      </c>
      <c r="P96" s="142">
        <f>+P13</f>
        <v>0</v>
      </c>
      <c r="Q96" s="357"/>
      <c r="R96" s="139"/>
      <c r="S96" s="141" t="s">
        <v>224</v>
      </c>
      <c r="T96" s="142">
        <f>+T13</f>
        <v>0</v>
      </c>
      <c r="W96" s="141" t="s">
        <v>224</v>
      </c>
      <c r="X96" s="142">
        <f>+X13</f>
        <v>0</v>
      </c>
      <c r="AA96" s="141" t="s">
        <v>224</v>
      </c>
      <c r="AB96" s="142">
        <f>+AB13</f>
        <v>0</v>
      </c>
    </row>
    <row r="97" spans="1:28" s="137" customFormat="1" ht="11.25" x14ac:dyDescent="0.2">
      <c r="A97" s="158"/>
      <c r="B97" s="132"/>
      <c r="C97" s="346"/>
      <c r="D97" s="145">
        <f>+D95+D96</f>
        <v>0</v>
      </c>
      <c r="E97" s="351"/>
      <c r="F97" s="144"/>
      <c r="G97" s="375"/>
      <c r="H97" s="145">
        <f>+H95+H96</f>
        <v>0</v>
      </c>
      <c r="I97" s="358"/>
      <c r="J97" s="143"/>
      <c r="K97" s="375"/>
      <c r="L97" s="145">
        <f>+L95+L96</f>
        <v>0</v>
      </c>
      <c r="M97" s="357"/>
      <c r="O97" s="375"/>
      <c r="P97" s="145">
        <f>+P95+P96</f>
        <v>0</v>
      </c>
      <c r="Q97" s="357"/>
      <c r="R97" s="139"/>
      <c r="S97" s="141"/>
      <c r="T97" s="145">
        <f>+T95+T96</f>
        <v>0</v>
      </c>
      <c r="W97" s="141"/>
      <c r="X97" s="145">
        <f>+X95+X96</f>
        <v>0</v>
      </c>
      <c r="AA97" s="141"/>
      <c r="AB97" s="145">
        <f>+AB95+AB96</f>
        <v>0</v>
      </c>
    </row>
    <row r="98" spans="1:28" ht="15" customHeight="1" x14ac:dyDescent="0.25">
      <c r="A98" s="152"/>
      <c r="B98" s="347"/>
      <c r="C98" s="347"/>
      <c r="D98" s="5">
        <f>+D85-D97</f>
        <v>0</v>
      </c>
      <c r="E98" s="333"/>
      <c r="F98" s="2"/>
      <c r="G98" s="376"/>
      <c r="H98" s="5">
        <f>+H85-H97</f>
        <v>0</v>
      </c>
      <c r="K98" s="376"/>
      <c r="L98" s="5">
        <f>+L85-L97</f>
        <v>0</v>
      </c>
      <c r="O98" s="376"/>
      <c r="P98" s="5">
        <f>+P85-P97</f>
        <v>0</v>
      </c>
      <c r="S98" s="103"/>
      <c r="T98" s="5">
        <f>+T85-T97</f>
        <v>0</v>
      </c>
      <c r="W98" s="103"/>
      <c r="X98" s="5">
        <f>+X85-X97</f>
        <v>0</v>
      </c>
      <c r="AA98" s="103"/>
      <c r="AB98" s="5">
        <f>+AB85-AB97</f>
        <v>0</v>
      </c>
    </row>
    <row r="99" spans="1:28" x14ac:dyDescent="0.25">
      <c r="A99" s="152"/>
      <c r="B99" s="347"/>
      <c r="C99" s="347"/>
      <c r="D99" s="36"/>
      <c r="E99" s="333"/>
      <c r="F99" s="2"/>
    </row>
    <row r="100" spans="1:28" x14ac:dyDescent="0.25">
      <c r="A100" s="152"/>
      <c r="B100" s="102"/>
      <c r="C100" s="344"/>
      <c r="D100" s="25"/>
      <c r="E100" s="333"/>
      <c r="F100" s="2"/>
    </row>
    <row r="101" spans="1:28" x14ac:dyDescent="0.25">
      <c r="B101" s="102"/>
      <c r="C101" s="344"/>
      <c r="D101" s="36"/>
    </row>
    <row r="102" spans="1:28" x14ac:dyDescent="0.25">
      <c r="B102" s="102"/>
      <c r="C102" s="344"/>
      <c r="D102" s="36"/>
    </row>
    <row r="103" spans="1:28" ht="15" customHeight="1" x14ac:dyDescent="0.25">
      <c r="B103" s="102"/>
      <c r="C103" s="344"/>
      <c r="D103" s="36"/>
    </row>
    <row r="104" spans="1:28" x14ac:dyDescent="0.25">
      <c r="B104" s="102"/>
      <c r="C104" s="344"/>
      <c r="D104" s="36"/>
    </row>
    <row r="105" spans="1:28" x14ac:dyDescent="0.25">
      <c r="B105" s="102"/>
      <c r="C105" s="344"/>
      <c r="D105" s="36"/>
    </row>
    <row r="106" spans="1:28" ht="15" customHeight="1" x14ac:dyDescent="0.25">
      <c r="B106" s="2217"/>
      <c r="C106" s="2217"/>
      <c r="D106" s="36"/>
    </row>
    <row r="107" spans="1:28" x14ac:dyDescent="0.25">
      <c r="B107" s="2217"/>
      <c r="C107" s="2217"/>
      <c r="D107" s="36"/>
    </row>
    <row r="108" spans="1:28" x14ac:dyDescent="0.25">
      <c r="B108" s="102"/>
      <c r="C108" s="344"/>
      <c r="D108" s="6"/>
    </row>
    <row r="109" spans="1:28" x14ac:dyDescent="0.25">
      <c r="B109" s="102"/>
      <c r="C109" s="344"/>
      <c r="D109" s="36"/>
    </row>
    <row r="110" spans="1:28" x14ac:dyDescent="0.25">
      <c r="B110" s="102"/>
      <c r="C110" s="344"/>
      <c r="D110" s="36"/>
    </row>
    <row r="111" spans="1:28" ht="28.5" customHeight="1" x14ac:dyDescent="0.25">
      <c r="B111" s="102"/>
      <c r="C111" s="344"/>
      <c r="D111" s="25"/>
    </row>
    <row r="112" spans="1:28" x14ac:dyDescent="0.25">
      <c r="B112" s="102"/>
      <c r="C112" s="344"/>
      <c r="D112" s="36"/>
    </row>
    <row r="113" spans="2:4" x14ac:dyDescent="0.25">
      <c r="B113" s="102"/>
      <c r="C113" s="344"/>
      <c r="D113" s="36"/>
    </row>
    <row r="114" spans="2:4" x14ac:dyDescent="0.25">
      <c r="B114" s="102"/>
      <c r="C114" s="344"/>
      <c r="D114" s="36"/>
    </row>
    <row r="115" spans="2:4" x14ac:dyDescent="0.25">
      <c r="B115" s="102"/>
      <c r="C115" s="344"/>
      <c r="D115" s="36"/>
    </row>
    <row r="116" spans="2:4" x14ac:dyDescent="0.25">
      <c r="B116" s="102"/>
      <c r="C116" s="344"/>
      <c r="D116" s="36"/>
    </row>
    <row r="117" spans="2:4" x14ac:dyDescent="0.25">
      <c r="B117" s="102"/>
      <c r="C117" s="344"/>
      <c r="D117" s="36"/>
    </row>
    <row r="118" spans="2:4" x14ac:dyDescent="0.25">
      <c r="B118" s="102"/>
      <c r="C118" s="344"/>
      <c r="D118" s="36"/>
    </row>
    <row r="119" spans="2:4" x14ac:dyDescent="0.25">
      <c r="B119" s="102"/>
      <c r="C119" s="344"/>
      <c r="D119" s="36"/>
    </row>
    <row r="120" spans="2:4" x14ac:dyDescent="0.25">
      <c r="B120" s="102"/>
      <c r="C120" s="344"/>
      <c r="D120" s="36"/>
    </row>
    <row r="121" spans="2:4" x14ac:dyDescent="0.25">
      <c r="B121" s="102"/>
      <c r="C121" s="344"/>
      <c r="D121" s="36"/>
    </row>
    <row r="122" spans="2:4" x14ac:dyDescent="0.25">
      <c r="B122" s="102"/>
      <c r="C122" s="344"/>
      <c r="D122" s="36"/>
    </row>
    <row r="123" spans="2:4" x14ac:dyDescent="0.25">
      <c r="B123" s="102"/>
      <c r="C123" s="344"/>
      <c r="D123" s="36"/>
    </row>
    <row r="124" spans="2:4" x14ac:dyDescent="0.25">
      <c r="B124" s="102"/>
      <c r="C124" s="344"/>
      <c r="D124" s="36"/>
    </row>
    <row r="125" spans="2:4" x14ac:dyDescent="0.25">
      <c r="B125" s="102"/>
      <c r="C125" s="344"/>
      <c r="D125" s="36"/>
    </row>
    <row r="126" spans="2:4" x14ac:dyDescent="0.25">
      <c r="B126" s="102"/>
      <c r="C126" s="344"/>
      <c r="D126" s="36"/>
    </row>
  </sheetData>
  <mergeCells count="1">
    <mergeCell ref="B106:C107"/>
  </mergeCells>
  <pageMargins left="0.25" right="0.25" top="0.17" bottom="0.17" header="0.17" footer="0.17"/>
  <pageSetup paperSize="17" scale="39" orientation="landscape" r:id="rId1"/>
  <headerFooter>
    <oddHeader>&amp;R&amp;A</oddHeader>
    <oddFooter>&amp;L&amp;F&amp;R&amp;A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33FF"/>
  </sheetPr>
  <dimension ref="A1:AR94"/>
  <sheetViews>
    <sheetView showGridLines="0" zoomScale="85" zoomScaleNormal="85" workbookViewId="0">
      <pane ySplit="2" topLeftCell="A3" activePane="bottomLeft" state="frozen"/>
      <selection activeCell="G26" sqref="G26"/>
      <selection pane="bottomLeft" activeCell="G37" sqref="G37"/>
    </sheetView>
  </sheetViews>
  <sheetFormatPr defaultColWidth="0" defaultRowHeight="15.75" zeroHeight="1" x14ac:dyDescent="0.25"/>
  <cols>
    <col min="1" max="1" width="1.28515625" style="1370" customWidth="1"/>
    <col min="2" max="2" width="2.140625" style="1371" customWidth="1"/>
    <col min="3" max="3" width="2.140625" style="1370" customWidth="1"/>
    <col min="4" max="4" width="66.140625" style="1370" customWidth="1"/>
    <col min="5" max="5" width="1.42578125" style="228" hidden="1" customWidth="1"/>
    <col min="6" max="6" width="21.7109375" style="222" customWidth="1"/>
    <col min="7" max="7" width="21.7109375" style="228" customWidth="1"/>
    <col min="8" max="8" width="21.7109375" style="222" customWidth="1"/>
    <col min="9" max="9" width="21.7109375" style="228" customWidth="1"/>
    <col min="10" max="12" width="21.7109375" style="228" hidden="1" customWidth="1"/>
    <col min="13" max="13" width="18.7109375" style="1974" hidden="1" customWidth="1"/>
    <col min="14" max="14" width="18.7109375" style="1944" hidden="1" customWidth="1"/>
    <col min="15" max="15" width="18.7109375" style="1976" hidden="1" customWidth="1"/>
    <col min="16" max="16" width="13" style="1939" hidden="1" customWidth="1"/>
    <col min="17" max="17" width="18.7109375" style="1976" hidden="1" customWidth="1"/>
    <col min="18" max="18" width="11.42578125" style="1798" hidden="1" customWidth="1"/>
    <col min="19" max="19" width="3.28515625" style="1319" customWidth="1"/>
    <col min="20" max="20" width="13.42578125" style="1319" hidden="1" customWidth="1"/>
    <col min="21" max="21" width="17.28515625" style="1802" hidden="1" customWidth="1"/>
    <col min="22" max="24" width="15.140625" style="1802" hidden="1" customWidth="1"/>
    <col min="25" max="25" width="3.5703125" style="1319" hidden="1" customWidth="1"/>
    <col min="26" max="44" width="0" style="1319" hidden="1" customWidth="1"/>
    <col min="45" max="16384" width="9.140625" style="1319" hidden="1"/>
  </cols>
  <sheetData>
    <row r="1" spans="1:24" s="1318" customFormat="1" ht="18" customHeight="1" thickTop="1" x14ac:dyDescent="0.25">
      <c r="A1" s="2193" t="s">
        <v>387</v>
      </c>
      <c r="B1" s="2194"/>
      <c r="C1" s="2194"/>
      <c r="D1" s="2194"/>
      <c r="E1" s="1526" t="str">
        <f>+UNRESTRICTED!E1</f>
        <v>2015-2016</v>
      </c>
      <c r="F1" s="1668" t="str">
        <f>+UNRESTRICTED!F1</f>
        <v>2016-2017</v>
      </c>
      <c r="G1" s="1669" t="str">
        <f>+UNRESTRICTED!G1</f>
        <v>2017-2018</v>
      </c>
      <c r="H1" s="1670" t="str">
        <f>+UNRESTRICTED!H1</f>
        <v>2018-2019</v>
      </c>
      <c r="I1" s="1671" t="str">
        <f>+UNRESTRICTED!I1</f>
        <v>2019-2020</v>
      </c>
      <c r="J1" s="1671" t="str">
        <f>+UNRESTRICTED!J1</f>
        <v>2020-2021</v>
      </c>
      <c r="K1" s="1671" t="str">
        <f>+UNRESTRICTED!K1</f>
        <v>2021-2022</v>
      </c>
      <c r="L1" s="1671" t="str">
        <f>+UNRESTRICTED!L1</f>
        <v>2022-2023</v>
      </c>
      <c r="M1" s="1960"/>
      <c r="N1" s="1945"/>
      <c r="O1" s="1975"/>
      <c r="P1" s="1947"/>
      <c r="Q1" s="1975"/>
      <c r="R1" s="1946"/>
      <c r="U1" s="1806"/>
      <c r="V1" s="1806"/>
      <c r="W1" s="1806"/>
      <c r="X1" s="1806"/>
    </row>
    <row r="2" spans="1:24" s="1318" customFormat="1" ht="36" x14ac:dyDescent="0.25">
      <c r="A2" s="2195"/>
      <c r="B2" s="2196"/>
      <c r="C2" s="2196"/>
      <c r="D2" s="2196"/>
      <c r="E2" s="1540"/>
      <c r="F2" s="1762" t="s">
        <v>902</v>
      </c>
      <c r="G2" s="1906" t="str">
        <f>+UNRESTRICTED!G2</f>
        <v>First Interim Budget</v>
      </c>
      <c r="H2" s="1763" t="s">
        <v>903</v>
      </c>
      <c r="I2" s="1764" t="s">
        <v>903</v>
      </c>
      <c r="J2" s="1764" t="s">
        <v>903</v>
      </c>
      <c r="K2" s="1764" t="s">
        <v>903</v>
      </c>
      <c r="L2" s="1764" t="s">
        <v>903</v>
      </c>
      <c r="M2" s="1960"/>
      <c r="N2" s="1945"/>
      <c r="O2" s="1975"/>
      <c r="P2" s="1947"/>
      <c r="Q2" s="1975"/>
      <c r="R2" s="1946"/>
      <c r="U2" s="1806"/>
      <c r="V2" s="1806"/>
      <c r="W2" s="1806"/>
      <c r="X2" s="1806"/>
    </row>
    <row r="3" spans="1:24" x14ac:dyDescent="0.25">
      <c r="A3" s="1528"/>
      <c r="B3" s="1529"/>
      <c r="C3" s="1530"/>
      <c r="D3" s="1530"/>
      <c r="E3" s="231"/>
      <c r="F3" s="1672"/>
      <c r="G3" s="1531"/>
      <c r="H3" s="1703"/>
      <c r="I3" s="1532"/>
      <c r="J3" s="1532"/>
      <c r="K3" s="1532"/>
      <c r="L3" s="1532"/>
      <c r="M3" s="1961"/>
      <c r="S3" s="1318"/>
    </row>
    <row r="4" spans="1:24" ht="18" x14ac:dyDescent="0.25">
      <c r="A4" s="1328"/>
      <c r="B4" s="1329" t="s">
        <v>354</v>
      </c>
      <c r="C4" s="1330"/>
      <c r="D4" s="1330"/>
      <c r="E4" s="671"/>
      <c r="F4" s="1673"/>
      <c r="G4" s="1195"/>
      <c r="H4" s="1704"/>
      <c r="I4" s="672"/>
      <c r="J4" s="672"/>
      <c r="K4" s="672"/>
      <c r="L4" s="672"/>
      <c r="M4" s="1962"/>
      <c r="N4" s="1948"/>
      <c r="O4" s="1977"/>
      <c r="P4" s="1950"/>
      <c r="Q4" s="1977"/>
      <c r="R4" s="1949"/>
      <c r="S4" s="1318"/>
    </row>
    <row r="5" spans="1:24" ht="19.5" x14ac:dyDescent="0.35">
      <c r="A5" s="1331"/>
      <c r="B5" s="1332"/>
      <c r="C5" s="745" t="s">
        <v>355</v>
      </c>
      <c r="D5" s="745"/>
      <c r="E5" s="624"/>
      <c r="F5" s="1674">
        <f>+'RS 6500'!D9</f>
        <v>1039279</v>
      </c>
      <c r="G5" s="1161">
        <f>+'RS 6500'!H9</f>
        <v>1065113</v>
      </c>
      <c r="H5" s="1705">
        <f>+'RS 6500'!L9</f>
        <v>1088013</v>
      </c>
      <c r="I5" s="669">
        <f>+'RS 6500'!P9</f>
        <v>1113581</v>
      </c>
      <c r="J5" s="669">
        <f t="shared" ref="J5:L5" si="0">+I5</f>
        <v>1113581</v>
      </c>
      <c r="K5" s="669">
        <f t="shared" si="0"/>
        <v>1113581</v>
      </c>
      <c r="L5" s="669">
        <f t="shared" si="0"/>
        <v>1113581</v>
      </c>
      <c r="M5" s="1963">
        <f>+G5-F5</f>
        <v>25834</v>
      </c>
      <c r="N5" s="1940">
        <f>IFERROR(M5/F5,0)</f>
        <v>2.4857617636842466E-2</v>
      </c>
      <c r="O5" s="1963">
        <f>+H5-G5</f>
        <v>22900</v>
      </c>
      <c r="P5" s="1940">
        <f>IFERROR(O5/G5,0)</f>
        <v>2.1500066190160105E-2</v>
      </c>
      <c r="Q5" s="1963">
        <f>+I5-H5</f>
        <v>25568</v>
      </c>
      <c r="R5" s="1940">
        <f>IFERROR(Q5/H5,0)</f>
        <v>2.3499719212913817E-2</v>
      </c>
      <c r="S5" s="1318"/>
      <c r="U5" s="1804" t="s">
        <v>967</v>
      </c>
    </row>
    <row r="6" spans="1:24" ht="18" hidden="1" x14ac:dyDescent="0.25">
      <c r="A6" s="1331"/>
      <c r="B6" s="1332"/>
      <c r="C6" s="745"/>
      <c r="D6" s="745"/>
      <c r="E6" s="624"/>
      <c r="F6" s="1674"/>
      <c r="G6" s="1161"/>
      <c r="H6" s="1705"/>
      <c r="I6" s="669"/>
      <c r="J6" s="669"/>
      <c r="K6" s="669"/>
      <c r="L6" s="669"/>
      <c r="M6" s="1963">
        <f>+G6-F6</f>
        <v>0</v>
      </c>
      <c r="N6" s="1940">
        <f t="shared" ref="N6:N13" si="1">IFERROR(M6/F6,0)</f>
        <v>0</v>
      </c>
      <c r="O6" s="1963">
        <f>+H6-G6</f>
        <v>0</v>
      </c>
      <c r="P6" s="1940">
        <f t="shared" ref="P6:P13" si="2">IFERROR(O6/G6,0)</f>
        <v>0</v>
      </c>
      <c r="Q6" s="1963">
        <f t="shared" ref="Q6:Q13" si="3">+I6-H6</f>
        <v>0</v>
      </c>
      <c r="R6" s="1940">
        <f t="shared" ref="R6:R13" si="4">IFERROR(Q6/H6,0)</f>
        <v>0</v>
      </c>
      <c r="S6" s="1318"/>
    </row>
    <row r="7" spans="1:24" ht="18" x14ac:dyDescent="0.25">
      <c r="A7" s="1333"/>
      <c r="B7" s="1334"/>
      <c r="C7" s="737" t="s">
        <v>356</v>
      </c>
      <c r="D7" s="737"/>
      <c r="E7" s="625"/>
      <c r="F7" s="1675">
        <f>+'RS 3010'!D10+'RS 4035'!D9+'RS 4201'!D9+'RS 4203'!D9+'RS 5640'!D9+'RS 3310'!D11+'RS 3311'!D9</f>
        <v>3400521.8600000003</v>
      </c>
      <c r="G7" s="1163">
        <f>+'RS 3010'!H10+'RS 4035'!H9+'RS 4201'!H9+'RS 4203'!H9+'RS 5640'!H9+'RS 3310'!H11+'RS 3311'!H9</f>
        <v>3881823</v>
      </c>
      <c r="H7" s="1706">
        <f>+'RS 3010'!L10+'RS 4035'!L9+'RS 4201'!L9+'RS 4203'!L9+'RS 5640'!L9+'RS 3310'!L11+'RS 3311'!L9</f>
        <v>4059051.48</v>
      </c>
      <c r="I7" s="653">
        <f>+'RS 3010'!P10+'RS 4035'!P9+'RS 4201'!P9+'RS 4203'!P9+'RS 5640'!P9+'RS 3310'!P11+'RS 3311'!P9</f>
        <v>4175116.48</v>
      </c>
      <c r="J7" s="653" t="e">
        <f>+I7*(1+#REF!)</f>
        <v>#REF!</v>
      </c>
      <c r="K7" s="653" t="e">
        <f>+J7*(1+#REF!)</f>
        <v>#REF!</v>
      </c>
      <c r="L7" s="653" t="e">
        <f>+K7*(1+#REF!)</f>
        <v>#REF!</v>
      </c>
      <c r="M7" s="1963">
        <f t="shared" ref="M7:M13" si="5">+G7-F7</f>
        <v>481301.13999999966</v>
      </c>
      <c r="N7" s="1940">
        <f t="shared" si="1"/>
        <v>0.14153743449248099</v>
      </c>
      <c r="O7" s="1963">
        <f>+H7-G7</f>
        <v>177228.47999999998</v>
      </c>
      <c r="P7" s="1940">
        <f t="shared" si="2"/>
        <v>4.5655992042913852E-2</v>
      </c>
      <c r="Q7" s="1963">
        <f t="shared" si="3"/>
        <v>116065</v>
      </c>
      <c r="R7" s="1940">
        <f t="shared" si="4"/>
        <v>2.8594118742243692E-2</v>
      </c>
      <c r="S7" s="1318"/>
      <c r="U7" s="1802">
        <f>+F7+F8</f>
        <v>4502668.5100000007</v>
      </c>
      <c r="V7" s="1802">
        <f t="shared" ref="V7:X7" si="6">+G7+G8</f>
        <v>4632549.1899999995</v>
      </c>
      <c r="W7" s="1802">
        <f t="shared" si="6"/>
        <v>4359669.9000000004</v>
      </c>
      <c r="X7" s="1802">
        <f t="shared" si="6"/>
        <v>4267250</v>
      </c>
    </row>
    <row r="8" spans="1:24" ht="18" x14ac:dyDescent="0.25">
      <c r="A8" s="1333"/>
      <c r="B8" s="1334"/>
      <c r="C8" s="737"/>
      <c r="D8" s="1335" t="s">
        <v>388</v>
      </c>
      <c r="E8" s="626"/>
      <c r="F8" s="1676">
        <f>+'RS 3010'!D11+'RS 4035'!D10+'RS 4201'!D10+'RS 4203'!D10+'RS 5640'!D10+'RS 3311'!D10</f>
        <v>1102146.6500000001</v>
      </c>
      <c r="G8" s="1162">
        <f>+'RS 3010'!H11+'RS 4035'!H10+'RS 4201'!H10+'RS 4203'!H10+'RS 5640'!H10+'RS 5640'!H10+'RS 3311'!H10</f>
        <v>750726.19</v>
      </c>
      <c r="H8" s="1707">
        <f>+'RS 3010'!L11+'RS 4035'!L10+'RS 4201'!L10+'RS 4203'!L10+'RS 5640'!L10+'RS 3311'!L10</f>
        <v>300618.42000000004</v>
      </c>
      <c r="I8" s="654">
        <f>+'RS 3010'!P11+'RS 4035'!P10+'RS 4201'!P10+'RS 4203'!P10+'RS 5640'!P10+'RS 3311'!L10</f>
        <v>92133.52</v>
      </c>
      <c r="J8" s="654">
        <v>0</v>
      </c>
      <c r="K8" s="654">
        <v>0</v>
      </c>
      <c r="L8" s="654">
        <v>0</v>
      </c>
      <c r="M8" s="1963">
        <f t="shared" si="5"/>
        <v>-351420.4600000002</v>
      </c>
      <c r="N8" s="1940">
        <f t="shared" si="1"/>
        <v>-0.3188509079077636</v>
      </c>
      <c r="O8" s="1963">
        <f t="shared" ref="O8:O13" si="7">+H8-G8</f>
        <v>-450107.7699999999</v>
      </c>
      <c r="P8" s="1940">
        <f t="shared" si="2"/>
        <v>-0.59956316430095502</v>
      </c>
      <c r="Q8" s="1963">
        <f t="shared" si="3"/>
        <v>-208484.90000000002</v>
      </c>
      <c r="R8" s="1940">
        <f t="shared" si="4"/>
        <v>-0.69352004444704352</v>
      </c>
      <c r="S8" s="1318"/>
    </row>
    <row r="9" spans="1:24" ht="19.5" x14ac:dyDescent="0.35">
      <c r="A9" s="1333"/>
      <c r="B9" s="1334"/>
      <c r="C9" s="737" t="s">
        <v>357</v>
      </c>
      <c r="D9" s="737"/>
      <c r="E9" s="625"/>
      <c r="F9" s="1675">
        <f>+'RS 6010'!D9+'RS 6264'!D9+'RS 6300'!D9+'RS 6512'!D9</f>
        <v>629379.90999999992</v>
      </c>
      <c r="G9" s="1163">
        <f>+'RS 6010'!H9+'RS 6264'!H9+'RS 6300'!H9+'RS 6512'!H9</f>
        <v>644794</v>
      </c>
      <c r="H9" s="1706">
        <f>+'RS 6010'!L9+'RS 6264'!L9+'RS 6300'!L9+'RS 6512'!L9</f>
        <v>653587</v>
      </c>
      <c r="I9" s="653">
        <f>+'RS 6010'!P9+'RS 6264'!P9+'RS 6300'!P9+'RS 6512'!P9</f>
        <v>663405</v>
      </c>
      <c r="J9" s="653" t="e">
        <f>+I9*(1+#REF!)</f>
        <v>#REF!</v>
      </c>
      <c r="K9" s="653" t="e">
        <f>+J9*(1+#REF!)</f>
        <v>#REF!</v>
      </c>
      <c r="L9" s="653" t="e">
        <f>+K9*(1+#REF!)</f>
        <v>#REF!</v>
      </c>
      <c r="M9" s="1963">
        <f t="shared" si="5"/>
        <v>15414.090000000084</v>
      </c>
      <c r="N9" s="1940">
        <f t="shared" si="1"/>
        <v>2.4490915193019245E-2</v>
      </c>
      <c r="O9" s="1963">
        <f t="shared" si="7"/>
        <v>8793</v>
      </c>
      <c r="P9" s="1940">
        <f t="shared" si="2"/>
        <v>1.3636913494852619E-2</v>
      </c>
      <c r="Q9" s="1963">
        <f t="shared" si="3"/>
        <v>9818</v>
      </c>
      <c r="R9" s="1940">
        <f t="shared" si="4"/>
        <v>1.5021718608234253E-2</v>
      </c>
      <c r="S9" s="1318"/>
      <c r="U9" s="1804" t="s">
        <v>968</v>
      </c>
    </row>
    <row r="10" spans="1:24" ht="18" x14ac:dyDescent="0.25">
      <c r="A10" s="1333"/>
      <c r="B10" s="1334"/>
      <c r="C10" s="737"/>
      <c r="D10" s="1335" t="s">
        <v>389</v>
      </c>
      <c r="E10" s="626"/>
      <c r="F10" s="1676">
        <f>+'RS 6230'!D11</f>
        <v>466860</v>
      </c>
      <c r="G10" s="1162">
        <f>+'RS 6230'!H11</f>
        <v>441384</v>
      </c>
      <c r="H10" s="1707">
        <v>0</v>
      </c>
      <c r="I10" s="654">
        <v>0</v>
      </c>
      <c r="J10" s="654">
        <v>0</v>
      </c>
      <c r="K10" s="654">
        <v>0</v>
      </c>
      <c r="L10" s="654">
        <v>0</v>
      </c>
      <c r="M10" s="1963">
        <f>+G10-F10</f>
        <v>-25476</v>
      </c>
      <c r="N10" s="1940">
        <f t="shared" si="1"/>
        <v>-5.4568821488240583E-2</v>
      </c>
      <c r="O10" s="1963">
        <f t="shared" si="7"/>
        <v>-441384</v>
      </c>
      <c r="P10" s="1940">
        <f t="shared" si="2"/>
        <v>-1</v>
      </c>
      <c r="Q10" s="1963">
        <f t="shared" si="3"/>
        <v>0</v>
      </c>
      <c r="R10" s="1940">
        <f t="shared" si="4"/>
        <v>0</v>
      </c>
      <c r="S10" s="1318"/>
      <c r="U10" s="1805">
        <f>+F9+F10</f>
        <v>1096239.9099999999</v>
      </c>
      <c r="V10" s="1805">
        <f>+G9+G10</f>
        <v>1086178</v>
      </c>
      <c r="W10" s="1805">
        <f>+H9+H10</f>
        <v>653587</v>
      </c>
      <c r="X10" s="1805">
        <f>+I9+I10</f>
        <v>663405</v>
      </c>
    </row>
    <row r="11" spans="1:24" ht="18" x14ac:dyDescent="0.25">
      <c r="A11" s="1336"/>
      <c r="B11" s="1337"/>
      <c r="C11" s="1338" t="s">
        <v>359</v>
      </c>
      <c r="D11" s="1338"/>
      <c r="E11" s="631"/>
      <c r="F11" s="1677">
        <f>+'RS 6500'!D10+'RS 6500'!D11+'RS 9076'!D11</f>
        <v>3437837.6199999996</v>
      </c>
      <c r="G11" s="1168">
        <f>+'RS 6500'!H10+'RS 6500'!H11+'RS 9076'!H11+'RS 9221'!H11+'RS 9222'!H11</f>
        <v>3391981</v>
      </c>
      <c r="H11" s="1708">
        <f>+'RS 6500'!L10+'RS 6500'!L11+'RS 9076'!L11+'RS 9221'!L11+'RS 9222'!L11</f>
        <v>3447822</v>
      </c>
      <c r="I11" s="655">
        <f>+'RS 6500'!P10+'RS 6500'!P11+'RS 9076'!P11+'RS 9222'!L11+'RS 9221'!P11</f>
        <v>3528656</v>
      </c>
      <c r="J11" s="655">
        <f t="shared" ref="J11:L11" si="8">+I11</f>
        <v>3528656</v>
      </c>
      <c r="K11" s="655">
        <f t="shared" si="8"/>
        <v>3528656</v>
      </c>
      <c r="L11" s="655">
        <f t="shared" si="8"/>
        <v>3528656</v>
      </c>
      <c r="M11" s="1963">
        <f t="shared" si="5"/>
        <v>-45856.619999999646</v>
      </c>
      <c r="N11" s="1940">
        <f t="shared" si="1"/>
        <v>-1.3338797543323077E-2</v>
      </c>
      <c r="O11" s="1963">
        <f t="shared" si="7"/>
        <v>55841</v>
      </c>
      <c r="P11" s="1940">
        <f t="shared" si="2"/>
        <v>1.6462651176406943E-2</v>
      </c>
      <c r="Q11" s="1963">
        <f t="shared" si="3"/>
        <v>80834</v>
      </c>
      <c r="R11" s="1940">
        <f t="shared" si="4"/>
        <v>2.3444945823769325E-2</v>
      </c>
      <c r="S11" s="1318"/>
    </row>
    <row r="12" spans="1:24" ht="18" hidden="1" x14ac:dyDescent="0.25">
      <c r="A12" s="1341"/>
      <c r="B12" s="1349"/>
      <c r="C12" s="1350"/>
      <c r="D12" s="1350"/>
      <c r="E12" s="223"/>
      <c r="F12" s="1678"/>
      <c r="G12" s="1280"/>
      <c r="H12" s="1709"/>
      <c r="I12" s="706"/>
      <c r="J12" s="706"/>
      <c r="K12" s="706"/>
      <c r="L12" s="706"/>
      <c r="M12" s="1963">
        <f t="shared" si="5"/>
        <v>0</v>
      </c>
      <c r="N12" s="1940">
        <f t="shared" si="1"/>
        <v>0</v>
      </c>
      <c r="O12" s="1963">
        <f t="shared" si="7"/>
        <v>0</v>
      </c>
      <c r="P12" s="1940">
        <f t="shared" si="2"/>
        <v>0</v>
      </c>
      <c r="Q12" s="1963">
        <f t="shared" si="3"/>
        <v>0</v>
      </c>
      <c r="R12" s="1940">
        <f t="shared" si="4"/>
        <v>0</v>
      </c>
      <c r="S12" s="1318"/>
    </row>
    <row r="13" spans="1:24" ht="18.75" thickBot="1" x14ac:dyDescent="0.3">
      <c r="A13" s="1339"/>
      <c r="B13" s="1340" t="s">
        <v>360</v>
      </c>
      <c r="C13" s="1340"/>
      <c r="D13" s="1340"/>
      <c r="E13" s="646"/>
      <c r="F13" s="1679">
        <f t="shared" ref="F13:L13" si="9">SUM(F5:F11)</f>
        <v>10076025.040000001</v>
      </c>
      <c r="G13" s="1196">
        <f t="shared" si="9"/>
        <v>10175821.189999999</v>
      </c>
      <c r="H13" s="1710">
        <f t="shared" si="9"/>
        <v>9549091.9000000004</v>
      </c>
      <c r="I13" s="656">
        <f t="shared" si="9"/>
        <v>9572892</v>
      </c>
      <c r="J13" s="656" t="e">
        <f t="shared" si="9"/>
        <v>#REF!</v>
      </c>
      <c r="K13" s="656" t="e">
        <f t="shared" si="9"/>
        <v>#REF!</v>
      </c>
      <c r="L13" s="656" t="e">
        <f t="shared" si="9"/>
        <v>#REF!</v>
      </c>
      <c r="M13" s="1963">
        <f t="shared" si="5"/>
        <v>99796.14999999851</v>
      </c>
      <c r="N13" s="1940">
        <f t="shared" si="1"/>
        <v>9.9043173874445341E-3</v>
      </c>
      <c r="O13" s="1963">
        <f t="shared" si="7"/>
        <v>-626729.28999999911</v>
      </c>
      <c r="P13" s="1940">
        <f t="shared" si="2"/>
        <v>-6.1590045490962399E-2</v>
      </c>
      <c r="Q13" s="1963">
        <f t="shared" si="3"/>
        <v>23800.099999999627</v>
      </c>
      <c r="R13" s="1940">
        <f t="shared" si="4"/>
        <v>2.4923940673353059E-3</v>
      </c>
      <c r="S13" s="1318"/>
    </row>
    <row r="14" spans="1:24" ht="18.75" thickTop="1" x14ac:dyDescent="0.25">
      <c r="A14" s="1341"/>
      <c r="B14" s="1342"/>
      <c r="C14" s="1343"/>
      <c r="D14" s="1343"/>
      <c r="E14" s="224"/>
      <c r="F14" s="1680"/>
      <c r="G14" s="1166"/>
      <c r="H14" s="1711"/>
      <c r="I14" s="657"/>
      <c r="J14" s="657"/>
      <c r="K14" s="657"/>
      <c r="L14" s="657"/>
      <c r="M14" s="1963"/>
      <c r="N14" s="1940"/>
      <c r="O14" s="1963"/>
      <c r="P14" s="1940"/>
      <c r="Q14" s="1963"/>
      <c r="R14" s="1940"/>
      <c r="S14" s="1318"/>
      <c r="T14" s="1296"/>
    </row>
    <row r="15" spans="1:24" ht="18" x14ac:dyDescent="0.25">
      <c r="A15" s="1341"/>
      <c r="B15" s="1342" t="s">
        <v>707</v>
      </c>
      <c r="C15" s="1343"/>
      <c r="D15" s="1343"/>
      <c r="E15" s="224"/>
      <c r="F15" s="1681"/>
      <c r="G15" s="1170"/>
      <c r="H15" s="1712"/>
      <c r="I15" s="658"/>
      <c r="J15" s="658"/>
      <c r="K15" s="658"/>
      <c r="L15" s="658"/>
      <c r="M15" s="1963"/>
      <c r="N15" s="1940"/>
      <c r="O15" s="1963"/>
      <c r="P15" s="1940"/>
      <c r="Q15" s="1963"/>
      <c r="R15" s="1940"/>
      <c r="S15" s="1318"/>
    </row>
    <row r="16" spans="1:24" s="1320" customFormat="1" ht="18" x14ac:dyDescent="0.25">
      <c r="A16" s="1333"/>
      <c r="B16" s="1334"/>
      <c r="C16" s="737" t="s">
        <v>371</v>
      </c>
      <c r="D16" s="737"/>
      <c r="E16" s="632"/>
      <c r="F16" s="1682">
        <v>0</v>
      </c>
      <c r="G16" s="1197">
        <v>0</v>
      </c>
      <c r="H16" s="1713">
        <v>0</v>
      </c>
      <c r="I16" s="652">
        <v>0</v>
      </c>
      <c r="J16" s="652">
        <v>0</v>
      </c>
      <c r="K16" s="652">
        <v>0</v>
      </c>
      <c r="L16" s="652">
        <v>0</v>
      </c>
      <c r="M16" s="1963">
        <f t="shared" ref="M16:M61" si="10">+G16-F16</f>
        <v>0</v>
      </c>
      <c r="N16" s="1940">
        <f t="shared" ref="N16:N61" si="11">IFERROR(M16/F16,0)</f>
        <v>0</v>
      </c>
      <c r="O16" s="1963">
        <f t="shared" ref="O16:O61" si="12">+H16-G16</f>
        <v>0</v>
      </c>
      <c r="P16" s="1940">
        <f t="shared" ref="P16:P61" si="13">IFERROR(O16/G16,0)</f>
        <v>0</v>
      </c>
      <c r="Q16" s="1963">
        <f t="shared" ref="Q16:Q61" si="14">+I16-H16</f>
        <v>0</v>
      </c>
      <c r="R16" s="1940">
        <f t="shared" ref="R16:R61" si="15">IFERROR(Q16/H16,0)</f>
        <v>0</v>
      </c>
      <c r="S16" s="1318"/>
      <c r="U16" s="1806"/>
      <c r="V16" s="1806"/>
      <c r="W16" s="1806"/>
      <c r="X16" s="1806"/>
    </row>
    <row r="17" spans="1:25" ht="18" x14ac:dyDescent="0.25">
      <c r="A17" s="1336"/>
      <c r="B17" s="1337"/>
      <c r="C17" s="1338" t="s">
        <v>278</v>
      </c>
      <c r="D17" s="1338"/>
      <c r="E17" s="631"/>
      <c r="F17" s="1677">
        <f>+'RS 7810'!D9</f>
        <v>843860.64</v>
      </c>
      <c r="G17" s="1168">
        <v>0</v>
      </c>
      <c r="H17" s="1708">
        <v>0</v>
      </c>
      <c r="I17" s="655">
        <v>0</v>
      </c>
      <c r="J17" s="655">
        <v>0</v>
      </c>
      <c r="K17" s="655">
        <v>0</v>
      </c>
      <c r="L17" s="655">
        <v>0</v>
      </c>
      <c r="M17" s="1963">
        <f t="shared" si="10"/>
        <v>-843860.64</v>
      </c>
      <c r="N17" s="1940">
        <f t="shared" si="11"/>
        <v>-1</v>
      </c>
      <c r="O17" s="1963">
        <f t="shared" si="12"/>
        <v>0</v>
      </c>
      <c r="P17" s="1940">
        <f t="shared" si="13"/>
        <v>0</v>
      </c>
      <c r="Q17" s="1963">
        <f t="shared" si="14"/>
        <v>0</v>
      </c>
      <c r="R17" s="1940">
        <f t="shared" si="15"/>
        <v>0</v>
      </c>
    </row>
    <row r="18" spans="1:25" ht="18" x14ac:dyDescent="0.25">
      <c r="A18" s="1333"/>
      <c r="B18" s="1334"/>
      <c r="C18" s="737" t="s">
        <v>692</v>
      </c>
      <c r="D18" s="737"/>
      <c r="E18" s="625"/>
      <c r="F18" s="1675"/>
      <c r="G18" s="1163"/>
      <c r="H18" s="1706"/>
      <c r="I18" s="653"/>
      <c r="J18" s="653"/>
      <c r="K18" s="653"/>
      <c r="L18" s="653"/>
      <c r="M18" s="1963"/>
      <c r="N18" s="1940"/>
      <c r="O18" s="1963"/>
      <c r="P18" s="1940"/>
      <c r="Q18" s="1963"/>
      <c r="R18" s="1940"/>
    </row>
    <row r="19" spans="1:25" ht="18" x14ac:dyDescent="0.25">
      <c r="A19" s="1333"/>
      <c r="B19" s="1334"/>
      <c r="C19" s="737"/>
      <c r="D19" s="737" t="s">
        <v>401</v>
      </c>
      <c r="E19" s="625"/>
      <c r="F19" s="1675">
        <f>+'RS 6500'!D12</f>
        <v>11011522.92</v>
      </c>
      <c r="G19" s="1163">
        <f>+'RS 6500'!H12</f>
        <v>12523071</v>
      </c>
      <c r="H19" s="1706">
        <f>+'RS 6500'!L12</f>
        <v>12774650</v>
      </c>
      <c r="I19" s="653">
        <f>+'RS 6500'!P12</f>
        <v>13188038</v>
      </c>
      <c r="J19" s="653"/>
      <c r="K19" s="653"/>
      <c r="L19" s="653"/>
      <c r="M19" s="1963">
        <f t="shared" si="10"/>
        <v>1511548.08</v>
      </c>
      <c r="N19" s="1940">
        <f t="shared" si="11"/>
        <v>0.13726966660121159</v>
      </c>
      <c r="O19" s="1963">
        <f>+H19-G19</f>
        <v>251579</v>
      </c>
      <c r="P19" s="1940">
        <f>IFERROR(O19/G19,0)</f>
        <v>2.0089241688400553E-2</v>
      </c>
      <c r="Q19" s="1963">
        <f t="shared" si="14"/>
        <v>413388</v>
      </c>
      <c r="R19" s="1940">
        <f t="shared" si="15"/>
        <v>3.236002551929016E-2</v>
      </c>
    </row>
    <row r="20" spans="1:25" ht="18" x14ac:dyDescent="0.25">
      <c r="A20" s="1333"/>
      <c r="B20" s="1334"/>
      <c r="C20" s="737"/>
      <c r="D20" s="737" t="s">
        <v>402</v>
      </c>
      <c r="E20" s="625"/>
      <c r="F20" s="1675">
        <f>+'RS 8150'!D11</f>
        <v>2400861</v>
      </c>
      <c r="G20" s="1163">
        <f>+'RS 8150'!H11</f>
        <v>2608798</v>
      </c>
      <c r="H20" s="1706">
        <f>+'RS 8150'!L11</f>
        <v>2468427</v>
      </c>
      <c r="I20" s="653">
        <f>+'RS 8150'!P11</f>
        <v>2468674</v>
      </c>
      <c r="J20" s="653"/>
      <c r="K20" s="653"/>
      <c r="L20" s="653"/>
      <c r="M20" s="1963">
        <f t="shared" si="10"/>
        <v>207937</v>
      </c>
      <c r="N20" s="1940">
        <f t="shared" si="11"/>
        <v>8.6609345563945603E-2</v>
      </c>
      <c r="O20" s="1963">
        <f t="shared" si="12"/>
        <v>-140371</v>
      </c>
      <c r="P20" s="1940">
        <f t="shared" si="13"/>
        <v>-5.3806772314299534E-2</v>
      </c>
      <c r="Q20" s="1963">
        <f t="shared" si="14"/>
        <v>247</v>
      </c>
      <c r="R20" s="1940">
        <f t="shared" si="15"/>
        <v>1.0006372479315775E-4</v>
      </c>
    </row>
    <row r="21" spans="1:25" ht="18" x14ac:dyDescent="0.25">
      <c r="A21" s="1344"/>
      <c r="B21" s="1345"/>
      <c r="C21" s="1346"/>
      <c r="D21" s="1346" t="s">
        <v>403</v>
      </c>
      <c r="E21" s="629"/>
      <c r="F21" s="1683">
        <f>+'RS 9225'!D11</f>
        <v>1961318</v>
      </c>
      <c r="G21" s="1198">
        <f>+'RS 9225'!H11</f>
        <v>300000</v>
      </c>
      <c r="H21" s="1714">
        <f>+'RS 9225'!L11</f>
        <v>300000</v>
      </c>
      <c r="I21" s="659">
        <f>+'RS 9225'!P11</f>
        <v>300000</v>
      </c>
      <c r="J21" s="659"/>
      <c r="K21" s="659"/>
      <c r="L21" s="659"/>
      <c r="M21" s="1963">
        <f t="shared" si="10"/>
        <v>-1661318</v>
      </c>
      <c r="N21" s="1940">
        <f t="shared" si="11"/>
        <v>-0.84704163220854545</v>
      </c>
      <c r="O21" s="1963">
        <f t="shared" si="12"/>
        <v>0</v>
      </c>
      <c r="P21" s="1940">
        <f t="shared" si="13"/>
        <v>0</v>
      </c>
      <c r="Q21" s="1963">
        <f t="shared" si="14"/>
        <v>0</v>
      </c>
      <c r="R21" s="1940">
        <f t="shared" si="15"/>
        <v>0</v>
      </c>
    </row>
    <row r="22" spans="1:25" s="1320" customFormat="1" ht="18.75" thickBot="1" x14ac:dyDescent="0.3">
      <c r="A22" s="1347"/>
      <c r="B22" s="1340" t="s">
        <v>708</v>
      </c>
      <c r="C22" s="1348"/>
      <c r="D22" s="1348"/>
      <c r="E22" s="630"/>
      <c r="F22" s="1684">
        <f>SUM(F16:F21)</f>
        <v>16217562.560000001</v>
      </c>
      <c r="G22" s="1165">
        <f>SUM(G16:G21)</f>
        <v>15431869</v>
      </c>
      <c r="H22" s="1715">
        <f>SUM(H16:H21)</f>
        <v>15543077</v>
      </c>
      <c r="I22" s="660">
        <f>SUM(I16:I21)</f>
        <v>15956712</v>
      </c>
      <c r="J22" s="660"/>
      <c r="K22" s="660"/>
      <c r="L22" s="660"/>
      <c r="M22" s="1963">
        <f t="shared" si="10"/>
        <v>-785693.56000000052</v>
      </c>
      <c r="N22" s="1940">
        <f t="shared" si="11"/>
        <v>-4.8447080570410979E-2</v>
      </c>
      <c r="O22" s="1963">
        <f t="shared" si="12"/>
        <v>111208</v>
      </c>
      <c r="P22" s="1940">
        <f t="shared" si="13"/>
        <v>7.206385694435327E-3</v>
      </c>
      <c r="Q22" s="1963">
        <f t="shared" si="14"/>
        <v>413635</v>
      </c>
      <c r="R22" s="1940">
        <f t="shared" si="15"/>
        <v>2.6612169520874147E-2</v>
      </c>
      <c r="U22" s="1806"/>
      <c r="V22" s="1806"/>
      <c r="W22" s="1806"/>
      <c r="X22" s="1806"/>
    </row>
    <row r="23" spans="1:25" s="1320" customFormat="1" ht="18.75" thickTop="1" x14ac:dyDescent="0.25">
      <c r="A23" s="1341"/>
      <c r="B23" s="1349"/>
      <c r="C23" s="1350"/>
      <c r="D23" s="1350"/>
      <c r="E23" s="237"/>
      <c r="F23" s="1685"/>
      <c r="G23" s="1199"/>
      <c r="H23" s="1716"/>
      <c r="I23" s="661"/>
      <c r="J23" s="661"/>
      <c r="K23" s="661"/>
      <c r="L23" s="661"/>
      <c r="M23" s="1963"/>
      <c r="N23" s="1940"/>
      <c r="O23" s="1963"/>
      <c r="P23" s="1940"/>
      <c r="Q23" s="1963"/>
      <c r="R23" s="1940"/>
      <c r="U23" s="1806"/>
      <c r="V23" s="1806"/>
      <c r="W23" s="1806"/>
      <c r="X23" s="1806"/>
    </row>
    <row r="24" spans="1:25" s="1295" customFormat="1" ht="25.5" customHeight="1" x14ac:dyDescent="0.25">
      <c r="A24" s="1756"/>
      <c r="B24" s="1731" t="s">
        <v>709</v>
      </c>
      <c r="C24" s="1731"/>
      <c r="D24" s="1731"/>
      <c r="E24" s="1757"/>
      <c r="F24" s="1686">
        <f>SUM(F13,F22)</f>
        <v>26293587.600000001</v>
      </c>
      <c r="G24" s="1758">
        <f t="shared" ref="G24:I24" si="16">SUM(G13,G22)</f>
        <v>25607690.189999998</v>
      </c>
      <c r="H24" s="1717">
        <f t="shared" si="16"/>
        <v>25092168.899999999</v>
      </c>
      <c r="I24" s="1759">
        <f t="shared" si="16"/>
        <v>25529604</v>
      </c>
      <c r="J24" s="1759"/>
      <c r="K24" s="1759"/>
      <c r="L24" s="1759"/>
      <c r="M24" s="1963">
        <f t="shared" si="10"/>
        <v>-685897.41000000387</v>
      </c>
      <c r="N24" s="1940">
        <f t="shared" si="11"/>
        <v>-2.6086109679456744E-2</v>
      </c>
      <c r="O24" s="1963">
        <f t="shared" si="12"/>
        <v>-515521.28999999911</v>
      </c>
      <c r="P24" s="1940">
        <f t="shared" si="13"/>
        <v>-2.0131502926465199E-2</v>
      </c>
      <c r="Q24" s="1963">
        <f t="shared" si="14"/>
        <v>437435.10000000149</v>
      </c>
      <c r="R24" s="1940">
        <f t="shared" si="15"/>
        <v>1.7433132294912997E-2</v>
      </c>
      <c r="S24" s="1321"/>
      <c r="T24" s="1321"/>
      <c r="U24" s="1806"/>
      <c r="V24" s="1823"/>
      <c r="W24" s="1823"/>
      <c r="X24" s="1823"/>
      <c r="Y24" s="1322"/>
    </row>
    <row r="25" spans="1:25" s="1320" customFormat="1" ht="18" x14ac:dyDescent="0.25">
      <c r="A25" s="1351"/>
      <c r="B25" s="1352"/>
      <c r="C25" s="1353"/>
      <c r="D25" s="1353"/>
      <c r="E25" s="243"/>
      <c r="F25" s="1687"/>
      <c r="G25" s="1200"/>
      <c r="H25" s="1718"/>
      <c r="I25" s="670"/>
      <c r="J25" s="670"/>
      <c r="K25" s="670"/>
      <c r="L25" s="670"/>
      <c r="M25" s="1963"/>
      <c r="N25" s="1940"/>
      <c r="O25" s="1963"/>
      <c r="P25" s="1940"/>
      <c r="Q25" s="1963"/>
      <c r="R25" s="1940"/>
      <c r="S25" s="1935"/>
      <c r="U25" s="1806"/>
      <c r="V25" s="1806"/>
      <c r="W25" s="1806"/>
      <c r="X25" s="1806"/>
    </row>
    <row r="26" spans="1:25" ht="18" x14ac:dyDescent="0.25">
      <c r="A26" s="1328"/>
      <c r="B26" s="1329" t="s">
        <v>361</v>
      </c>
      <c r="C26" s="1330"/>
      <c r="D26" s="1330"/>
      <c r="E26" s="667"/>
      <c r="F26" s="1688"/>
      <c r="G26" s="1167"/>
      <c r="H26" s="1719"/>
      <c r="I26" s="668"/>
      <c r="J26" s="668"/>
      <c r="K26" s="668"/>
      <c r="L26" s="668"/>
      <c r="M26" s="1963"/>
      <c r="N26" s="1940"/>
      <c r="O26" s="1963"/>
      <c r="P26" s="1940"/>
      <c r="Q26" s="1963"/>
      <c r="R26" s="1940"/>
      <c r="S26" s="1934"/>
      <c r="T26" s="1323"/>
    </row>
    <row r="27" spans="1:25" ht="18" x14ac:dyDescent="0.25">
      <c r="A27" s="1331"/>
      <c r="B27" s="1332"/>
      <c r="C27" s="745" t="s">
        <v>362</v>
      </c>
      <c r="D27" s="745"/>
      <c r="E27" s="624"/>
      <c r="F27" s="1689">
        <f>+'RS 3010'!D30+'RS 4035'!D29+'RS 4201'!D30+'RS 4203'!D30+'RS 5640'!D30+'RS 6010'!D30+'RS 6264'!D30+'RS 3310'!D30+'RS 3311'!D30+'RS 6500'!D40+'RS 6512'!D30</f>
        <v>7181246.1800000006</v>
      </c>
      <c r="G27" s="1276">
        <f>+'RS 3010'!H30+'RS 4035'!H29+'RS 4201'!H30+'RS 4203'!H30+'RS 5640'!H30+'RS 6010'!H30+'RS 6264'!H30+'RS 3310'!H30+'RS 3311'!H30+'RS 6500'!H40+'RS 6512'!H30</f>
        <v>7417780</v>
      </c>
      <c r="H27" s="1705">
        <f>+'RS 3010'!L30+'RS 4035'!L29+'RS 4201'!L30+'RS 4203'!L30+'RS 5640'!L30+'RS 6010'!L30+'RS 6264'!L30+'RS 3310'!L30+'RS 3311'!L30+'RS 6500'!L40+'RS 6512'!L30</f>
        <v>7415877</v>
      </c>
      <c r="I27" s="669">
        <f>+'RS 3010'!P30+'RS 4035'!P29+'RS 4201'!P30+'RS 4203'!P30+'RS 5640'!P30+'RS 6010'!P30+'RS 6264'!P30+'RS 3310'!P30+'RS 3311'!P30+'RS 6500'!P40+'RS 6512'!P30</f>
        <v>7528955</v>
      </c>
      <c r="J27" s="669" t="e">
        <f>+I27*(1+#REF!)</f>
        <v>#REF!</v>
      </c>
      <c r="K27" s="669" t="e">
        <f>+J27*(1+#REF!)</f>
        <v>#REF!</v>
      </c>
      <c r="L27" s="669" t="e">
        <f>+K27*(1+#REF!)</f>
        <v>#REF!</v>
      </c>
      <c r="M27" s="1963">
        <f t="shared" si="10"/>
        <v>236533.81999999937</v>
      </c>
      <c r="N27" s="1940">
        <f t="shared" si="11"/>
        <v>3.2937712211949174E-2</v>
      </c>
      <c r="O27" s="1963">
        <f t="shared" si="12"/>
        <v>-1903</v>
      </c>
      <c r="P27" s="1940">
        <f t="shared" si="13"/>
        <v>-2.5654575897370913E-4</v>
      </c>
      <c r="Q27" s="1963">
        <f t="shared" si="14"/>
        <v>113078</v>
      </c>
      <c r="R27" s="1940">
        <f t="shared" si="15"/>
        <v>1.5248095403955594E-2</v>
      </c>
      <c r="S27" s="1933"/>
      <c r="T27" s="1933"/>
    </row>
    <row r="28" spans="1:25" ht="18" x14ac:dyDescent="0.25">
      <c r="A28" s="1333"/>
      <c r="B28" s="1334"/>
      <c r="C28" s="737" t="s">
        <v>363</v>
      </c>
      <c r="D28" s="737"/>
      <c r="E28" s="625"/>
      <c r="F28" s="1690">
        <f>+'RS 3010'!D41+'RS 4035'!D40+'RS 4201'!D41+'RS 4203'!D41+'RS 5640'!D41+'RS 6010'!D41+'RS 6264'!D41+'RS 3310'!D41+'RS 3311'!D41+'RS 6500'!D51+'RS 6512'!D41+'RS 8150'!D41</f>
        <v>4985104.38</v>
      </c>
      <c r="G28" s="1163">
        <f>+'RS 3010'!H41+'RS 4035'!H40+'RS 4201'!H41+'RS 4203'!H41+'RS 5640'!H41+'RS 6010'!H41+'RS 6264'!H41+'RS 3310'!H41+'RS 3311'!H41+'RS 6500'!H51+'RS 6512'!H41+'RS 8150'!H41</f>
        <v>5580821</v>
      </c>
      <c r="H28" s="1706">
        <f>+'RS 3010'!L41+'RS 4035'!L40+'RS 4201'!L41+'RS 4203'!L41+'RS 5640'!L41+'RS 6010'!L41+'RS 6264'!L41+'RS 3310'!L41+'RS 3311'!L41+'RS 6500'!L51+'RS 6512'!L41+'RS 8150'!L41</f>
        <v>5649591</v>
      </c>
      <c r="I28" s="653">
        <f>+'RS 3010'!P41+'RS 4035'!P40+'RS 4201'!P41+'RS 4203'!P41+'RS 5640'!P41+'RS 6010'!P41+'RS 6264'!P41+'RS 3310'!P41+'RS 3311'!P41+'RS 6500'!P51+'RS 6512'!P41+'RS 8150'!P41</f>
        <v>5738385</v>
      </c>
      <c r="J28" s="653" t="e">
        <f>(+I28*(1+#REF!))</f>
        <v>#REF!</v>
      </c>
      <c r="K28" s="653" t="e">
        <f>(+J28*(1+#REF!))</f>
        <v>#REF!</v>
      </c>
      <c r="L28" s="653" t="e">
        <f>(+K28*(1+#REF!))</f>
        <v>#REF!</v>
      </c>
      <c r="M28" s="1963">
        <f t="shared" si="10"/>
        <v>595716.62000000011</v>
      </c>
      <c r="N28" s="1940">
        <f t="shared" si="11"/>
        <v>0.11949932731398498</v>
      </c>
      <c r="O28" s="1963">
        <f t="shared" si="12"/>
        <v>68770</v>
      </c>
      <c r="P28" s="1940">
        <f t="shared" si="13"/>
        <v>1.2322559709404763E-2</v>
      </c>
      <c r="Q28" s="1963">
        <f t="shared" si="14"/>
        <v>88794</v>
      </c>
      <c r="R28" s="1940">
        <f t="shared" si="15"/>
        <v>1.5716889948316614E-2</v>
      </c>
      <c r="S28" s="1933"/>
      <c r="T28" s="1933"/>
    </row>
    <row r="29" spans="1:25" ht="18" hidden="1" x14ac:dyDescent="0.25">
      <c r="A29" s="1495"/>
      <c r="B29" s="1496"/>
      <c r="C29" s="1497"/>
      <c r="D29" s="1497"/>
      <c r="E29" s="1492"/>
      <c r="F29" s="1690"/>
      <c r="G29" s="1163"/>
      <c r="H29" s="1706"/>
      <c r="I29" s="653"/>
      <c r="J29" s="653"/>
      <c r="K29" s="653"/>
      <c r="L29" s="653"/>
      <c r="M29" s="1963">
        <f t="shared" si="10"/>
        <v>0</v>
      </c>
      <c r="N29" s="1940">
        <f t="shared" si="11"/>
        <v>0</v>
      </c>
      <c r="O29" s="1963">
        <f t="shared" si="12"/>
        <v>0</v>
      </c>
      <c r="P29" s="1940">
        <f t="shared" si="13"/>
        <v>0</v>
      </c>
      <c r="Q29" s="1963">
        <f t="shared" si="14"/>
        <v>0</v>
      </c>
      <c r="R29" s="1940">
        <f t="shared" si="15"/>
        <v>0</v>
      </c>
      <c r="S29" s="1320"/>
      <c r="T29" s="1323"/>
    </row>
    <row r="30" spans="1:25" ht="18" hidden="1" x14ac:dyDescent="0.25">
      <c r="A30" s="1495"/>
      <c r="B30" s="1496"/>
      <c r="C30" s="1497"/>
      <c r="D30" s="1497"/>
      <c r="E30" s="1492"/>
      <c r="F30" s="1690"/>
      <c r="G30" s="1163"/>
      <c r="H30" s="1706"/>
      <c r="I30" s="653"/>
      <c r="J30" s="653"/>
      <c r="K30" s="653"/>
      <c r="L30" s="653"/>
      <c r="M30" s="1963">
        <f t="shared" si="10"/>
        <v>0</v>
      </c>
      <c r="N30" s="1940">
        <f t="shared" si="11"/>
        <v>0</v>
      </c>
      <c r="O30" s="1963">
        <f t="shared" si="12"/>
        <v>0</v>
      </c>
      <c r="P30" s="1940">
        <f t="shared" si="13"/>
        <v>0</v>
      </c>
      <c r="Q30" s="1963">
        <f t="shared" si="14"/>
        <v>0</v>
      </c>
      <c r="R30" s="1940">
        <f t="shared" si="15"/>
        <v>0</v>
      </c>
      <c r="S30" s="1320"/>
      <c r="T30" s="1323"/>
    </row>
    <row r="31" spans="1:25" ht="18" hidden="1" x14ac:dyDescent="0.25">
      <c r="A31" s="1495"/>
      <c r="B31" s="1496"/>
      <c r="C31" s="1497"/>
      <c r="D31" s="1497"/>
      <c r="E31" s="1492"/>
      <c r="F31" s="1690"/>
      <c r="G31" s="1163"/>
      <c r="H31" s="1706"/>
      <c r="I31" s="653"/>
      <c r="J31" s="653"/>
      <c r="K31" s="653"/>
      <c r="L31" s="653"/>
      <c r="M31" s="1963">
        <f t="shared" si="10"/>
        <v>0</v>
      </c>
      <c r="N31" s="1940">
        <f t="shared" si="11"/>
        <v>0</v>
      </c>
      <c r="O31" s="1963">
        <f t="shared" si="12"/>
        <v>0</v>
      </c>
      <c r="P31" s="1940">
        <f t="shared" si="13"/>
        <v>0</v>
      </c>
      <c r="Q31" s="1963">
        <f t="shared" si="14"/>
        <v>0</v>
      </c>
      <c r="R31" s="1940">
        <f t="shared" si="15"/>
        <v>0</v>
      </c>
      <c r="S31" s="1320"/>
      <c r="T31" s="1323"/>
    </row>
    <row r="32" spans="1:25" ht="18" hidden="1" x14ac:dyDescent="0.25">
      <c r="A32" s="1495"/>
      <c r="B32" s="1496"/>
      <c r="C32" s="1497"/>
      <c r="D32" s="1497"/>
      <c r="E32" s="1492"/>
      <c r="F32" s="1690"/>
      <c r="G32" s="1163"/>
      <c r="H32" s="1706"/>
      <c r="I32" s="653"/>
      <c r="J32" s="653"/>
      <c r="K32" s="653"/>
      <c r="L32" s="653"/>
      <c r="M32" s="1963">
        <f t="shared" si="10"/>
        <v>0</v>
      </c>
      <c r="N32" s="1940">
        <f t="shared" si="11"/>
        <v>0</v>
      </c>
      <c r="O32" s="1963">
        <f t="shared" si="12"/>
        <v>0</v>
      </c>
      <c r="P32" s="1940">
        <f t="shared" si="13"/>
        <v>0</v>
      </c>
      <c r="Q32" s="1963">
        <f t="shared" si="14"/>
        <v>0</v>
      </c>
      <c r="R32" s="1940">
        <f t="shared" si="15"/>
        <v>0</v>
      </c>
      <c r="S32" s="1320"/>
      <c r="T32" s="1323"/>
    </row>
    <row r="33" spans="1:24" s="1325" customFormat="1" ht="18" x14ac:dyDescent="0.25">
      <c r="A33" s="1333"/>
      <c r="B33" s="1334"/>
      <c r="C33" s="737" t="s">
        <v>364</v>
      </c>
      <c r="D33" s="737"/>
      <c r="E33" s="625"/>
      <c r="F33" s="1690"/>
      <c r="G33" s="1163"/>
      <c r="H33" s="1706"/>
      <c r="I33" s="653"/>
      <c r="J33" s="653"/>
      <c r="K33" s="653"/>
      <c r="L33" s="653"/>
      <c r="M33" s="1963">
        <f t="shared" si="10"/>
        <v>0</v>
      </c>
      <c r="N33" s="1940">
        <f t="shared" si="11"/>
        <v>0</v>
      </c>
      <c r="O33" s="1963">
        <f t="shared" si="12"/>
        <v>0</v>
      </c>
      <c r="P33" s="1940">
        <f t="shared" si="13"/>
        <v>0</v>
      </c>
      <c r="Q33" s="1963">
        <f t="shared" si="14"/>
        <v>0</v>
      </c>
      <c r="R33" s="1940">
        <f t="shared" si="15"/>
        <v>0</v>
      </c>
      <c r="S33" s="1320"/>
      <c r="T33" s="1324"/>
      <c r="U33" s="1805"/>
      <c r="V33" s="1805"/>
      <c r="W33" s="1805"/>
      <c r="X33" s="1805"/>
    </row>
    <row r="34" spans="1:24" ht="18" x14ac:dyDescent="0.25">
      <c r="A34" s="1333"/>
      <c r="B34" s="1334"/>
      <c r="C34" s="737"/>
      <c r="D34" s="1335" t="s">
        <v>76</v>
      </c>
      <c r="E34" s="626"/>
      <c r="F34" s="1676">
        <f>+'RS 3010'!D44+'RS 4035'!D43+'RS 4203'!D44+'RS 5640'!D44+'RS 6010'!D44+'RS 6264'!D44+'RS 3310'!D44+'RS 3311'!D44+'RS 6500'!D54+'RS 6512'!D44+'RS 8150'!D44</f>
        <v>923494.8</v>
      </c>
      <c r="G34" s="1162">
        <f>+'RS 3010'!H44+'RS 4035'!H43+'RS 4203'!H44+'RS 5640'!H44+'RS 6010'!H44+'RS 6264'!H44+'RS 3310'!H44+'RS 3311'!H44+'RS 6500'!H54+'RS 6512'!H44+'RS 8150'!H44</f>
        <v>1124405</v>
      </c>
      <c r="H34" s="1707">
        <f>+'RS 3010'!L44+'RS 4035'!L43+'RS 4203'!L44+'RS 5640'!L44+'RS 6010'!L44+'RS 6264'!L44+'RS 3310'!L44+'RS 3311'!L44+'RS 6500'!L54+'RS 6512'!L44+'RS 8150'!L44</f>
        <v>1217906</v>
      </c>
      <c r="I34" s="654">
        <f>+'RS 3010'!P44+'RS 4035'!P43+'RS 4203'!P44+'RS 5640'!P44+'RS 6010'!P44+'RS 6264'!P44+'RS 3310'!P44+'RS 3311'!P44+'RS 6500'!P54+'RS 6512'!P44+'RS 8150'!P44</f>
        <v>1375733</v>
      </c>
      <c r="J34" s="654">
        <v>1445113.5236955204</v>
      </c>
      <c r="K34" s="654">
        <v>1608861.5312168831</v>
      </c>
      <c r="L34" s="654">
        <v>1777196.8284210551</v>
      </c>
      <c r="M34" s="1963">
        <f t="shared" si="10"/>
        <v>200910.19999999995</v>
      </c>
      <c r="N34" s="1940">
        <f t="shared" si="11"/>
        <v>0.21755422986680589</v>
      </c>
      <c r="O34" s="1963">
        <f t="shared" si="12"/>
        <v>93501</v>
      </c>
      <c r="P34" s="1940">
        <f t="shared" si="13"/>
        <v>8.3155980274011582E-2</v>
      </c>
      <c r="Q34" s="1963">
        <f t="shared" si="14"/>
        <v>157827</v>
      </c>
      <c r="R34" s="1940">
        <f t="shared" si="15"/>
        <v>0.12958881884151979</v>
      </c>
      <c r="S34" s="1320"/>
      <c r="T34" s="1323"/>
    </row>
    <row r="35" spans="1:24" ht="18" x14ac:dyDescent="0.25">
      <c r="A35" s="1333"/>
      <c r="B35" s="1334"/>
      <c r="C35" s="737"/>
      <c r="D35" s="1335" t="s">
        <v>77</v>
      </c>
      <c r="E35" s="626"/>
      <c r="F35" s="1676">
        <f>+'RS 3010'!D45+'RS 4035'!D44+'RS 4203'!D45+'RS 5640'!D45+'RS 6010'!D45+'RS 6264'!D45+'RS 3310'!D45+'RS 3311'!D45+'RS 6500'!D55+'RS 6512'!D45+'RS 8150'!D45</f>
        <v>636147.08000000007</v>
      </c>
      <c r="G35" s="1162">
        <f>+'RS 3010'!H45+'RS 4035'!H44+'RS 4203'!H45+'RS 5640'!H45+'RS 6010'!H45+'RS 6264'!H45+'RS 3310'!H45+'RS 3311'!H45+'RS 6500'!H55+'RS 6512'!H45+'RS 8150'!H45</f>
        <v>776300</v>
      </c>
      <c r="H35" s="1707">
        <f>+'RS 3010'!L45+'RS 4035'!L44+'RS 4203'!L45+'RS 5640'!L45+'RS 6010'!L45+'RS 6264'!L45+'RS 3310'!L45+'RS 3311'!L45+'RS 6500'!L55+'RS 6512'!L45+'RS 8150'!L45</f>
        <v>1004076</v>
      </c>
      <c r="I35" s="654">
        <f>+'RS 3010'!P45+'RS 4035'!P44+'RS 4203'!P45+'RS 5640'!P45+'RS 6010'!P45+'RS 6264'!P45+'RS 3310'!P45+'RS 3311'!P45+'RS 6500'!P55+'RS 6512'!P45+'RS 8150'!P45</f>
        <v>1171959</v>
      </c>
      <c r="J35" s="654">
        <v>1355780.6508937904</v>
      </c>
      <c r="K35" s="654">
        <v>1459015.9968413657</v>
      </c>
      <c r="L35" s="654">
        <v>1536995.9806119401</v>
      </c>
      <c r="M35" s="1963">
        <f t="shared" si="10"/>
        <v>140152.91999999993</v>
      </c>
      <c r="N35" s="1940">
        <f t="shared" si="11"/>
        <v>0.22031527677530158</v>
      </c>
      <c r="O35" s="1963">
        <f t="shared" si="12"/>
        <v>227776</v>
      </c>
      <c r="P35" s="1940">
        <f t="shared" si="13"/>
        <v>0.29341234058997812</v>
      </c>
      <c r="Q35" s="1963">
        <f t="shared" si="14"/>
        <v>167883</v>
      </c>
      <c r="R35" s="1940">
        <f t="shared" si="15"/>
        <v>0.16720148674004756</v>
      </c>
      <c r="S35" s="1320"/>
      <c r="T35" s="1323"/>
    </row>
    <row r="36" spans="1:24" ht="18" x14ac:dyDescent="0.25">
      <c r="A36" s="1333"/>
      <c r="B36" s="1334"/>
      <c r="C36" s="737"/>
      <c r="D36" s="737" t="s">
        <v>404</v>
      </c>
      <c r="E36" s="625"/>
      <c r="F36" s="1690">
        <f>+'RS 3010'!D46+'RS 4035'!D45+'RS 4203'!D46+'RS 5640'!D46+'RS 6010'!D46+'RS 6264'!D46+'RS 3310'!D46+'RS 3311'!D46+'RS 6500'!D56+'RS 6512'!D46+'RS 8150'!D46</f>
        <v>278420.81</v>
      </c>
      <c r="G36" s="1163">
        <f>+'RS 3010'!H46+'RS 4035'!H45+'RS 4203'!H46+'RS 5640'!H46+'RS 6010'!H46+'RS 6264'!H46+'RS 3310'!H46+'RS 3311'!H46+'RS 6500'!H56+'RS 6512'!H46+'RS 8150'!H46</f>
        <v>307350</v>
      </c>
      <c r="H36" s="1706">
        <f>+'RS 3010'!L46+'RS 4035'!L45+'RS 4203'!L46+'RS 5640'!L46+'RS 6010'!L46+'RS 6264'!L46+'RS 3310'!L46+'RS 3311'!L46+'RS 6500'!L56+'RS 6512'!L46+'RS 8150'!L46</f>
        <v>349409</v>
      </c>
      <c r="I36" s="653">
        <f>+'RS 3010'!P46+'RS 4035'!P45+'RS 4203'!P46+'RS 5640'!P46+'RS 6010'!P46+'RS 6264'!P46+'RS 3310'!P46+'RS 3311'!P46+'RS 6500'!P56+'RS 6512'!P46+'RS 8150'!P46</f>
        <v>354915</v>
      </c>
      <c r="J36" s="653">
        <v>337583.93717034138</v>
      </c>
      <c r="K36" s="653">
        <v>342647.69622789649</v>
      </c>
      <c r="L36" s="653">
        <v>347787.41167131491</v>
      </c>
      <c r="M36" s="1963">
        <f t="shared" si="10"/>
        <v>28929.190000000002</v>
      </c>
      <c r="N36" s="1940">
        <f t="shared" si="11"/>
        <v>0.10390455368619897</v>
      </c>
      <c r="O36" s="1963">
        <f t="shared" si="12"/>
        <v>42059</v>
      </c>
      <c r="P36" s="1940">
        <f t="shared" si="13"/>
        <v>0.13684398893769317</v>
      </c>
      <c r="Q36" s="1963">
        <f t="shared" si="14"/>
        <v>5506</v>
      </c>
      <c r="R36" s="1940">
        <f t="shared" si="15"/>
        <v>1.5758037142718131E-2</v>
      </c>
      <c r="S36" s="1320"/>
      <c r="T36" s="1323"/>
    </row>
    <row r="37" spans="1:24" ht="18" x14ac:dyDescent="0.25">
      <c r="A37" s="1333"/>
      <c r="B37" s="1334"/>
      <c r="C37" s="737"/>
      <c r="D37" s="737" t="s">
        <v>79</v>
      </c>
      <c r="E37" s="625"/>
      <c r="F37" s="1690">
        <f>+'RS 3010'!D47+'RS 4035'!D46+'RS 4203'!D47+'RS 5640'!D47+'RS 6010'!D47+'RS 6264'!D47+'RS 3310'!D47+'RS 3311'!D47+'RS 6500'!D57+'RS 6512'!D47+'RS 8150'!D47</f>
        <v>167570.72999999998</v>
      </c>
      <c r="G37" s="1163">
        <f>+'RS 3010'!H47+'RS 4035'!H46+'RS 4203'!H47+'RS 5640'!H47+'RS 6010'!H47+'RS 6264'!H47+'RS 3310'!H47+'RS 3311'!H47+'RS 6500'!H57+'RS 6512'!H47+'RS 8150'!H47</f>
        <v>185727</v>
      </c>
      <c r="H37" s="1706">
        <f>+'RS 3010'!L47+'RS 4035'!L46+'RS 4203'!L47+'RS 5640'!L47+'RS 6010'!L47+'RS 6264'!L47+'RS 3310'!L47+'RS 3311'!L47+'RS 6500'!L57+'RS 6512'!L47+'RS 8150'!L47</f>
        <v>189449</v>
      </c>
      <c r="I37" s="653">
        <f>+'RS 3010'!P47+'RS 4035'!P46+'RS 4203'!P47+'RS 5640'!P47+'RS 6010'!P47+'RS 6264'!P47+'RS 3310'!P47+'RS 3311'!P47+'RS 6500'!P57+'RS 6512'!P47+'RS 8150'!P47</f>
        <v>192375</v>
      </c>
      <c r="J37" s="653">
        <v>188658.65325076281</v>
      </c>
      <c r="K37" s="653">
        <v>191488.53304952424</v>
      </c>
      <c r="L37" s="653">
        <v>194360.86104526708</v>
      </c>
      <c r="M37" s="1963">
        <f t="shared" si="10"/>
        <v>18156.270000000019</v>
      </c>
      <c r="N37" s="1940">
        <f t="shared" si="11"/>
        <v>0.10834988902894928</v>
      </c>
      <c r="O37" s="1963">
        <f t="shared" si="12"/>
        <v>3722</v>
      </c>
      <c r="P37" s="1940">
        <f t="shared" si="13"/>
        <v>2.0040166480910154E-2</v>
      </c>
      <c r="Q37" s="1963">
        <f t="shared" si="14"/>
        <v>2926</v>
      </c>
      <c r="R37" s="1940">
        <f t="shared" si="15"/>
        <v>1.5444789890682981E-2</v>
      </c>
      <c r="S37" s="1320"/>
      <c r="T37" s="1296"/>
    </row>
    <row r="38" spans="1:24" ht="18" x14ac:dyDescent="0.25">
      <c r="A38" s="1354"/>
      <c r="B38" s="1355"/>
      <c r="C38" s="1356"/>
      <c r="D38" s="1356" t="s">
        <v>80</v>
      </c>
      <c r="E38" s="627"/>
      <c r="F38" s="1690">
        <f>+'RS 3010'!D48+'RS 4035'!D47+'RS 4203'!D48+'RS 5640'!D48+'RS 6010'!D48+'RS 6264'!D48+'RS 3310'!D48+'RS 3311'!D48+'RS 6500'!D58+'RS 6512'!D48+'RS 8150'!D48</f>
        <v>969117.58000000007</v>
      </c>
      <c r="G38" s="1174">
        <f>+'RS 3010'!H48+'RS 4035'!H47+'RS 4203'!H48+'RS 5640'!H48+'RS 6010'!H48+'RS 6264'!H48+'RS 3310'!H48+'RS 3311'!H48+'RS 6500'!H58+'RS 6512'!H48+'RS 8150'!H48</f>
        <v>1002280</v>
      </c>
      <c r="H38" s="1720">
        <f>+'RS 3010'!L48+'RS 4035'!L47+'RS 4203'!L48+'RS 5640'!L48+'RS 6010'!L48+'RS 6264'!L48+'RS 3310'!L48+'RS 3311'!L48+'RS 6500'!L58+'RS 6512'!L48+'RS 8150'!L48</f>
        <v>1064895</v>
      </c>
      <c r="I38" s="662">
        <f>+'RS 3010'!P48+'RS 4035'!P47+'RS 4203'!P48+'RS 5640'!P48+'RS 6010'!P48+'RS 6264'!P48+'RS 3310'!P48+'RS 3311'!P48+'RS 6500'!P58+'RS 6512'!P48+'RS 8150'!P48</f>
        <v>1139439</v>
      </c>
      <c r="J38" s="662">
        <v>1319244.1824057461</v>
      </c>
      <c r="K38" s="662">
        <v>1385206.3915260334</v>
      </c>
      <c r="L38" s="662">
        <v>1454466.7111023352</v>
      </c>
      <c r="M38" s="1963">
        <f t="shared" si="10"/>
        <v>33162.419999999925</v>
      </c>
      <c r="N38" s="1940">
        <f t="shared" si="11"/>
        <v>3.4219191442177659E-2</v>
      </c>
      <c r="O38" s="1963">
        <f t="shared" si="12"/>
        <v>62615</v>
      </c>
      <c r="P38" s="1940">
        <f t="shared" si="13"/>
        <v>6.2472562557369195E-2</v>
      </c>
      <c r="Q38" s="1963">
        <f t="shared" si="14"/>
        <v>74544</v>
      </c>
      <c r="R38" s="1940">
        <f t="shared" si="15"/>
        <v>7.0001267730621333E-2</v>
      </c>
      <c r="S38" s="1320"/>
      <c r="T38" s="1296"/>
    </row>
    <row r="39" spans="1:24" ht="18" x14ac:dyDescent="0.25">
      <c r="A39" s="1333"/>
      <c r="B39" s="1334"/>
      <c r="C39" s="737"/>
      <c r="D39" s="737" t="s">
        <v>81</v>
      </c>
      <c r="E39" s="625"/>
      <c r="F39" s="1690">
        <f>+'RS 3010'!D49+'RS 4035'!D48+'RS 4203'!D49+'RS 5640'!D49+'RS 6010'!D49+'RS 6264'!D49+'RS 3310'!D49+'RS 3311'!D49+'RS 6500'!D59+'RS 6512'!D49+'RS 8150'!D49</f>
        <v>5788.62</v>
      </c>
      <c r="G39" s="1163">
        <f>+'RS 3010'!H49+'RS 4035'!H48+'RS 4203'!H49+'RS 5640'!H49+'RS 6010'!H49+'RS 6264'!H49+'RS 3310'!H49+'RS 3311'!H49+'RS 6500'!H59+'RS 6512'!H49+'RS 8150'!H49</f>
        <v>6654</v>
      </c>
      <c r="H39" s="1706">
        <f>+'RS 3010'!L49+'RS 4035'!L48+'RS 4203'!L49+'RS 5640'!L49+'RS 6010'!L49+'RS 6264'!L49+'RS 3310'!L49+'RS 3311'!L49+'RS 6500'!L59+'RS 6512'!L49+'RS 8150'!L49</f>
        <v>6533</v>
      </c>
      <c r="I39" s="653">
        <f>+'RS 3010'!P49+'RS 4035'!P48+'RS 4203'!P49+'RS 5640'!P49+'RS 6010'!P49+'RS 6264'!P49+'RS 3310'!P49+'RS 3311'!P49+'RS 6500'!P59+'RS 6512'!P49+'RS 8150'!P49</f>
        <v>6633</v>
      </c>
      <c r="J39" s="653">
        <v>6505.4708017504418</v>
      </c>
      <c r="K39" s="653">
        <v>6603.0528637766984</v>
      </c>
      <c r="L39" s="653">
        <v>6702.0986567333475</v>
      </c>
      <c r="M39" s="1963">
        <f t="shared" si="10"/>
        <v>865.38000000000011</v>
      </c>
      <c r="N39" s="1940">
        <f t="shared" si="11"/>
        <v>0.14949677125117905</v>
      </c>
      <c r="O39" s="1963">
        <f t="shared" si="12"/>
        <v>-121</v>
      </c>
      <c r="P39" s="1940">
        <f t="shared" si="13"/>
        <v>-1.8184550646227832E-2</v>
      </c>
      <c r="Q39" s="1963">
        <f t="shared" si="14"/>
        <v>100</v>
      </c>
      <c r="R39" s="1940">
        <f t="shared" si="15"/>
        <v>1.5306903413439462E-2</v>
      </c>
      <c r="S39" s="1320"/>
      <c r="T39" s="1296"/>
    </row>
    <row r="40" spans="1:24" ht="18" x14ac:dyDescent="0.25">
      <c r="A40" s="1333"/>
      <c r="B40" s="1334"/>
      <c r="C40" s="737"/>
      <c r="D40" s="737" t="s">
        <v>82</v>
      </c>
      <c r="E40" s="625"/>
      <c r="F40" s="1690">
        <f>+'RS 3010'!D50+'RS 4035'!D49+'RS 4203'!D50+'RS 5640'!D50+'RS 6010'!D50+'RS 6264'!D50+'RS 3310'!D50+'RS 3311'!D50+'RS 6500'!D60+'RS 6512'!D50+'RS 8150'!D50</f>
        <v>126711</v>
      </c>
      <c r="G40" s="1163">
        <f>+'RS 3010'!H50+'RS 4035'!H49+'RS 4203'!H50+'RS 5640'!H50+'RS 6010'!H50+'RS 6264'!H50+'RS 3310'!H50+'RS 3311'!H50+'RS 6500'!H60+'RS 6512'!H50+'RS 8150'!H50</f>
        <v>144780</v>
      </c>
      <c r="H40" s="1706">
        <f>+'RS 3010'!L50+'RS 4035'!L49+'RS 4203'!L50+'RS 5640'!L50+'RS 6010'!L50+'RS 6264'!L50+'RS 3310'!L50+'RS 3311'!L50+'RS 6500'!L60+'RS 6512'!L50+'RS 8150'!L50</f>
        <v>104524</v>
      </c>
      <c r="I40" s="653">
        <f>+'RS 3010'!P50+'RS 4035'!P49+'RS 4203'!P50+'RS 5640'!P50+'RS 6010'!P50+'RS 6264'!P50+'RS 3310'!P50+'RS 3311'!P50+'RS 6500'!P60+'RS 6512'!P50+'RS 8150'!P50</f>
        <v>106140</v>
      </c>
      <c r="J40" s="653">
        <v>130109.41603500885</v>
      </c>
      <c r="K40" s="653">
        <v>132061.05727553397</v>
      </c>
      <c r="L40" s="653">
        <v>134041.97313466697</v>
      </c>
      <c r="M40" s="1963">
        <f t="shared" si="10"/>
        <v>18069</v>
      </c>
      <c r="N40" s="1940">
        <f t="shared" si="11"/>
        <v>0.14260008996851103</v>
      </c>
      <c r="O40" s="1963">
        <f t="shared" si="12"/>
        <v>-40256</v>
      </c>
      <c r="P40" s="1940">
        <f t="shared" si="13"/>
        <v>-0.27804945434452272</v>
      </c>
      <c r="Q40" s="1963">
        <f t="shared" si="14"/>
        <v>1616</v>
      </c>
      <c r="R40" s="1940">
        <f t="shared" si="15"/>
        <v>1.5460564080976617E-2</v>
      </c>
      <c r="S40" s="1320"/>
      <c r="T40" s="1296"/>
      <c r="U40" s="1822" t="s">
        <v>965</v>
      </c>
      <c r="V40" s="1808"/>
      <c r="W40" s="1808"/>
      <c r="X40" s="1808"/>
    </row>
    <row r="41" spans="1:24" ht="18" x14ac:dyDescent="0.25">
      <c r="A41" s="1333"/>
      <c r="B41" s="1334"/>
      <c r="C41" s="737"/>
      <c r="D41" s="737" t="s">
        <v>93</v>
      </c>
      <c r="E41" s="625"/>
      <c r="F41" s="1690">
        <f>+'RS 3010'!D51+'RS 4035'!D50+'RS 4203'!D51+'RS 5640'!D51+'RS 6010'!D51+'RS 6264'!D51+'RS 3310'!D51+'RS 3311'!D51+'RS 6500'!D61+'RS 6512'!D51+'RS 8150'!D51</f>
        <v>60076.01</v>
      </c>
      <c r="G41" s="1163">
        <f>+'RS 3010'!H51+'RS 4035'!H50+'RS 4203'!H51+'RS 5640'!H51+'RS 6010'!H51+'RS 6264'!H51+'RS 3310'!H51+'RS 3311'!H51+'RS 6500'!H61+'RS 6512'!H51+'RS 8150'!H51</f>
        <v>71399</v>
      </c>
      <c r="H41" s="1706">
        <f>+'RS 3010'!L51+'RS 4035'!L50+'RS 4203'!L51+'RS 5640'!L51+'RS 6010'!L51+'RS 6264'!L51+'RS 3310'!L51+'RS 3311'!L51+'RS 6500'!L61+'RS 6512'!L51+'RS 8150'!L51</f>
        <v>70399</v>
      </c>
      <c r="I41" s="653">
        <f>+'RS 3010'!P51+'RS 4035'!P50+'RS 4203'!P51+'RS 5640'!P51+'RS 6010'!P51+'RS 6264'!P51+'RS 3310'!P51+'RS 3311'!P51+'RS 6500'!P61+'RS 6512'!P51+'RS 8150'!P51</f>
        <v>70399</v>
      </c>
      <c r="J41" s="653"/>
      <c r="K41" s="653"/>
      <c r="L41" s="653"/>
      <c r="M41" s="1963">
        <f t="shared" si="10"/>
        <v>11322.989999999998</v>
      </c>
      <c r="N41" s="1940">
        <f t="shared" si="11"/>
        <v>0.18847773012888169</v>
      </c>
      <c r="O41" s="1963">
        <f t="shared" si="12"/>
        <v>-1000</v>
      </c>
      <c r="P41" s="1940">
        <f t="shared" si="13"/>
        <v>-1.4005798400537823E-2</v>
      </c>
      <c r="Q41" s="1963">
        <f t="shared" si="14"/>
        <v>0</v>
      </c>
      <c r="R41" s="1940">
        <f t="shared" si="15"/>
        <v>0</v>
      </c>
      <c r="S41" s="1320"/>
      <c r="T41" s="1296"/>
      <c r="U41" s="1824" t="str">
        <f>+F1</f>
        <v>2016-2017</v>
      </c>
      <c r="V41" s="1824" t="str">
        <f t="shared" ref="V41:X41" si="17">+G1</f>
        <v>2017-2018</v>
      </c>
      <c r="W41" s="1824" t="str">
        <f t="shared" si="17"/>
        <v>2018-2019</v>
      </c>
      <c r="X41" s="1824" t="str">
        <f t="shared" si="17"/>
        <v>2019-2020</v>
      </c>
    </row>
    <row r="42" spans="1:24" ht="18" x14ac:dyDescent="0.25">
      <c r="A42" s="1333"/>
      <c r="B42" s="1334"/>
      <c r="C42" s="737"/>
      <c r="D42" s="737" t="s">
        <v>92</v>
      </c>
      <c r="E42" s="625"/>
      <c r="F42" s="1690">
        <v>0</v>
      </c>
      <c r="G42" s="1163">
        <v>0</v>
      </c>
      <c r="H42" s="1706">
        <v>0</v>
      </c>
      <c r="I42" s="653">
        <v>0</v>
      </c>
      <c r="J42" s="653"/>
      <c r="K42" s="653"/>
      <c r="L42" s="653"/>
      <c r="M42" s="1963">
        <f t="shared" si="10"/>
        <v>0</v>
      </c>
      <c r="N42" s="1940">
        <f t="shared" si="11"/>
        <v>0</v>
      </c>
      <c r="O42" s="1963">
        <f t="shared" si="12"/>
        <v>0</v>
      </c>
      <c r="P42" s="1940">
        <f t="shared" si="13"/>
        <v>0</v>
      </c>
      <c r="Q42" s="1963">
        <f t="shared" si="14"/>
        <v>0</v>
      </c>
      <c r="R42" s="1940">
        <f t="shared" si="15"/>
        <v>0</v>
      </c>
      <c r="S42" s="1320"/>
      <c r="T42" s="1296"/>
      <c r="U42" s="1808">
        <f>+SUM(F34:F42)</f>
        <v>3167326.63</v>
      </c>
      <c r="V42" s="1808">
        <f t="shared" ref="V42:X42" si="18">+SUM(G34:G42)</f>
        <v>3618895</v>
      </c>
      <c r="W42" s="1808">
        <f t="shared" si="18"/>
        <v>4007191</v>
      </c>
      <c r="X42" s="1808">
        <f t="shared" si="18"/>
        <v>4417593</v>
      </c>
    </row>
    <row r="43" spans="1:24" ht="26.25" customHeight="1" x14ac:dyDescent="0.35">
      <c r="A43" s="1333"/>
      <c r="B43" s="1334"/>
      <c r="C43" s="737" t="str">
        <f>UNRESTRICTED!C43</f>
        <v>Other Supplies &amp; Materials</v>
      </c>
      <c r="D43" s="737"/>
      <c r="E43" s="625"/>
      <c r="F43" s="1690">
        <f>+'RS 3010'!D66+'RS 4035'!D65+'RS 4201'!D66+'RS 4203'!D66+'RS 5640'!D67+'RS 6010'!D66+'RS 6264'!D66+'RS 3310'!D66+'RS 3311'!D66+'RS 6500'!D76+'RS 6512'!D66+'RS 6230'!D66+'RS 7810'!D66+'RS 8150'!D69+'RS 9225'!D66+'RS 9076'!D66</f>
        <v>971209.57000000007</v>
      </c>
      <c r="G43" s="1163">
        <f>+'RS 3010'!H66+'RS 4035'!H65+'RS 4201'!H66+'RS 4203'!H66+'RS 5640'!H67+'RS 6010'!H66+'RS 6264'!H66+'RS 3310'!H66+'RS 3311'!H66+'RS 6500'!H76+'RS 6512'!H66+'RS 6230'!H66+'RS 7810'!H66+'RS 8150'!H69+'RS 9225'!H66+'RS 9076'!H66+'RS 9221'!H66+'RS 9222'!H66</f>
        <v>821256.92999999993</v>
      </c>
      <c r="H43" s="1706">
        <f>+'RS 3010'!L66+'RS 4035'!L65+'RS 4201'!L66+'RS 4203'!L66+'RS 5640'!L67+'RS 6010'!L66+'RS 6264'!L66+'RS 3310'!L66+'RS 3311'!L66+'RS 6500'!L76+'RS 6512'!L66+'RS 6230'!L66+'RS 7810'!L66+'RS 8150'!L69+'RS 9225'!L66+'RS 9076'!L66+'RS 9221'!L15+'RS 9222'!P15</f>
        <v>626553</v>
      </c>
      <c r="I43" s="653">
        <f>+'RS 3010'!P66+'RS 4035'!P65+'RS 4201'!P66+'RS 4203'!P66+'RS 5640'!P67+'RS 6010'!P66+'RS 6264'!P66+'RS 3310'!P66+'RS 3311'!P66+'RS 6500'!P76+'RS 6512'!P66+'RS 6230'!P66+'RS 7810'!P66+'RS 8150'!P69+'RS 9225'!P66+'RS 9076'!P66+'RS 9221'!P66+'RS 9222'!P66</f>
        <v>596053</v>
      </c>
      <c r="J43" s="653" t="e">
        <v>#REF!</v>
      </c>
      <c r="K43" s="653" t="e">
        <v>#REF!</v>
      </c>
      <c r="L43" s="653" t="e">
        <v>#REF!</v>
      </c>
      <c r="M43" s="1963">
        <f t="shared" si="10"/>
        <v>-149952.64000000013</v>
      </c>
      <c r="N43" s="1940">
        <f t="shared" si="11"/>
        <v>-0.15439781961786075</v>
      </c>
      <c r="O43" s="1963">
        <f t="shared" si="12"/>
        <v>-194703.92999999993</v>
      </c>
      <c r="P43" s="1940">
        <f t="shared" si="13"/>
        <v>-0.23708041038996158</v>
      </c>
      <c r="Q43" s="1963">
        <f t="shared" si="14"/>
        <v>-30500</v>
      </c>
      <c r="R43" s="1940">
        <f t="shared" si="15"/>
        <v>-4.8679042315654064E-2</v>
      </c>
      <c r="S43" s="1320"/>
      <c r="T43" s="1303"/>
      <c r="U43" s="1804" t="s">
        <v>966</v>
      </c>
    </row>
    <row r="44" spans="1:24" s="1325" customFormat="1" ht="39" customHeight="1" x14ac:dyDescent="0.25">
      <c r="A44" s="1357"/>
      <c r="B44" s="1358"/>
      <c r="C44" s="1359"/>
      <c r="D44" s="1360" t="s">
        <v>693</v>
      </c>
      <c r="E44" s="628"/>
      <c r="F44" s="1691">
        <f>+'RS 6300'!D62</f>
        <v>640044.14</v>
      </c>
      <c r="G44" s="1175">
        <f>+'RS 6300'!H62</f>
        <v>1612840</v>
      </c>
      <c r="H44" s="1721">
        <f>+'RS 6300'!L62</f>
        <v>417787</v>
      </c>
      <c r="I44" s="663">
        <f>+'RS 6300'!P62</f>
        <v>427605</v>
      </c>
      <c r="J44" s="663">
        <v>200000</v>
      </c>
      <c r="K44" s="663">
        <v>0</v>
      </c>
      <c r="L44" s="663">
        <v>1180788</v>
      </c>
      <c r="M44" s="1963">
        <f t="shared" si="10"/>
        <v>972795.86</v>
      </c>
      <c r="N44" s="1940">
        <f t="shared" si="11"/>
        <v>1.5198887064257787</v>
      </c>
      <c r="O44" s="1963">
        <f t="shared" si="12"/>
        <v>-1195053</v>
      </c>
      <c r="P44" s="1940">
        <f t="shared" si="13"/>
        <v>-0.74096190570670373</v>
      </c>
      <c r="Q44" s="1963">
        <f t="shared" si="14"/>
        <v>9818</v>
      </c>
      <c r="R44" s="1940">
        <f t="shared" si="15"/>
        <v>2.3500013164603015E-2</v>
      </c>
      <c r="S44" s="1296"/>
      <c r="T44" s="1296"/>
      <c r="U44" s="1805">
        <f>+F43+F44</f>
        <v>1611253.71</v>
      </c>
      <c r="V44" s="1805">
        <f t="shared" ref="V44:X44" si="19">+G43+G44</f>
        <v>2434096.9299999997</v>
      </c>
      <c r="W44" s="1805">
        <f t="shared" si="19"/>
        <v>1044340</v>
      </c>
      <c r="X44" s="1805">
        <f t="shared" si="19"/>
        <v>1023658</v>
      </c>
    </row>
    <row r="45" spans="1:24" ht="18" x14ac:dyDescent="0.25">
      <c r="A45" s="1333"/>
      <c r="B45" s="1334"/>
      <c r="C45" s="737" t="s">
        <v>390</v>
      </c>
      <c r="D45" s="737"/>
      <c r="E45" s="625"/>
      <c r="F45" s="1675">
        <f>+'RS 3010'!D82+'RS 4035'!D81+'RS 4201'!D82+'RS 4203'!D82+'RS 5640'!D83+'RS 6010'!D82+'RS 6264'!D82+'RS 3310'!D82+'RS 3311'!D82+'RS 6500'!D94+'RS 6512'!D82+'RS 6230'!D82+'RS 7810'!D82+'RS 8150'!D89+'RS 9225'!D82+'RS 9076'!D82</f>
        <v>5519138.5499999998</v>
      </c>
      <c r="G45" s="1163">
        <f>+'RS 3010'!H82+'RS 4035'!H81+'RS 4201'!H82+'RS 4203'!H82+'RS 5640'!H83+'RS 6010'!H82+'RS 6264'!H82+'RS 3310'!H82+'RS 3311'!H82+'RS 6500'!H94+'RS 6512'!H82+'RS 6230'!H82+'RS 7810'!H82+'RS 8150'!H89+'RS 9225'!H82+'RS 9076'!H82</f>
        <v>6217640.0499999998</v>
      </c>
      <c r="H45" s="1706">
        <f>+'RS 3010'!L82+'RS 4035'!L81+'RS 4201'!L82+'RS 4203'!L82+'RS 5640'!L83+'RS 6010'!L82+'RS 6264'!L82+'RS 3310'!L82+'RS 3311'!L82+'RS 6500'!L94+'RS 6512'!L82+'RS 6230'!L82+'RS 7810'!L82+'RS 8150'!L89+'RS 9225'!L82+'RS 9076'!L82</f>
        <v>4417545.9000000004</v>
      </c>
      <c r="I45" s="653">
        <f>+'RS 3010'!P82+'RS 4035'!P81+'RS 4201'!P82+'RS 4203'!P82+'RS 5640'!P83+'RS 6010'!P82+'RS 6264'!P82+'RS 3310'!P82+'RS 3311'!P82+'RS 6500'!P94+'RS 6512'!P82+'RS 6230'!P82+'RS 7810'!P82+'RS 8150'!P89+'RS 9225'!P82+'RS 9076'!P82</f>
        <v>4281939</v>
      </c>
      <c r="J45" s="653" t="e">
        <v>#REF!</v>
      </c>
      <c r="K45" s="653" t="e">
        <v>#REF!</v>
      </c>
      <c r="L45" s="653" t="e">
        <v>#REF!</v>
      </c>
      <c r="M45" s="1963">
        <f t="shared" si="10"/>
        <v>698501.5</v>
      </c>
      <c r="N45" s="1940">
        <f t="shared" si="11"/>
        <v>0.12655987771859795</v>
      </c>
      <c r="O45" s="1963">
        <f t="shared" si="12"/>
        <v>-1800094.1499999994</v>
      </c>
      <c r="P45" s="1940">
        <f t="shared" si="13"/>
        <v>-0.28951404962723748</v>
      </c>
      <c r="Q45" s="1963">
        <f t="shared" si="14"/>
        <v>-135606.90000000037</v>
      </c>
      <c r="R45" s="1940">
        <f t="shared" si="15"/>
        <v>-3.0697338085383642E-2</v>
      </c>
      <c r="S45" s="1303"/>
      <c r="T45" s="1303"/>
    </row>
    <row r="46" spans="1:24" ht="18" x14ac:dyDescent="0.25">
      <c r="A46" s="1494"/>
      <c r="B46" s="1490"/>
      <c r="C46" s="1491"/>
      <c r="D46" s="1491"/>
      <c r="E46" s="1492"/>
      <c r="F46" s="1675"/>
      <c r="G46" s="1163"/>
      <c r="H46" s="1706"/>
      <c r="I46" s="653"/>
      <c r="J46" s="653"/>
      <c r="K46" s="653"/>
      <c r="L46" s="653"/>
      <c r="M46" s="1963">
        <f t="shared" si="10"/>
        <v>0</v>
      </c>
      <c r="N46" s="1940">
        <f t="shared" si="11"/>
        <v>0</v>
      </c>
      <c r="O46" s="1963">
        <f t="shared" si="12"/>
        <v>0</v>
      </c>
      <c r="P46" s="1940">
        <f t="shared" si="13"/>
        <v>0</v>
      </c>
      <c r="Q46" s="1963">
        <f t="shared" si="14"/>
        <v>0</v>
      </c>
      <c r="R46" s="1940">
        <f t="shared" si="15"/>
        <v>0</v>
      </c>
      <c r="S46" s="1303"/>
      <c r="T46" s="1303"/>
    </row>
    <row r="47" spans="1:24" s="1325" customFormat="1" ht="18" x14ac:dyDescent="0.25">
      <c r="A47" s="1333"/>
      <c r="B47" s="1334"/>
      <c r="C47" s="737" t="s">
        <v>338</v>
      </c>
      <c r="D47" s="737"/>
      <c r="E47" s="625"/>
      <c r="F47" s="1675">
        <f>+'RS 8150'!D95+'RS 9225'!D96+'RS 5640'!D86+'RS 7810'!D85</f>
        <v>1655374.5500000003</v>
      </c>
      <c r="G47" s="1163">
        <f>+'RS 8150'!H95+'RS 9225'!H96+'RS 5640'!H86+'RS 7810'!H85</f>
        <v>3702595.59</v>
      </c>
      <c r="H47" s="1706">
        <f>+'RS 8150'!L95+'RS 9225'!L96+'RS 5640'!L86+'RS 7810'!L85</f>
        <v>300000</v>
      </c>
      <c r="I47" s="653">
        <f>+'RS 8150'!P95+'RS 9225'!P96+'RS 5640'!P86+'RS 7810'!P85</f>
        <v>300000</v>
      </c>
      <c r="J47" s="653" t="e">
        <v>#REF!</v>
      </c>
      <c r="K47" s="653" t="e">
        <v>#REF!</v>
      </c>
      <c r="L47" s="653" t="e">
        <v>#REF!</v>
      </c>
      <c r="M47" s="1963">
        <f t="shared" si="10"/>
        <v>2047221.0399999996</v>
      </c>
      <c r="N47" s="1940">
        <f t="shared" si="11"/>
        <v>1.2367116795410436</v>
      </c>
      <c r="O47" s="1963">
        <f t="shared" si="12"/>
        <v>-3402595.59</v>
      </c>
      <c r="P47" s="1940">
        <f t="shared" si="13"/>
        <v>-0.9189757583004089</v>
      </c>
      <c r="Q47" s="1963">
        <f t="shared" si="14"/>
        <v>0</v>
      </c>
      <c r="R47" s="1940">
        <f t="shared" si="15"/>
        <v>0</v>
      </c>
      <c r="S47" s="1296"/>
      <c r="T47" s="1296"/>
      <c r="U47" s="1805"/>
      <c r="V47" s="1805"/>
      <c r="W47" s="1805"/>
      <c r="X47" s="1805"/>
    </row>
    <row r="48" spans="1:24" ht="18" x14ac:dyDescent="0.25">
      <c r="A48" s="1333"/>
      <c r="B48" s="1334"/>
      <c r="C48" s="737" t="s">
        <v>391</v>
      </c>
      <c r="D48" s="737"/>
      <c r="E48" s="625"/>
      <c r="F48" s="1675">
        <f>+'RS 3310'!D89+'RS 6500'!D101</f>
        <v>1459459.87</v>
      </c>
      <c r="G48" s="1163">
        <f>+'RS 3310'!H89+'RS 6500'!H101</f>
        <v>1511916</v>
      </c>
      <c r="H48" s="1706">
        <f>+'RS 3310'!L89+'RS 6500'!L101</f>
        <v>1511916</v>
      </c>
      <c r="I48" s="653">
        <f>+'RS 3310'!P89+'RS 6500'!P101</f>
        <v>1511916</v>
      </c>
      <c r="J48" s="653" t="e">
        <f>(+I48)*(1+#REF!)</f>
        <v>#REF!</v>
      </c>
      <c r="K48" s="653" t="e">
        <f>(+J48)*(1+#REF!)</f>
        <v>#REF!</v>
      </c>
      <c r="L48" s="653" t="e">
        <f>(+K48)*(1+#REF!)</f>
        <v>#REF!</v>
      </c>
      <c r="M48" s="1963">
        <f t="shared" si="10"/>
        <v>52456.129999999888</v>
      </c>
      <c r="N48" s="1940">
        <f t="shared" si="11"/>
        <v>3.5942153037753541E-2</v>
      </c>
      <c r="O48" s="1963">
        <f t="shared" si="12"/>
        <v>0</v>
      </c>
      <c r="P48" s="1940">
        <f t="shared" si="13"/>
        <v>0</v>
      </c>
      <c r="Q48" s="1963">
        <f t="shared" si="14"/>
        <v>0</v>
      </c>
      <c r="R48" s="1940">
        <f t="shared" si="15"/>
        <v>0</v>
      </c>
      <c r="S48" s="1296"/>
      <c r="T48" s="1296"/>
    </row>
    <row r="49" spans="1:44" ht="18" x14ac:dyDescent="0.25">
      <c r="A49" s="1336"/>
      <c r="B49" s="1337"/>
      <c r="C49" s="1338" t="s">
        <v>392</v>
      </c>
      <c r="D49" s="1338"/>
      <c r="E49" s="629"/>
      <c r="F49" s="1683">
        <f>+'RS 3010'!D14+'RS 4035'!D13+'RS 4201'!D13+'RS 4203'!D13+'RS 5640'!D13+'RS 6010'!D13+'RS 6264'!D13+'RS 3310'!D13+'RS 3311'!D13+'RS 6500'!D16+'RS 6512'!D13</f>
        <v>575725.48</v>
      </c>
      <c r="G49" s="1198">
        <f>+'RS 3010'!H14+'RS 4035'!H13+'RS 4201'!H13+'RS 4203'!H13+'RS 5640'!H13+'RS 6010'!H13+'RS 6264'!H13+'RS 3310'!H13+'RS 3311'!H13+'RS 6500'!H16+'RS 6512'!H13</f>
        <v>743201</v>
      </c>
      <c r="H49" s="1714">
        <f>+'RS 3010'!L14+'RS 4035'!L13+'RS 4201'!L13+'RS 4203'!L13+'RS 5640'!L13+'RS 6010'!L13+'RS 6264'!L13+'RS 3310'!L13+'RS 3311'!L13+'RS 6500'!L16+'RS 6512'!L13</f>
        <v>749049</v>
      </c>
      <c r="I49" s="659">
        <f>+'RS 3010'!P14+'RS 4035'!P13+'RS 4201'!P13+'RS 4203'!P13+'RS 5640'!P13+'RS 6010'!P13+'RS 6264'!P13+'RS 3310'!P13+'RS 3311'!P13+'RS 6500'!P16+'RS 6512'!P13</f>
        <v>766677</v>
      </c>
      <c r="J49" s="659" t="e">
        <f>SUM(J27:J45)*0.024</f>
        <v>#REF!</v>
      </c>
      <c r="K49" s="659" t="e">
        <f>SUM(K27:K45)*0.024</f>
        <v>#REF!</v>
      </c>
      <c r="L49" s="659" t="e">
        <f>SUM(L27:L45)*0.024</f>
        <v>#REF!</v>
      </c>
      <c r="M49" s="1963">
        <f t="shared" si="10"/>
        <v>167475.52000000002</v>
      </c>
      <c r="N49" s="1940">
        <f t="shared" si="11"/>
        <v>0.29089475074127347</v>
      </c>
      <c r="O49" s="1963">
        <f t="shared" si="12"/>
        <v>5848</v>
      </c>
      <c r="P49" s="1940">
        <f t="shared" si="13"/>
        <v>7.8686654081466523E-3</v>
      </c>
      <c r="Q49" s="1963">
        <f t="shared" si="14"/>
        <v>17628</v>
      </c>
      <c r="R49" s="1940">
        <f t="shared" si="15"/>
        <v>2.3533840910274228E-2</v>
      </c>
      <c r="S49" s="1296"/>
      <c r="T49" s="1296"/>
    </row>
    <row r="50" spans="1:44" ht="18.75" thickBot="1" x14ac:dyDescent="0.3">
      <c r="A50" s="1347"/>
      <c r="B50" s="1340" t="s">
        <v>369</v>
      </c>
      <c r="C50" s="1348"/>
      <c r="D50" s="1348"/>
      <c r="E50" s="630"/>
      <c r="F50" s="1684">
        <f t="shared" ref="F50:L50" si="20">SUM(F27:F49)</f>
        <v>26154629.350000005</v>
      </c>
      <c r="G50" s="1165">
        <f t="shared" si="20"/>
        <v>31226945.57</v>
      </c>
      <c r="H50" s="1715">
        <f>SUM(H27:H49)</f>
        <v>25095509.899999999</v>
      </c>
      <c r="I50" s="660">
        <f t="shared" si="20"/>
        <v>25569123</v>
      </c>
      <c r="J50" s="660" t="e">
        <f t="shared" si="20"/>
        <v>#REF!</v>
      </c>
      <c r="K50" s="660" t="e">
        <f t="shared" si="20"/>
        <v>#REF!</v>
      </c>
      <c r="L50" s="660" t="e">
        <f t="shared" si="20"/>
        <v>#REF!</v>
      </c>
      <c r="M50" s="1963">
        <f t="shared" si="10"/>
        <v>5072316.2199999951</v>
      </c>
      <c r="N50" s="1940">
        <f t="shared" si="11"/>
        <v>0.19393569498242552</v>
      </c>
      <c r="O50" s="1963">
        <f t="shared" si="12"/>
        <v>-6131435.6700000018</v>
      </c>
      <c r="P50" s="1940">
        <f t="shared" si="13"/>
        <v>-0.19635079762301585</v>
      </c>
      <c r="Q50" s="1963">
        <f t="shared" si="14"/>
        <v>473613.10000000149</v>
      </c>
      <c r="R50" s="1940">
        <f t="shared" si="15"/>
        <v>1.8872423867346944E-2</v>
      </c>
      <c r="S50" s="1296"/>
      <c r="T50" s="1296"/>
    </row>
    <row r="51" spans="1:44" ht="18.75" thickTop="1" x14ac:dyDescent="0.25">
      <c r="A51" s="1341"/>
      <c r="B51" s="1342"/>
      <c r="C51" s="1343"/>
      <c r="D51" s="1343"/>
      <c r="E51" s="224"/>
      <c r="F51" s="1681"/>
      <c r="G51" s="1170"/>
      <c r="H51" s="1712"/>
      <c r="I51" s="658"/>
      <c r="J51" s="658"/>
      <c r="K51" s="658"/>
      <c r="L51" s="658"/>
      <c r="M51" s="1963"/>
      <c r="N51" s="1940"/>
      <c r="O51" s="1963"/>
      <c r="P51" s="1940"/>
      <c r="Q51" s="1963"/>
      <c r="R51" s="1940"/>
    </row>
    <row r="52" spans="1:44" ht="18" x14ac:dyDescent="0.25">
      <c r="A52" s="1328"/>
      <c r="B52" s="1329" t="s">
        <v>710</v>
      </c>
      <c r="C52" s="1330"/>
      <c r="D52" s="1330"/>
      <c r="E52" s="667"/>
      <c r="F52" s="1692"/>
      <c r="G52" s="1167"/>
      <c r="H52" s="1719"/>
      <c r="I52" s="668"/>
      <c r="J52" s="668"/>
      <c r="K52" s="668"/>
      <c r="L52" s="668"/>
      <c r="M52" s="1963"/>
      <c r="N52" s="1940"/>
      <c r="O52" s="1963"/>
      <c r="P52" s="1940"/>
      <c r="Q52" s="1963"/>
      <c r="R52" s="1940"/>
    </row>
    <row r="53" spans="1:44" ht="18" x14ac:dyDescent="0.25">
      <c r="A53" s="1331"/>
      <c r="B53" s="1332"/>
      <c r="C53" s="745" t="s">
        <v>370</v>
      </c>
      <c r="D53" s="745"/>
      <c r="E53" s="665"/>
      <c r="F53" s="1693">
        <v>0</v>
      </c>
      <c r="G53" s="1201">
        <f>+F53</f>
        <v>0</v>
      </c>
      <c r="H53" s="1722">
        <f>+G53</f>
        <v>0</v>
      </c>
      <c r="I53" s="666">
        <f t="shared" ref="I53:L53" si="21">+H53</f>
        <v>0</v>
      </c>
      <c r="J53" s="666">
        <f t="shared" si="21"/>
        <v>0</v>
      </c>
      <c r="K53" s="666">
        <f t="shared" si="21"/>
        <v>0</v>
      </c>
      <c r="L53" s="666">
        <f t="shared" si="21"/>
        <v>0</v>
      </c>
      <c r="M53" s="1963">
        <f t="shared" si="10"/>
        <v>0</v>
      </c>
      <c r="N53" s="1940">
        <f t="shared" si="11"/>
        <v>0</v>
      </c>
      <c r="O53" s="1963">
        <f t="shared" si="12"/>
        <v>0</v>
      </c>
      <c r="P53" s="1940">
        <f t="shared" si="13"/>
        <v>0</v>
      </c>
      <c r="Q53" s="1963">
        <f t="shared" si="14"/>
        <v>0</v>
      </c>
      <c r="R53" s="1940">
        <f t="shared" si="15"/>
        <v>0</v>
      </c>
    </row>
    <row r="54" spans="1:44" ht="18" x14ac:dyDescent="0.25">
      <c r="A54" s="1333"/>
      <c r="B54" s="1334"/>
      <c r="C54" s="737" t="s">
        <v>372</v>
      </c>
      <c r="D54" s="737"/>
      <c r="E54" s="625"/>
      <c r="F54" s="1675">
        <v>0</v>
      </c>
      <c r="G54" s="1163">
        <v>0</v>
      </c>
      <c r="H54" s="1706">
        <v>0</v>
      </c>
      <c r="I54" s="653">
        <v>0</v>
      </c>
      <c r="J54" s="653">
        <v>0</v>
      </c>
      <c r="K54" s="653">
        <v>0</v>
      </c>
      <c r="L54" s="653">
        <v>0</v>
      </c>
      <c r="M54" s="1963">
        <f t="shared" si="10"/>
        <v>0</v>
      </c>
      <c r="N54" s="1940">
        <f t="shared" si="11"/>
        <v>0</v>
      </c>
      <c r="O54" s="1963">
        <f t="shared" si="12"/>
        <v>0</v>
      </c>
      <c r="P54" s="1940">
        <f t="shared" si="13"/>
        <v>0</v>
      </c>
      <c r="Q54" s="1963">
        <f t="shared" si="14"/>
        <v>0</v>
      </c>
      <c r="R54" s="1940">
        <f t="shared" si="15"/>
        <v>0</v>
      </c>
    </row>
    <row r="55" spans="1:44" ht="18.75" thickBot="1" x14ac:dyDescent="0.3">
      <c r="A55" s="1347"/>
      <c r="B55" s="1340" t="s">
        <v>712</v>
      </c>
      <c r="C55" s="1348"/>
      <c r="D55" s="1348"/>
      <c r="E55" s="630"/>
      <c r="F55" s="1684">
        <f>SUM(F53:F54)</f>
        <v>0</v>
      </c>
      <c r="G55" s="1165">
        <f t="shared" ref="G55:L55" si="22">SUM(G53:G54)</f>
        <v>0</v>
      </c>
      <c r="H55" s="1715">
        <f t="shared" si="22"/>
        <v>0</v>
      </c>
      <c r="I55" s="660">
        <f t="shared" si="22"/>
        <v>0</v>
      </c>
      <c r="J55" s="660">
        <f t="shared" si="22"/>
        <v>0</v>
      </c>
      <c r="K55" s="660">
        <f t="shared" si="22"/>
        <v>0</v>
      </c>
      <c r="L55" s="660">
        <f t="shared" si="22"/>
        <v>0</v>
      </c>
      <c r="M55" s="1963">
        <f t="shared" si="10"/>
        <v>0</v>
      </c>
      <c r="N55" s="1940">
        <f t="shared" si="11"/>
        <v>0</v>
      </c>
      <c r="O55" s="1963">
        <f t="shared" si="12"/>
        <v>0</v>
      </c>
      <c r="P55" s="1940">
        <f t="shared" si="13"/>
        <v>0</v>
      </c>
      <c r="Q55" s="1963">
        <f t="shared" si="14"/>
        <v>0</v>
      </c>
      <c r="R55" s="1940">
        <f t="shared" si="15"/>
        <v>0</v>
      </c>
    </row>
    <row r="56" spans="1:44" s="1320" customFormat="1" ht="18.75" thickTop="1" x14ac:dyDescent="0.25">
      <c r="A56" s="1341"/>
      <c r="B56" s="1342"/>
      <c r="C56" s="1343"/>
      <c r="D56" s="1343"/>
      <c r="E56" s="226"/>
      <c r="F56" s="1754"/>
      <c r="G56" s="1202"/>
      <c r="H56" s="1755"/>
      <c r="I56" s="664"/>
      <c r="J56" s="664"/>
      <c r="K56" s="664"/>
      <c r="L56" s="664"/>
      <c r="M56" s="1963">
        <f t="shared" si="10"/>
        <v>0</v>
      </c>
      <c r="N56" s="1940">
        <f t="shared" si="11"/>
        <v>0</v>
      </c>
      <c r="O56" s="1963">
        <f t="shared" si="12"/>
        <v>0</v>
      </c>
      <c r="P56" s="1940">
        <f t="shared" si="13"/>
        <v>0</v>
      </c>
      <c r="Q56" s="1963">
        <f t="shared" si="14"/>
        <v>0</v>
      </c>
      <c r="R56" s="1940">
        <f t="shared" si="15"/>
        <v>0</v>
      </c>
      <c r="U56" s="1806"/>
      <c r="V56" s="1806"/>
      <c r="W56" s="1806"/>
      <c r="X56" s="1806"/>
    </row>
    <row r="57" spans="1:44" s="1310" customFormat="1" ht="25.5" customHeight="1" x14ac:dyDescent="0.25">
      <c r="A57" s="1730"/>
      <c r="B57" s="1731" t="s">
        <v>711</v>
      </c>
      <c r="C57" s="1732"/>
      <c r="D57" s="1732"/>
      <c r="E57" s="1733"/>
      <c r="F57" s="1694">
        <f>SUM(F50,F55)</f>
        <v>26154629.350000005</v>
      </c>
      <c r="G57" s="1734">
        <f t="shared" ref="G57:I57" si="23">SUM(G50,G55)</f>
        <v>31226945.57</v>
      </c>
      <c r="H57" s="1723">
        <f t="shared" si="23"/>
        <v>25095509.899999999</v>
      </c>
      <c r="I57" s="1735">
        <f t="shared" si="23"/>
        <v>25569123</v>
      </c>
      <c r="J57" s="1735"/>
      <c r="K57" s="1735"/>
      <c r="L57" s="1735"/>
      <c r="M57" s="1963">
        <f t="shared" si="10"/>
        <v>5072316.2199999951</v>
      </c>
      <c r="N57" s="1940">
        <f t="shared" si="11"/>
        <v>0.19393569498242552</v>
      </c>
      <c r="O57" s="1963">
        <f t="shared" si="12"/>
        <v>-6131435.6700000018</v>
      </c>
      <c r="P57" s="1940">
        <f t="shared" si="13"/>
        <v>-0.19635079762301585</v>
      </c>
      <c r="Q57" s="1963">
        <f t="shared" si="14"/>
        <v>473613.10000000149</v>
      </c>
      <c r="R57" s="1940">
        <f t="shared" si="15"/>
        <v>1.8872423867346944E-2</v>
      </c>
      <c r="U57" s="1808"/>
      <c r="V57" s="1816"/>
      <c r="W57" s="1816"/>
      <c r="X57" s="1816"/>
      <c r="Y57" s="1327"/>
      <c r="Z57" s="1309"/>
      <c r="AA57" s="1309"/>
      <c r="AB57" s="1309"/>
      <c r="AC57" s="1309"/>
      <c r="AD57" s="1309"/>
      <c r="AE57" s="1309"/>
      <c r="AF57" s="1309"/>
      <c r="AG57" s="1309"/>
      <c r="AH57" s="1309"/>
      <c r="AI57" s="1309"/>
      <c r="AJ57" s="1309"/>
      <c r="AK57" s="1309"/>
      <c r="AL57" s="1309"/>
      <c r="AM57" s="1309"/>
      <c r="AN57" s="1309"/>
      <c r="AO57" s="1309"/>
      <c r="AP57" s="1309"/>
      <c r="AQ57" s="1309"/>
      <c r="AR57" s="1309"/>
    </row>
    <row r="58" spans="1:44" ht="18" x14ac:dyDescent="0.25">
      <c r="A58" s="1341"/>
      <c r="B58" s="1342"/>
      <c r="C58" s="1343"/>
      <c r="D58" s="1330"/>
      <c r="E58" s="667"/>
      <c r="F58" s="667"/>
      <c r="G58" s="1167"/>
      <c r="H58" s="667"/>
      <c r="I58" s="755"/>
      <c r="J58" s="755"/>
      <c r="K58" s="755"/>
      <c r="L58" s="755"/>
      <c r="M58" s="1963"/>
      <c r="N58" s="1940"/>
      <c r="O58" s="1963"/>
      <c r="P58" s="1940"/>
      <c r="Q58" s="1963"/>
      <c r="R58" s="1940"/>
    </row>
    <row r="59" spans="1:44" s="1320" customFormat="1" ht="36.75" customHeight="1" x14ac:dyDescent="0.25">
      <c r="A59" s="1730"/>
      <c r="B59" s="1731" t="s">
        <v>393</v>
      </c>
      <c r="C59" s="1732"/>
      <c r="D59" s="1732"/>
      <c r="E59" s="1736"/>
      <c r="F59" s="1695">
        <v>5899189.46</v>
      </c>
      <c r="G59" s="1737">
        <f t="shared" ref="G59:L59" si="24">+F61</f>
        <v>6038147.7099999962</v>
      </c>
      <c r="H59" s="1724">
        <f t="shared" si="24"/>
        <v>418892.32999999356</v>
      </c>
      <c r="I59" s="1738">
        <f t="shared" si="24"/>
        <v>415551.32999999356</v>
      </c>
      <c r="J59" s="1738">
        <f t="shared" si="24"/>
        <v>376032.32999999356</v>
      </c>
      <c r="K59" s="1738" t="e">
        <f t="shared" si="24"/>
        <v>#REF!</v>
      </c>
      <c r="L59" s="1738" t="e">
        <f t="shared" si="24"/>
        <v>#REF!</v>
      </c>
      <c r="M59" s="1963">
        <f t="shared" si="10"/>
        <v>138958.24999999627</v>
      </c>
      <c r="N59" s="1940">
        <f t="shared" si="11"/>
        <v>2.3555481806816946E-2</v>
      </c>
      <c r="O59" s="1963">
        <f t="shared" si="12"/>
        <v>-5619255.3800000027</v>
      </c>
      <c r="P59" s="1940">
        <f t="shared" si="13"/>
        <v>-0.93062569017544061</v>
      </c>
      <c r="Q59" s="1963">
        <f t="shared" si="14"/>
        <v>-3341</v>
      </c>
      <c r="R59" s="1940">
        <f t="shared" si="15"/>
        <v>-7.9757965489605682E-3</v>
      </c>
      <c r="U59" s="1806"/>
      <c r="V59" s="1806"/>
      <c r="W59" s="1806"/>
      <c r="X59" s="1806"/>
    </row>
    <row r="60" spans="1:44" s="1320" customFormat="1" ht="36.75" customHeight="1" x14ac:dyDescent="0.25">
      <c r="A60" s="1739"/>
      <c r="B60" s="1740" t="s">
        <v>375</v>
      </c>
      <c r="C60" s="1741"/>
      <c r="D60" s="1741"/>
      <c r="E60" s="1742"/>
      <c r="F60" s="1696">
        <f>F24-F57</f>
        <v>138958.24999999627</v>
      </c>
      <c r="G60" s="1743">
        <f>G24-G57</f>
        <v>-5619255.3800000027</v>
      </c>
      <c r="H60" s="1725">
        <f>H24-H57</f>
        <v>-3341</v>
      </c>
      <c r="I60" s="1744">
        <f>I24-I57</f>
        <v>-39519</v>
      </c>
      <c r="J60" s="1744" t="e">
        <f>+#REF!+J55</f>
        <v>#REF!</v>
      </c>
      <c r="K60" s="1744" t="e">
        <f>+#REF!+K55</f>
        <v>#REF!</v>
      </c>
      <c r="L60" s="1744" t="e">
        <f>+#REF!+L55</f>
        <v>#REF!</v>
      </c>
      <c r="M60" s="1963">
        <f t="shared" si="10"/>
        <v>-5758213.629999999</v>
      </c>
      <c r="N60" s="1940">
        <f t="shared" si="11"/>
        <v>-41.438443777178783</v>
      </c>
      <c r="O60" s="1963">
        <f t="shared" si="12"/>
        <v>5615914.3800000027</v>
      </c>
      <c r="P60" s="1940">
        <f t="shared" si="13"/>
        <v>-0.9994054372378427</v>
      </c>
      <c r="Q60" s="1963">
        <f t="shared" si="14"/>
        <v>-36178</v>
      </c>
      <c r="R60" s="1940">
        <f t="shared" si="15"/>
        <v>10.828494462735708</v>
      </c>
      <c r="U60" s="1806"/>
      <c r="V60" s="1806"/>
      <c r="W60" s="1806"/>
      <c r="X60" s="1806"/>
    </row>
    <row r="61" spans="1:44" s="1320" customFormat="1" ht="36.75" customHeight="1" thickBot="1" x14ac:dyDescent="0.3">
      <c r="A61" s="1745"/>
      <c r="B61" s="1746" t="s">
        <v>136</v>
      </c>
      <c r="C61" s="1747"/>
      <c r="D61" s="1747"/>
      <c r="E61" s="1748"/>
      <c r="F61" s="1697">
        <f>+F59+F60</f>
        <v>6038147.7099999962</v>
      </c>
      <c r="G61" s="1749">
        <f t="shared" ref="G61:I61" si="25">+G59+G60</f>
        <v>418892.32999999356</v>
      </c>
      <c r="H61" s="1726">
        <f t="shared" si="25"/>
        <v>415551.32999999356</v>
      </c>
      <c r="I61" s="1750">
        <f t="shared" si="25"/>
        <v>376032.32999999356</v>
      </c>
      <c r="J61" s="1750" t="e">
        <f>+J59+J60</f>
        <v>#REF!</v>
      </c>
      <c r="K61" s="1750" t="e">
        <f>+K59+K60</f>
        <v>#REF!</v>
      </c>
      <c r="L61" s="1750" t="e">
        <f>+L59+L60</f>
        <v>#REF!</v>
      </c>
      <c r="M61" s="1963">
        <f t="shared" si="10"/>
        <v>-5619255.3800000027</v>
      </c>
      <c r="N61" s="1940">
        <f t="shared" si="11"/>
        <v>-0.93062569017544061</v>
      </c>
      <c r="O61" s="1963">
        <f t="shared" si="12"/>
        <v>-3341</v>
      </c>
      <c r="P61" s="1940">
        <f t="shared" si="13"/>
        <v>-7.9757965489605682E-3</v>
      </c>
      <c r="Q61" s="1963">
        <f t="shared" si="14"/>
        <v>-39519</v>
      </c>
      <c r="R61" s="1940">
        <f t="shared" si="15"/>
        <v>-9.510016488215936E-2</v>
      </c>
      <c r="U61" s="1806"/>
      <c r="V61" s="1806"/>
      <c r="W61" s="1806"/>
      <c r="X61" s="1806"/>
    </row>
    <row r="62" spans="1:44" s="1320" customFormat="1" ht="36.75" hidden="1" customHeight="1" thickTop="1" x14ac:dyDescent="0.25">
      <c r="A62" s="1498"/>
      <c r="B62" s="1499"/>
      <c r="C62" s="1500"/>
      <c r="D62" s="1500"/>
      <c r="E62" s="1501"/>
      <c r="F62" s="1698"/>
      <c r="G62" s="1502"/>
      <c r="H62" s="1698"/>
      <c r="I62" s="1503"/>
      <c r="J62" s="1503"/>
      <c r="K62" s="1503"/>
      <c r="L62" s="1503"/>
      <c r="M62" s="1963"/>
      <c r="N62" s="1951"/>
      <c r="O62" s="1963"/>
      <c r="P62" s="1952"/>
      <c r="Q62" s="1963"/>
      <c r="R62" s="1953"/>
      <c r="U62" s="1806"/>
      <c r="V62" s="1806"/>
      <c r="W62" s="1806"/>
      <c r="X62" s="1806"/>
    </row>
    <row r="63" spans="1:44" s="1296" customFormat="1" ht="18.75" thickTop="1" x14ac:dyDescent="0.25">
      <c r="A63" s="1341"/>
      <c r="B63" s="1342"/>
      <c r="C63" s="1343"/>
      <c r="D63" s="1330"/>
      <c r="E63" s="756"/>
      <c r="F63" s="756"/>
      <c r="G63" s="1203"/>
      <c r="H63" s="756"/>
      <c r="I63" s="757"/>
      <c r="J63" s="757"/>
      <c r="K63" s="757"/>
      <c r="L63" s="757"/>
      <c r="M63" s="1964"/>
      <c r="N63" s="1941"/>
      <c r="O63" s="1978"/>
      <c r="P63" s="1936"/>
      <c r="Q63" s="1978"/>
      <c r="R63" s="1784"/>
      <c r="U63" s="1801"/>
      <c r="V63" s="1801"/>
      <c r="W63" s="1801"/>
      <c r="X63" s="1801"/>
    </row>
    <row r="64" spans="1:44" ht="36.75" customHeight="1" x14ac:dyDescent="0.25">
      <c r="A64" s="1361"/>
      <c r="B64" s="1731" t="s">
        <v>394</v>
      </c>
      <c r="C64" s="1751"/>
      <c r="D64" s="1751"/>
      <c r="E64" s="1699"/>
      <c r="F64" s="1699"/>
      <c r="G64" s="1752"/>
      <c r="H64" s="1699"/>
      <c r="I64" s="1753"/>
      <c r="J64" s="1753"/>
      <c r="K64" s="1753"/>
      <c r="L64" s="1753"/>
      <c r="M64" s="1961"/>
      <c r="N64" s="1941"/>
      <c r="O64" s="1978"/>
      <c r="P64" s="1936"/>
      <c r="Q64" s="1978"/>
      <c r="R64" s="1784"/>
    </row>
    <row r="65" spans="1:24" s="1320" customFormat="1" ht="24.75" hidden="1" customHeight="1" x14ac:dyDescent="0.25">
      <c r="A65" s="1362"/>
      <c r="B65" s="1363"/>
      <c r="C65" s="1505" t="s">
        <v>377</v>
      </c>
      <c r="D65" s="1363"/>
      <c r="E65" s="719"/>
      <c r="F65" s="1700">
        <v>0</v>
      </c>
      <c r="G65" s="1204">
        <v>0</v>
      </c>
      <c r="H65" s="1727">
        <v>0</v>
      </c>
      <c r="I65" s="720">
        <v>0</v>
      </c>
      <c r="J65" s="720"/>
      <c r="K65" s="720"/>
      <c r="L65" s="720"/>
      <c r="M65" s="1965"/>
      <c r="N65" s="1941"/>
      <c r="O65" s="1978"/>
      <c r="P65" s="1936"/>
      <c r="Q65" s="1978"/>
      <c r="R65" s="1784"/>
      <c r="U65" s="1806"/>
      <c r="V65" s="1806"/>
      <c r="W65" s="1806"/>
      <c r="X65" s="1806"/>
    </row>
    <row r="66" spans="1:24" s="1320" customFormat="1" ht="24.75" customHeight="1" x14ac:dyDescent="0.25">
      <c r="A66" s="1362"/>
      <c r="B66" s="1363"/>
      <c r="C66" s="1363" t="s">
        <v>378</v>
      </c>
      <c r="D66" s="1363"/>
      <c r="E66" s="719"/>
      <c r="F66" s="1700">
        <f>+F61</f>
        <v>6038147.7099999962</v>
      </c>
      <c r="G66" s="1204">
        <f>+G61</f>
        <v>418892.32999999356</v>
      </c>
      <c r="H66" s="1727">
        <f>+H61</f>
        <v>415551.32999999356</v>
      </c>
      <c r="I66" s="720">
        <f t="shared" ref="I66:L66" si="26">+I61</f>
        <v>376032.32999999356</v>
      </c>
      <c r="J66" s="720" t="e">
        <f t="shared" si="26"/>
        <v>#REF!</v>
      </c>
      <c r="K66" s="720" t="e">
        <f t="shared" si="26"/>
        <v>#REF!</v>
      </c>
      <c r="L66" s="720" t="e">
        <f t="shared" si="26"/>
        <v>#REF!</v>
      </c>
      <c r="M66" s="1965"/>
      <c r="N66" s="1941"/>
      <c r="O66" s="1978"/>
      <c r="P66" s="1936"/>
      <c r="Q66" s="1978"/>
      <c r="R66" s="1784"/>
      <c r="U66" s="1806"/>
      <c r="V66" s="1806"/>
      <c r="W66" s="1806"/>
      <c r="X66" s="1806"/>
    </row>
    <row r="67" spans="1:24" s="1320" customFormat="1" ht="24.75" hidden="1" customHeight="1" x14ac:dyDescent="0.25">
      <c r="A67" s="1362"/>
      <c r="B67" s="1363"/>
      <c r="C67" s="1506" t="s">
        <v>379</v>
      </c>
      <c r="D67" s="1363"/>
      <c r="E67" s="719"/>
      <c r="F67" s="1701">
        <v>0</v>
      </c>
      <c r="G67" s="1205">
        <v>0</v>
      </c>
      <c r="H67" s="1728">
        <v>0</v>
      </c>
      <c r="I67" s="722">
        <v>0</v>
      </c>
      <c r="J67" s="722"/>
      <c r="K67" s="722"/>
      <c r="L67" s="722"/>
      <c r="M67" s="1965"/>
      <c r="N67" s="1941"/>
      <c r="O67" s="1978"/>
      <c r="P67" s="1936"/>
      <c r="Q67" s="1978"/>
      <c r="R67" s="1784"/>
      <c r="U67" s="1806"/>
      <c r="V67" s="1806"/>
      <c r="W67" s="1806"/>
      <c r="X67" s="1806"/>
    </row>
    <row r="68" spans="1:24" s="1320" customFormat="1" ht="24.75" customHeight="1" x14ac:dyDescent="0.25">
      <c r="A68" s="1364"/>
      <c r="B68" s="1365"/>
      <c r="C68" s="1365" t="s">
        <v>380</v>
      </c>
      <c r="D68" s="1365"/>
      <c r="E68" s="721"/>
      <c r="F68" s="1701">
        <v>0</v>
      </c>
      <c r="G68" s="1205">
        <v>0</v>
      </c>
      <c r="H68" s="1728">
        <v>0</v>
      </c>
      <c r="I68" s="722">
        <v>0</v>
      </c>
      <c r="J68" s="722">
        <v>0</v>
      </c>
      <c r="K68" s="722">
        <v>0</v>
      </c>
      <c r="L68" s="722">
        <v>0</v>
      </c>
      <c r="M68" s="1965"/>
      <c r="N68" s="1941"/>
      <c r="O68" s="1978"/>
      <c r="P68" s="1936"/>
      <c r="Q68" s="1978"/>
      <c r="R68" s="1784"/>
      <c r="U68" s="1806"/>
      <c r="V68" s="1806"/>
      <c r="W68" s="1806"/>
      <c r="X68" s="1806"/>
    </row>
    <row r="69" spans="1:24" s="1320" customFormat="1" ht="24.75" hidden="1" customHeight="1" x14ac:dyDescent="0.25">
      <c r="A69" s="1504"/>
      <c r="B69" s="1367"/>
      <c r="C69" s="1367"/>
      <c r="D69" s="1367"/>
      <c r="E69" s="723"/>
      <c r="F69" s="1702"/>
      <c r="G69" s="1206"/>
      <c r="H69" s="1729"/>
      <c r="I69" s="724"/>
      <c r="J69" s="724"/>
      <c r="K69" s="724"/>
      <c r="L69" s="724"/>
      <c r="M69" s="1966"/>
      <c r="N69" s="1944"/>
      <c r="O69" s="1976"/>
      <c r="P69" s="1939"/>
      <c r="Q69" s="1976"/>
      <c r="R69" s="1798"/>
      <c r="U69" s="1806"/>
      <c r="V69" s="1806"/>
      <c r="W69" s="1806"/>
      <c r="X69" s="1806"/>
    </row>
    <row r="70" spans="1:24" s="1320" customFormat="1" ht="24.75" hidden="1" customHeight="1" x14ac:dyDescent="0.3">
      <c r="A70" s="1504"/>
      <c r="B70" s="1367"/>
      <c r="C70" s="1367"/>
      <c r="D70" s="1367"/>
      <c r="E70" s="723"/>
      <c r="F70" s="1702"/>
      <c r="G70" s="1206"/>
      <c r="H70" s="1729"/>
      <c r="I70" s="724"/>
      <c r="J70" s="724"/>
      <c r="K70" s="724"/>
      <c r="L70" s="724"/>
      <c r="M70" s="1967"/>
      <c r="N70" s="1942"/>
      <c r="O70" s="1979"/>
      <c r="P70" s="1937"/>
      <c r="Q70" s="1979"/>
      <c r="R70" s="1779"/>
      <c r="U70" s="1806"/>
      <c r="V70" s="1806"/>
      <c r="W70" s="1806"/>
      <c r="X70" s="1806"/>
    </row>
    <row r="71" spans="1:24" s="1320" customFormat="1" ht="24.75" hidden="1" customHeight="1" x14ac:dyDescent="0.25">
      <c r="A71" s="1504"/>
      <c r="B71" s="1367"/>
      <c r="C71" s="1367"/>
      <c r="D71" s="1367"/>
      <c r="E71" s="723"/>
      <c r="F71" s="1702"/>
      <c r="G71" s="1206"/>
      <c r="H71" s="1729"/>
      <c r="I71" s="724"/>
      <c r="J71" s="724"/>
      <c r="K71" s="724"/>
      <c r="L71" s="724"/>
      <c r="M71" s="1966"/>
      <c r="N71" s="1943"/>
      <c r="O71" s="1980"/>
      <c r="P71" s="1938"/>
      <c r="Q71" s="1980"/>
      <c r="R71" s="1794"/>
      <c r="U71" s="1806"/>
      <c r="V71" s="1806"/>
      <c r="W71" s="1806"/>
      <c r="X71" s="1806"/>
    </row>
    <row r="72" spans="1:24" s="1320" customFormat="1" ht="24.75" hidden="1" customHeight="1" x14ac:dyDescent="0.25">
      <c r="A72" s="1504"/>
      <c r="B72" s="1367"/>
      <c r="C72" s="1367"/>
      <c r="D72" s="1367"/>
      <c r="E72" s="723"/>
      <c r="F72" s="1702"/>
      <c r="G72" s="1206"/>
      <c r="H72" s="1729"/>
      <c r="I72" s="724"/>
      <c r="J72" s="724"/>
      <c r="K72" s="724"/>
      <c r="L72" s="724"/>
      <c r="M72" s="1966"/>
      <c r="N72" s="1944"/>
      <c r="O72" s="1976"/>
      <c r="P72" s="1939"/>
      <c r="Q72" s="1976"/>
      <c r="R72" s="1798"/>
      <c r="U72" s="1806"/>
      <c r="V72" s="1806"/>
      <c r="W72" s="1806"/>
      <c r="X72" s="1806"/>
    </row>
    <row r="73" spans="1:24" s="1320" customFormat="1" ht="24.75" hidden="1" customHeight="1" x14ac:dyDescent="0.25">
      <c r="A73" s="1504"/>
      <c r="B73" s="1367"/>
      <c r="C73" s="1367"/>
      <c r="D73" s="1367"/>
      <c r="E73" s="723"/>
      <c r="F73" s="1702"/>
      <c r="G73" s="1206"/>
      <c r="H73" s="1729"/>
      <c r="I73" s="724"/>
      <c r="J73" s="724"/>
      <c r="K73" s="724"/>
      <c r="L73" s="724"/>
      <c r="M73" s="1966"/>
      <c r="N73" s="1944"/>
      <c r="O73" s="1976"/>
      <c r="P73" s="1939"/>
      <c r="Q73" s="1976"/>
      <c r="R73" s="1798"/>
      <c r="U73" s="1806"/>
      <c r="V73" s="1806"/>
      <c r="W73" s="1806"/>
      <c r="X73" s="1806"/>
    </row>
    <row r="74" spans="1:24" s="1320" customFormat="1" ht="24.75" hidden="1" customHeight="1" x14ac:dyDescent="0.25">
      <c r="A74" s="1504"/>
      <c r="B74" s="1367"/>
      <c r="C74" s="1367"/>
      <c r="D74" s="1367"/>
      <c r="E74" s="723"/>
      <c r="F74" s="1702"/>
      <c r="G74" s="1206"/>
      <c r="H74" s="1729"/>
      <c r="I74" s="724"/>
      <c r="J74" s="724"/>
      <c r="K74" s="724"/>
      <c r="L74" s="724"/>
      <c r="M74" s="1966"/>
      <c r="N74" s="1944"/>
      <c r="O74" s="1976"/>
      <c r="P74" s="1939"/>
      <c r="Q74" s="1976"/>
      <c r="R74" s="1798"/>
      <c r="U74" s="1806"/>
      <c r="V74" s="1806"/>
      <c r="W74" s="1806"/>
      <c r="X74" s="1806"/>
    </row>
    <row r="75" spans="1:24" s="1320" customFormat="1" ht="24.75" customHeight="1" x14ac:dyDescent="0.25">
      <c r="A75" s="1366"/>
      <c r="B75" s="1367"/>
      <c r="C75" s="1367" t="s">
        <v>385</v>
      </c>
      <c r="D75" s="1367"/>
      <c r="E75" s="723"/>
      <c r="F75" s="1702">
        <f>ROUND(+F61-F66-F68,0)</f>
        <v>0</v>
      </c>
      <c r="G75" s="1206">
        <f>ROUND(+G61-G66-G68,0)</f>
        <v>0</v>
      </c>
      <c r="H75" s="1729">
        <f>ROUND(+H61-H66-H68,0)</f>
        <v>0</v>
      </c>
      <c r="I75" s="724">
        <f t="shared" ref="I75:L75" si="27">ROUND(+I61-I66-I68,0)</f>
        <v>0</v>
      </c>
      <c r="J75" s="724" t="e">
        <f t="shared" si="27"/>
        <v>#REF!</v>
      </c>
      <c r="K75" s="724" t="e">
        <f t="shared" si="27"/>
        <v>#REF!</v>
      </c>
      <c r="L75" s="724" t="e">
        <f t="shared" si="27"/>
        <v>#REF!</v>
      </c>
      <c r="M75" s="1968"/>
      <c r="N75" s="1944"/>
      <c r="O75" s="1976"/>
      <c r="P75" s="1939"/>
      <c r="Q75" s="1976"/>
      <c r="R75" s="1798"/>
      <c r="U75" s="1806"/>
      <c r="V75" s="1806"/>
      <c r="W75" s="1806"/>
      <c r="X75" s="1806"/>
    </row>
    <row r="76" spans="1:24" s="1320" customFormat="1" ht="24.75" hidden="1" customHeight="1" x14ac:dyDescent="0.25">
      <c r="A76" s="1504"/>
      <c r="B76" s="1367"/>
      <c r="C76" s="1367"/>
      <c r="D76" s="1367"/>
      <c r="E76" s="723"/>
      <c r="F76" s="1702"/>
      <c r="G76" s="1206"/>
      <c r="H76" s="1729"/>
      <c r="I76" s="724"/>
      <c r="J76" s="724"/>
      <c r="K76" s="724"/>
      <c r="L76" s="724"/>
      <c r="M76" s="1965"/>
      <c r="N76" s="1944"/>
      <c r="O76" s="1976"/>
      <c r="P76" s="1939"/>
      <c r="Q76" s="1976"/>
      <c r="R76" s="1798"/>
      <c r="U76" s="1806"/>
      <c r="V76" s="1806"/>
      <c r="W76" s="1806"/>
      <c r="X76" s="1806"/>
    </row>
    <row r="77" spans="1:24" s="1320" customFormat="1" ht="24.75" hidden="1" customHeight="1" x14ac:dyDescent="0.25">
      <c r="A77" s="1504"/>
      <c r="B77" s="1367"/>
      <c r="C77" s="1367"/>
      <c r="D77" s="1367"/>
      <c r="E77" s="723"/>
      <c r="F77" s="1702"/>
      <c r="G77" s="1206"/>
      <c r="H77" s="1729"/>
      <c r="I77" s="724"/>
      <c r="J77" s="724"/>
      <c r="K77" s="724"/>
      <c r="L77" s="724"/>
      <c r="M77" s="1969"/>
      <c r="N77" s="1944"/>
      <c r="O77" s="1976"/>
      <c r="P77" s="1939"/>
      <c r="Q77" s="1976"/>
      <c r="R77" s="1798"/>
      <c r="U77" s="1806"/>
      <c r="V77" s="1806"/>
      <c r="W77" s="1806"/>
      <c r="X77" s="1806"/>
    </row>
    <row r="78" spans="1:24" s="1320" customFormat="1" ht="24.75" hidden="1" customHeight="1" x14ac:dyDescent="0.25">
      <c r="A78" s="1504"/>
      <c r="B78" s="1367"/>
      <c r="C78" s="1367"/>
      <c r="D78" s="1367"/>
      <c r="E78" s="723"/>
      <c r="F78" s="1702"/>
      <c r="G78" s="1206"/>
      <c r="H78" s="1729"/>
      <c r="I78" s="724"/>
      <c r="J78" s="724"/>
      <c r="K78" s="724"/>
      <c r="L78" s="724"/>
      <c r="M78" s="1970"/>
      <c r="N78" s="1944"/>
      <c r="O78" s="1976"/>
      <c r="P78" s="1939"/>
      <c r="Q78" s="1976"/>
      <c r="R78" s="1798"/>
      <c r="U78" s="1806"/>
      <c r="V78" s="1806"/>
      <c r="W78" s="1806"/>
      <c r="X78" s="1806"/>
    </row>
    <row r="79" spans="1:24" s="1320" customFormat="1" ht="24.75" hidden="1" customHeight="1" x14ac:dyDescent="0.25">
      <c r="A79" s="1504"/>
      <c r="B79" s="1367"/>
      <c r="C79" s="1367"/>
      <c r="D79" s="1367"/>
      <c r="E79" s="723"/>
      <c r="F79" s="1702"/>
      <c r="G79" s="1206"/>
      <c r="H79" s="1729"/>
      <c r="I79" s="724"/>
      <c r="J79" s="724"/>
      <c r="K79" s="724"/>
      <c r="L79" s="724"/>
      <c r="M79" s="1971"/>
      <c r="N79" s="1944"/>
      <c r="O79" s="1976"/>
      <c r="P79" s="1939"/>
      <c r="Q79" s="1976"/>
      <c r="R79" s="1798"/>
      <c r="U79" s="1806"/>
      <c r="V79" s="1806"/>
      <c r="W79" s="1806"/>
      <c r="X79" s="1806"/>
    </row>
    <row r="80" spans="1:24" ht="45" customHeight="1" thickBot="1" x14ac:dyDescent="0.3">
      <c r="A80" s="1745"/>
      <c r="B80" s="1746" t="s">
        <v>395</v>
      </c>
      <c r="C80" s="1747"/>
      <c r="D80" s="1747"/>
      <c r="E80" s="1748"/>
      <c r="F80" s="1697">
        <f>+SUM(F66:F75)</f>
        <v>6038147.7099999962</v>
      </c>
      <c r="G80" s="1749">
        <f>+SUM(G66:G75)</f>
        <v>418892.32999999356</v>
      </c>
      <c r="H80" s="1726">
        <f>+SUM(H66:H75)</f>
        <v>415551.32999999356</v>
      </c>
      <c r="I80" s="1750">
        <f t="shared" ref="I80:L80" si="28">+SUM(I66:I75)</f>
        <v>376032.32999999356</v>
      </c>
      <c r="J80" s="1750" t="e">
        <f t="shared" si="28"/>
        <v>#REF!</v>
      </c>
      <c r="K80" s="1750" t="e">
        <f t="shared" si="28"/>
        <v>#REF!</v>
      </c>
      <c r="L80" s="1750" t="e">
        <f t="shared" si="28"/>
        <v>#REF!</v>
      </c>
      <c r="M80" s="1972"/>
    </row>
    <row r="81" spans="1:24" s="1296" customFormat="1" ht="6.75" customHeight="1" thickTop="1" thickBot="1" x14ac:dyDescent="0.3">
      <c r="A81" s="1343"/>
      <c r="B81" s="1342"/>
      <c r="C81" s="1343"/>
      <c r="D81" s="1343"/>
      <c r="E81" s="220"/>
      <c r="F81" s="1770">
        <f>+F80/COMBINED!F57</f>
        <v>7.5449801770804209E-2</v>
      </c>
      <c r="G81" s="1771">
        <f>+G80/COMBINED!G57</f>
        <v>4.8869278794602114E-3</v>
      </c>
      <c r="H81" s="1770">
        <f>+H80/COMBINED!H57</f>
        <v>5.050397683284742E-3</v>
      </c>
      <c r="I81" s="1770">
        <f>+I80/COMBINED!I57</f>
        <v>4.5696479184667077E-3</v>
      </c>
      <c r="J81" s="1770"/>
      <c r="K81" s="1770"/>
      <c r="L81" s="1770"/>
      <c r="M81" s="1973"/>
      <c r="N81" s="1944"/>
      <c r="O81" s="1976"/>
      <c r="P81" s="1939"/>
      <c r="Q81" s="1976"/>
      <c r="R81" s="1798"/>
      <c r="U81" s="1801"/>
      <c r="V81" s="1801"/>
      <c r="W81" s="1801"/>
      <c r="X81" s="1801"/>
    </row>
    <row r="82" spans="1:24" ht="7.5" customHeight="1" thickTop="1" x14ac:dyDescent="0.25">
      <c r="A82" s="1368"/>
      <c r="B82" s="1369"/>
      <c r="C82" s="1368"/>
      <c r="D82" s="1368"/>
      <c r="N82" s="1954"/>
      <c r="O82" s="1981"/>
      <c r="P82" s="1956"/>
      <c r="Q82" s="1981"/>
      <c r="R82" s="1955"/>
    </row>
    <row r="83" spans="1:24" hidden="1" x14ac:dyDescent="0.25">
      <c r="A83" s="1368"/>
      <c r="B83" s="1369"/>
      <c r="C83" s="1368"/>
      <c r="D83" s="1368"/>
      <c r="N83" s="1954"/>
      <c r="O83" s="1981"/>
      <c r="P83" s="1956"/>
      <c r="Q83" s="1981"/>
      <c r="R83" s="1955"/>
    </row>
    <row r="84" spans="1:24" hidden="1" x14ac:dyDescent="0.25">
      <c r="A84" s="1368"/>
      <c r="B84" s="1369"/>
      <c r="C84" s="1368"/>
      <c r="D84" s="1368"/>
      <c r="M84" s="1963"/>
      <c r="N84" s="1957"/>
      <c r="O84" s="1982"/>
      <c r="P84" s="1959"/>
      <c r="Q84" s="1982"/>
      <c r="R84" s="1958"/>
    </row>
    <row r="85" spans="1:24" hidden="1" x14ac:dyDescent="0.25">
      <c r="A85" s="1368"/>
      <c r="B85" s="1369"/>
      <c r="C85" s="1368"/>
      <c r="D85" s="1368"/>
      <c r="M85" s="1963"/>
      <c r="N85" s="1957"/>
      <c r="O85" s="1982"/>
      <c r="P85" s="1959"/>
      <c r="Q85" s="1982"/>
      <c r="R85" s="1958"/>
    </row>
    <row r="86" spans="1:24" hidden="1" x14ac:dyDescent="0.25">
      <c r="A86" s="1368"/>
      <c r="B86" s="1369"/>
      <c r="C86" s="1368"/>
      <c r="D86" s="1368"/>
      <c r="M86" s="1963"/>
      <c r="N86" s="1957"/>
      <c r="O86" s="1982"/>
      <c r="P86" s="1959"/>
      <c r="Q86" s="1982"/>
      <c r="R86" s="1958"/>
    </row>
    <row r="87" spans="1:24" hidden="1" x14ac:dyDescent="0.25">
      <c r="M87" s="1963"/>
      <c r="N87" s="1957"/>
      <c r="O87" s="1982"/>
      <c r="P87" s="1959"/>
      <c r="Q87" s="1982"/>
      <c r="R87" s="1958"/>
    </row>
    <row r="88" spans="1:24" hidden="1" x14ac:dyDescent="0.25">
      <c r="M88" s="1963"/>
      <c r="N88" s="1957"/>
      <c r="O88" s="1982"/>
      <c r="P88" s="1959"/>
      <c r="Q88" s="1982"/>
      <c r="R88" s="1958"/>
    </row>
    <row r="89" spans="1:24" hidden="1" x14ac:dyDescent="0.25">
      <c r="M89" s="1963"/>
      <c r="N89" s="1957"/>
      <c r="O89" s="1982"/>
      <c r="P89" s="1959"/>
      <c r="Q89" s="1982"/>
      <c r="R89" s="1958"/>
    </row>
    <row r="90" spans="1:24" hidden="1" x14ac:dyDescent="0.25">
      <c r="M90" s="1963"/>
      <c r="N90" s="1957"/>
      <c r="O90" s="1982"/>
      <c r="P90" s="1959"/>
      <c r="Q90" s="1982"/>
      <c r="R90" s="1958"/>
    </row>
    <row r="91" spans="1:24" hidden="1" x14ac:dyDescent="0.25">
      <c r="M91" s="1963"/>
      <c r="N91" s="1957"/>
      <c r="O91" s="1982"/>
      <c r="P91" s="1959"/>
      <c r="Q91" s="1982"/>
      <c r="R91" s="1958"/>
    </row>
    <row r="92" spans="1:24" hidden="1" x14ac:dyDescent="0.25">
      <c r="M92" s="1963"/>
      <c r="N92" s="1957"/>
      <c r="O92" s="1982"/>
      <c r="P92" s="1959"/>
      <c r="Q92" s="1982"/>
      <c r="R92" s="1958"/>
    </row>
    <row r="93" spans="1:24" hidden="1" x14ac:dyDescent="0.25">
      <c r="M93" s="1963"/>
      <c r="N93" s="1957"/>
      <c r="O93" s="1982"/>
      <c r="P93" s="1959"/>
      <c r="Q93" s="1982"/>
      <c r="R93" s="1958"/>
    </row>
    <row r="94" spans="1:24" hidden="1" x14ac:dyDescent="0.25"/>
  </sheetData>
  <sheetProtection password="B79F" sheet="1" objects="1" scenarios="1"/>
  <mergeCells count="1">
    <mergeCell ref="A1:D2"/>
  </mergeCells>
  <printOptions horizontalCentered="1"/>
  <pageMargins left="0.17" right="0.17" top="0.64" bottom="0.17" header="0.23" footer="0.17"/>
  <pageSetup paperSize="5" scale="65" pageOrder="overThenDown" orientation="portrait" r:id="rId1"/>
  <headerFooter alignWithMargins="0">
    <oddHeader>&amp;C&amp;"Cambria,Bold"&amp;14Sylvan Union School District
2017-18 Budget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Z142"/>
  <sheetViews>
    <sheetView showGridLines="0" zoomScale="90" zoomScaleNormal="90" workbookViewId="0">
      <pane ySplit="2" topLeftCell="A3" activePane="bottomLeft" state="frozen"/>
      <selection activeCell="G26" sqref="G26"/>
      <selection pane="bottomLeft" activeCell="F37" sqref="F37"/>
    </sheetView>
  </sheetViews>
  <sheetFormatPr defaultColWidth="0" defaultRowHeight="15.75" zeroHeight="1" x14ac:dyDescent="0.25"/>
  <cols>
    <col min="1" max="1" width="1.28515625" style="1479" customWidth="1"/>
    <col min="2" max="3" width="2" style="1479" customWidth="1"/>
    <col min="4" max="4" width="61.85546875" style="1479" customWidth="1"/>
    <col min="5" max="5" width="1.42578125" style="218" hidden="1" customWidth="1"/>
    <col min="6" max="9" width="21.7109375" style="218" customWidth="1"/>
    <col min="10" max="12" width="21.7109375" style="218" hidden="1" customWidth="1"/>
    <col min="13" max="13" width="18.7109375" style="1974" hidden="1" customWidth="1"/>
    <col min="14" max="14" width="18.7109375" style="1944" hidden="1" customWidth="1"/>
    <col min="15" max="15" width="18.7109375" style="1976" hidden="1" customWidth="1"/>
    <col min="16" max="16" width="13" style="1939" hidden="1" customWidth="1"/>
    <col min="17" max="17" width="18.7109375" style="1976" hidden="1" customWidth="1"/>
    <col min="18" max="18" width="11.42578125" style="1798" hidden="1" customWidth="1"/>
    <col min="19" max="19" width="3.42578125" style="274" customWidth="1"/>
    <col min="20" max="20" width="5.42578125" style="274" hidden="1" customWidth="1"/>
    <col min="21" max="24" width="20.140625" style="1571" hidden="1" customWidth="1"/>
    <col min="25" max="25" width="18.5703125" style="635" hidden="1" customWidth="1"/>
    <col min="26" max="26" width="30.85546875" style="227" hidden="1" customWidth="1"/>
    <col min="27" max="16384" width="9.140625" style="227" hidden="1"/>
  </cols>
  <sheetData>
    <row r="1" spans="1:26" s="233" customFormat="1" ht="18" customHeight="1" thickTop="1" x14ac:dyDescent="0.25">
      <c r="A1" s="2198" t="s">
        <v>1063</v>
      </c>
      <c r="B1" s="2199"/>
      <c r="C1" s="2199"/>
      <c r="D1" s="2199"/>
      <c r="E1" s="1548" t="s">
        <v>405</v>
      </c>
      <c r="F1" s="1543" t="str">
        <f t="shared" ref="F1:L1" si="0">LEFT(E1,4)+1&amp;"-"&amp;RIGHT(E1,4)+1</f>
        <v>2016-2017</v>
      </c>
      <c r="G1" s="1549" t="str">
        <f>LEFT(F1,4)+1&amp;"-"&amp;RIGHT(F1,4)+1</f>
        <v>2017-2018</v>
      </c>
      <c r="H1" s="1550" t="str">
        <f t="shared" si="0"/>
        <v>2018-2019</v>
      </c>
      <c r="I1" s="1551" t="str">
        <f t="shared" si="0"/>
        <v>2019-2020</v>
      </c>
      <c r="J1" s="1550" t="str">
        <f t="shared" si="0"/>
        <v>2020-2021</v>
      </c>
      <c r="K1" s="1551" t="str">
        <f t="shared" si="0"/>
        <v>2021-2022</v>
      </c>
      <c r="L1" s="1550" t="str">
        <f t="shared" si="0"/>
        <v>2022-2023</v>
      </c>
      <c r="M1" s="1960"/>
      <c r="N1" s="1945"/>
      <c r="O1" s="1975"/>
      <c r="P1" s="1947"/>
      <c r="Q1" s="1975"/>
      <c r="R1" s="1946"/>
      <c r="S1" s="232"/>
      <c r="T1" s="232"/>
      <c r="U1" s="1569"/>
      <c r="V1" s="1569"/>
      <c r="W1" s="1569"/>
      <c r="X1" s="1569"/>
      <c r="Y1" s="797"/>
    </row>
    <row r="2" spans="1:26" s="233" customFormat="1" ht="36" x14ac:dyDescent="0.25">
      <c r="A2" s="2200"/>
      <c r="B2" s="2201"/>
      <c r="C2" s="2201"/>
      <c r="D2" s="2201"/>
      <c r="E2" s="1552"/>
      <c r="F2" s="1765" t="s">
        <v>902</v>
      </c>
      <c r="G2" s="1905" t="str">
        <f>+UNRESTRICTED!G2</f>
        <v>First Interim Budget</v>
      </c>
      <c r="H2" s="1766" t="s">
        <v>903</v>
      </c>
      <c r="I2" s="1767" t="s">
        <v>903</v>
      </c>
      <c r="J2" s="1766" t="s">
        <v>903</v>
      </c>
      <c r="K2" s="1553" t="s">
        <v>903</v>
      </c>
      <c r="L2" s="1766" t="s">
        <v>903</v>
      </c>
      <c r="M2" s="1960"/>
      <c r="N2" s="1945"/>
      <c r="O2" s="1975"/>
      <c r="P2" s="1947"/>
      <c r="Q2" s="1975"/>
      <c r="R2" s="1946"/>
      <c r="S2" s="232"/>
      <c r="T2" s="232"/>
      <c r="U2" s="1569"/>
      <c r="V2" s="1569"/>
      <c r="W2" s="1569"/>
      <c r="X2" s="1569"/>
      <c r="Y2" s="797"/>
    </row>
    <row r="3" spans="1:26" s="233" customFormat="1" ht="18" x14ac:dyDescent="0.25">
      <c r="A3" s="1341"/>
      <c r="B3" s="1350"/>
      <c r="C3" s="1350"/>
      <c r="D3" s="1350"/>
      <c r="E3" s="234"/>
      <c r="F3" s="1208"/>
      <c r="G3" s="1274"/>
      <c r="H3" s="1241"/>
      <c r="I3" s="703"/>
      <c r="J3" s="1241"/>
      <c r="K3" s="703"/>
      <c r="L3" s="1241"/>
      <c r="M3" s="1961"/>
      <c r="N3" s="1944"/>
      <c r="O3" s="1976"/>
      <c r="P3" s="1939"/>
      <c r="Q3" s="1976"/>
      <c r="R3" s="1798"/>
      <c r="S3" s="235"/>
      <c r="T3" s="235"/>
      <c r="U3" s="1569"/>
      <c r="V3" s="1569"/>
      <c r="W3" s="1569"/>
      <c r="X3" s="1569"/>
      <c r="Y3" s="797"/>
    </row>
    <row r="4" spans="1:26" s="233" customFormat="1" ht="16.5" customHeight="1" x14ac:dyDescent="0.25">
      <c r="A4" s="1341"/>
      <c r="B4" s="1349" t="s">
        <v>354</v>
      </c>
      <c r="C4" s="1350"/>
      <c r="D4" s="1350"/>
      <c r="E4" s="236"/>
      <c r="F4" s="1208"/>
      <c r="G4" s="1275"/>
      <c r="H4" s="1241"/>
      <c r="I4" s="704"/>
      <c r="J4" s="1241"/>
      <c r="K4" s="704"/>
      <c r="L4" s="1241"/>
      <c r="M4" s="1962"/>
      <c r="N4" s="1948"/>
      <c r="O4" s="1977"/>
      <c r="P4" s="1950"/>
      <c r="Q4" s="1977"/>
      <c r="R4" s="1949"/>
      <c r="S4" s="235"/>
      <c r="T4" s="235"/>
      <c r="U4" s="2197" t="s">
        <v>889</v>
      </c>
      <c r="V4" s="2197"/>
      <c r="W4" s="2197"/>
      <c r="X4" s="2197"/>
      <c r="Y4" s="797"/>
    </row>
    <row r="5" spans="1:26" s="233" customFormat="1" ht="16.5" customHeight="1" x14ac:dyDescent="0.25">
      <c r="A5" s="1434"/>
      <c r="B5" s="1435"/>
      <c r="C5" s="1435" t="s">
        <v>355</v>
      </c>
      <c r="D5" s="1435"/>
      <c r="E5" s="702">
        <f>+UNRESTRICTED!E5+RESTRICTED!E5</f>
        <v>0</v>
      </c>
      <c r="F5" s="1209">
        <f>+UNRESTRICTED!F5+RESTRICTED!F5</f>
        <v>65188597.060000002</v>
      </c>
      <c r="G5" s="1276">
        <f>+UNRESTRICTED!G5+RESTRICTED!G5</f>
        <v>66066151</v>
      </c>
      <c r="H5" s="1242">
        <f>+UNRESTRICTED!H5+RESTRICTED!H5</f>
        <v>67879797</v>
      </c>
      <c r="I5" s="705">
        <f>+UNRESTRICTED!I5+RESTRICTED!I5</f>
        <v>69642803</v>
      </c>
      <c r="J5" s="1242">
        <f>+UNRESTRICTED!J5+RESTRICTED!J5</f>
        <v>72668992</v>
      </c>
      <c r="K5" s="705">
        <f>+UNRESTRICTED!K5+RESTRICTED!K5</f>
        <v>74572365.932599992</v>
      </c>
      <c r="L5" s="1242">
        <f>+UNRESTRICTED!L5+RESTRICTED!L5</f>
        <v>76526369.611807153</v>
      </c>
      <c r="M5" s="1963">
        <f>+G5-F5</f>
        <v>877553.93999999762</v>
      </c>
      <c r="N5" s="1940">
        <f>IFERROR(M5/F5,0)</f>
        <v>1.3461770609855147E-2</v>
      </c>
      <c r="O5" s="1963">
        <f>+H5-G5</f>
        <v>1813646</v>
      </c>
      <c r="P5" s="1940">
        <f>IFERROR(O5/G5,0)</f>
        <v>2.7451970071633202E-2</v>
      </c>
      <c r="Q5" s="1963">
        <f>+I5-H5</f>
        <v>1763006</v>
      </c>
      <c r="R5" s="1940">
        <f>IFERROR(Q5/H5,0)</f>
        <v>2.5972470129809022E-2</v>
      </c>
      <c r="S5" s="238"/>
      <c r="T5" s="238"/>
      <c r="U5" s="1570">
        <f>+F5-UNRESTRICTED!F5-RESTRICTED!F5</f>
        <v>0</v>
      </c>
      <c r="V5" s="1570">
        <f>+G5-UNRESTRICTED!G5-RESTRICTED!G5</f>
        <v>0</v>
      </c>
      <c r="W5" s="1570">
        <f>+H5-UNRESTRICTED!H5-RESTRICTED!H5</f>
        <v>0</v>
      </c>
      <c r="X5" s="1570">
        <f>+I5-UNRESTRICTED!I5-RESTRICTED!I5</f>
        <v>0</v>
      </c>
      <c r="Y5" s="797"/>
    </row>
    <row r="6" spans="1:26" s="233" customFormat="1" ht="16.5" customHeight="1" x14ac:dyDescent="0.25">
      <c r="A6" s="1331"/>
      <c r="B6" s="745"/>
      <c r="C6" s="745"/>
      <c r="D6" s="1335" t="str">
        <f>+UNRESTRICTED!D6</f>
        <v>Estimated Increase in ADA</v>
      </c>
      <c r="E6" s="624"/>
      <c r="F6" s="1486">
        <f>+UNRESTRICTED!F6</f>
        <v>0</v>
      </c>
      <c r="G6" s="1487">
        <f>+UNRESTRICTED!G6</f>
        <v>0</v>
      </c>
      <c r="H6" s="1488">
        <f>+UNRESTRICTED!H6</f>
        <v>0</v>
      </c>
      <c r="I6" s="654">
        <f>+UNRESTRICTED!I6</f>
        <v>0</v>
      </c>
      <c r="J6" s="1488"/>
      <c r="K6" s="654"/>
      <c r="L6" s="1488"/>
      <c r="M6" s="1963">
        <f>+G6-F6</f>
        <v>0</v>
      </c>
      <c r="N6" s="1940">
        <f t="shared" ref="N6:N13" si="1">IFERROR(M6/F6,0)</f>
        <v>0</v>
      </c>
      <c r="O6" s="1963">
        <f>+H6-G6</f>
        <v>0</v>
      </c>
      <c r="P6" s="1940">
        <f t="shared" ref="P6:P13" si="2">IFERROR(O6/G6,0)</f>
        <v>0</v>
      </c>
      <c r="Q6" s="1963">
        <f t="shared" ref="Q6:Q13" si="3">+I6-H6</f>
        <v>0</v>
      </c>
      <c r="R6" s="1940">
        <f t="shared" ref="R6:R13" si="4">IFERROR(Q6/H6,0)</f>
        <v>0</v>
      </c>
      <c r="S6" s="238"/>
      <c r="T6" s="238"/>
      <c r="U6" s="1570">
        <f>+F6-UNRESTRICTED!F6-RESTRICTED!F6</f>
        <v>0</v>
      </c>
      <c r="V6" s="1570">
        <f>+G6-UNRESTRICTED!G6-RESTRICTED!G6</f>
        <v>0</v>
      </c>
      <c r="W6" s="1570">
        <f>+H6-UNRESTRICTED!H6-RESTRICTED!H6</f>
        <v>0</v>
      </c>
      <c r="X6" s="1570">
        <f>+I6-UNRESTRICTED!I6-RESTRICTED!I6</f>
        <v>0</v>
      </c>
      <c r="Y6" s="797"/>
      <c r="Z6" s="797"/>
    </row>
    <row r="7" spans="1:26" s="233" customFormat="1" ht="16.5" customHeight="1" x14ac:dyDescent="0.25">
      <c r="A7" s="1333"/>
      <c r="B7" s="737"/>
      <c r="C7" s="737" t="s">
        <v>356</v>
      </c>
      <c r="D7" s="737"/>
      <c r="E7" s="625">
        <f>UNRESTRICTED!E7+RESTRICTED!E7</f>
        <v>0</v>
      </c>
      <c r="F7" s="1210">
        <f>UNRESTRICTED!F7+RESTRICTED!F7</f>
        <v>3501352.5900000003</v>
      </c>
      <c r="G7" s="1163">
        <f>UNRESTRICTED!G7+RESTRICTED!G7</f>
        <v>3933574</v>
      </c>
      <c r="H7" s="1243">
        <f>UNRESTRICTED!H7+RESTRICTED!H7</f>
        <v>4059051.48</v>
      </c>
      <c r="I7" s="653">
        <f>UNRESTRICTED!I7+RESTRICTED!I7</f>
        <v>4175116.48</v>
      </c>
      <c r="J7" s="1243" t="e">
        <f>UNRESTRICTED!J7+RESTRICTED!J7</f>
        <v>#REF!</v>
      </c>
      <c r="K7" s="653" t="e">
        <f>UNRESTRICTED!K7+RESTRICTED!K7</f>
        <v>#REF!</v>
      </c>
      <c r="L7" s="1243" t="e">
        <f>UNRESTRICTED!L7+RESTRICTED!L7</f>
        <v>#REF!</v>
      </c>
      <c r="M7" s="1963">
        <f t="shared" ref="M7:M13" si="5">+G7-F7</f>
        <v>432221.40999999968</v>
      </c>
      <c r="N7" s="1940">
        <f t="shared" si="1"/>
        <v>0.12344412591706443</v>
      </c>
      <c r="O7" s="1963">
        <f>+H7-G7</f>
        <v>125477.47999999998</v>
      </c>
      <c r="P7" s="1940">
        <f t="shared" si="2"/>
        <v>3.1899102444748716E-2</v>
      </c>
      <c r="Q7" s="1963">
        <f t="shared" si="3"/>
        <v>116065</v>
      </c>
      <c r="R7" s="1940">
        <f t="shared" si="4"/>
        <v>2.8594118742243692E-2</v>
      </c>
      <c r="S7" s="239"/>
      <c r="T7" s="239"/>
      <c r="U7" s="1570">
        <f>+F7-UNRESTRICTED!F7-RESTRICTED!F7</f>
        <v>0</v>
      </c>
      <c r="V7" s="1570">
        <f>+G7-UNRESTRICTED!G7-RESTRICTED!G7</f>
        <v>0</v>
      </c>
      <c r="W7" s="1570">
        <f>+H7-UNRESTRICTED!H7-RESTRICTED!H7</f>
        <v>0</v>
      </c>
      <c r="X7" s="1570">
        <f>+I7-UNRESTRICTED!I7-RESTRICTED!I7</f>
        <v>0</v>
      </c>
      <c r="Y7" s="797"/>
    </row>
    <row r="8" spans="1:26" s="242" customFormat="1" ht="16.5" customHeight="1" x14ac:dyDescent="0.25">
      <c r="A8" s="1436"/>
      <c r="B8" s="1335"/>
      <c r="C8" s="1335"/>
      <c r="D8" s="1335" t="s">
        <v>388</v>
      </c>
      <c r="E8" s="626">
        <f>RESTRICTED!E8</f>
        <v>0</v>
      </c>
      <c r="F8" s="1211">
        <f>RESTRICTED!F8</f>
        <v>1102146.6500000001</v>
      </c>
      <c r="G8" s="1162">
        <f>RESTRICTED!G8</f>
        <v>750726.19</v>
      </c>
      <c r="H8" s="1244">
        <f>RESTRICTED!H8</f>
        <v>300618.42000000004</v>
      </c>
      <c r="I8" s="654">
        <f>RESTRICTED!I8</f>
        <v>92133.52</v>
      </c>
      <c r="J8" s="1244">
        <f>RESTRICTED!J8</f>
        <v>0</v>
      </c>
      <c r="K8" s="654">
        <f>RESTRICTED!K8</f>
        <v>0</v>
      </c>
      <c r="L8" s="1244">
        <f>RESTRICTED!L8</f>
        <v>0</v>
      </c>
      <c r="M8" s="1963">
        <f t="shared" si="5"/>
        <v>-351420.4600000002</v>
      </c>
      <c r="N8" s="1940">
        <f t="shared" si="1"/>
        <v>-0.3188509079077636</v>
      </c>
      <c r="O8" s="1963">
        <f t="shared" ref="O8:O13" si="6">+H8-G8</f>
        <v>-450107.7699999999</v>
      </c>
      <c r="P8" s="1940">
        <f t="shared" si="2"/>
        <v>-0.59956316430095502</v>
      </c>
      <c r="Q8" s="1963">
        <f t="shared" si="3"/>
        <v>-208484.90000000002</v>
      </c>
      <c r="R8" s="1940">
        <f t="shared" si="4"/>
        <v>-0.69352004444704352</v>
      </c>
      <c r="S8" s="241"/>
      <c r="T8" s="241"/>
      <c r="U8" s="1570">
        <f>+F8-UNRESTRICTED!F8-RESTRICTED!F8</f>
        <v>0</v>
      </c>
      <c r="V8" s="1570">
        <f>+G8-UNRESTRICTED!G8-RESTRICTED!G8</f>
        <v>0</v>
      </c>
      <c r="W8" s="1570">
        <f>+H8-UNRESTRICTED!H8-RESTRICTED!H8</f>
        <v>0</v>
      </c>
      <c r="X8" s="1570">
        <f>+I8-UNRESTRICTED!I8-RESTRICTED!I8</f>
        <v>0</v>
      </c>
      <c r="Y8" s="798"/>
    </row>
    <row r="9" spans="1:26" s="233" customFormat="1" ht="16.5" customHeight="1" x14ac:dyDescent="0.25">
      <c r="A9" s="1333"/>
      <c r="B9" s="737"/>
      <c r="C9" s="737" t="s">
        <v>357</v>
      </c>
      <c r="D9" s="737"/>
      <c r="E9" s="625">
        <f>UNRESTRICTED!E9+RESTRICTED!E9</f>
        <v>0</v>
      </c>
      <c r="F9" s="1210">
        <f>UNRESTRICTED!F9+RESTRICTED!F9</f>
        <v>2046858.88</v>
      </c>
      <c r="G9" s="1163">
        <f>UNRESTRICTED!G9+RESTRICTED!G9</f>
        <v>2080490</v>
      </c>
      <c r="H9" s="1243">
        <f>UNRESTRICTED!H9+RESTRICTED!H9</f>
        <v>2086129.2515</v>
      </c>
      <c r="I9" s="653">
        <f>UNRESTRICTED!I9+RESTRICTED!I9</f>
        <v>2123721.8244102499</v>
      </c>
      <c r="J9" s="1243" t="e">
        <f>UNRESTRICTED!J9+RESTRICTED!J9</f>
        <v>#REF!</v>
      </c>
      <c r="K9" s="653" t="e">
        <f>UNRESTRICTED!K9+RESTRICTED!K9</f>
        <v>#REF!</v>
      </c>
      <c r="L9" s="1243" t="e">
        <f>UNRESTRICTED!L9+RESTRICTED!L9</f>
        <v>#REF!</v>
      </c>
      <c r="M9" s="1963">
        <f t="shared" si="5"/>
        <v>33631.120000000112</v>
      </c>
      <c r="N9" s="1940">
        <f t="shared" si="1"/>
        <v>1.6430600237569926E-2</v>
      </c>
      <c r="O9" s="1963">
        <f t="shared" si="6"/>
        <v>5639.251500000013</v>
      </c>
      <c r="P9" s="1940">
        <f t="shared" si="2"/>
        <v>2.7105400650808287E-3</v>
      </c>
      <c r="Q9" s="1963">
        <f t="shared" si="3"/>
        <v>37592.572910249932</v>
      </c>
      <c r="R9" s="1940">
        <f t="shared" si="4"/>
        <v>1.8020251086177691E-2</v>
      </c>
      <c r="S9" s="239"/>
      <c r="T9" s="239"/>
      <c r="U9" s="1570">
        <f>+F9-UNRESTRICTED!F9-RESTRICTED!F9</f>
        <v>0</v>
      </c>
      <c r="V9" s="1570">
        <f>+G9-UNRESTRICTED!G9-RESTRICTED!G9</f>
        <v>0</v>
      </c>
      <c r="W9" s="1570">
        <f>+H9-UNRESTRICTED!H9-RESTRICTED!H9</f>
        <v>0</v>
      </c>
      <c r="X9" s="1570">
        <f>+I9-UNRESTRICTED!I9-RESTRICTED!I9</f>
        <v>0</v>
      </c>
      <c r="Y9" s="797"/>
    </row>
    <row r="10" spans="1:26" s="242" customFormat="1" ht="16.5" customHeight="1" x14ac:dyDescent="0.25">
      <c r="A10" s="1436"/>
      <c r="B10" s="1335"/>
      <c r="C10" s="1335"/>
      <c r="D10" s="1335" t="s">
        <v>396</v>
      </c>
      <c r="E10" s="626">
        <f>UNRESTRICTED!E10+RESTRICTED!E10</f>
        <v>0</v>
      </c>
      <c r="F10" s="1211">
        <f>UNRESTRICTED!F10+RESTRICTED!F10</f>
        <v>2154402</v>
      </c>
      <c r="G10" s="1162">
        <f>UNRESTRICTED!G10+RESTRICTED!G10</f>
        <v>1584683</v>
      </c>
      <c r="H10" s="1244">
        <f>UNRESTRICTED!H10+RESTRICTED!H10</f>
        <v>0</v>
      </c>
      <c r="I10" s="654">
        <f>UNRESTRICTED!I10+RESTRICTED!I10</f>
        <v>0</v>
      </c>
      <c r="J10" s="1244">
        <f>UNRESTRICTED!J10+RESTRICTED!J10</f>
        <v>0</v>
      </c>
      <c r="K10" s="654">
        <f>UNRESTRICTED!K10+RESTRICTED!K10</f>
        <v>0</v>
      </c>
      <c r="L10" s="1244">
        <f>UNRESTRICTED!L10+RESTRICTED!L10</f>
        <v>0</v>
      </c>
      <c r="M10" s="1963">
        <f>+G10-F10</f>
        <v>-569719</v>
      </c>
      <c r="N10" s="1940">
        <f t="shared" si="1"/>
        <v>-0.26444414737825161</v>
      </c>
      <c r="O10" s="1963">
        <f t="shared" si="6"/>
        <v>-1584683</v>
      </c>
      <c r="P10" s="1940">
        <f t="shared" si="2"/>
        <v>-1</v>
      </c>
      <c r="Q10" s="1963">
        <f t="shared" si="3"/>
        <v>0</v>
      </c>
      <c r="R10" s="1940">
        <f t="shared" si="4"/>
        <v>0</v>
      </c>
      <c r="S10" s="241"/>
      <c r="T10" s="241"/>
      <c r="U10" s="1570">
        <f>+F10-UNRESTRICTED!F10-RESTRICTED!F10</f>
        <v>0</v>
      </c>
      <c r="V10" s="1570">
        <f>+G10-UNRESTRICTED!G10-RESTRICTED!G10</f>
        <v>0</v>
      </c>
      <c r="W10" s="1570">
        <f>+H10-UNRESTRICTED!H10-RESTRICTED!H10</f>
        <v>0</v>
      </c>
      <c r="X10" s="1570">
        <f>+I10-UNRESTRICTED!I10-RESTRICTED!I10</f>
        <v>0</v>
      </c>
      <c r="Y10" s="798"/>
    </row>
    <row r="11" spans="1:26" s="233" customFormat="1" ht="16.5" customHeight="1" x14ac:dyDescent="0.25">
      <c r="A11" s="1333"/>
      <c r="B11" s="737"/>
      <c r="C11" s="737" t="s">
        <v>359</v>
      </c>
      <c r="D11" s="737"/>
      <c r="E11" s="625">
        <f>UNRESTRICTED!E11+RESTRICTED!E11</f>
        <v>0</v>
      </c>
      <c r="F11" s="1210">
        <f>UNRESTRICTED!F11+RESTRICTED!F11</f>
        <v>4067078.7699999996</v>
      </c>
      <c r="G11" s="1163">
        <f>UNRESTRICTED!G11+RESTRICTED!G11</f>
        <v>3882349</v>
      </c>
      <c r="H11" s="1243">
        <f>UNRESTRICTED!H11+RESTRICTED!H11</f>
        <v>3948582.412</v>
      </c>
      <c r="I11" s="653">
        <f>UNRESTRICTED!I11+RESTRICTED!I11</f>
        <v>4041019.781682</v>
      </c>
      <c r="J11" s="1243">
        <f>UNRESTRICTED!J11+RESTRICTED!J11</f>
        <v>4041019.781682</v>
      </c>
      <c r="K11" s="653">
        <f>UNRESTRICTED!K11+RESTRICTED!K11</f>
        <v>4041019.781682</v>
      </c>
      <c r="L11" s="1243">
        <f>UNRESTRICTED!L11+RESTRICTED!L11</f>
        <v>4041019.781682</v>
      </c>
      <c r="M11" s="1963">
        <f t="shared" si="5"/>
        <v>-184729.76999999955</v>
      </c>
      <c r="N11" s="1940">
        <f t="shared" si="1"/>
        <v>-4.5420750481309113E-2</v>
      </c>
      <c r="O11" s="1963">
        <f t="shared" si="6"/>
        <v>66233.412000000011</v>
      </c>
      <c r="P11" s="1940">
        <f t="shared" si="2"/>
        <v>1.7060138591352816E-2</v>
      </c>
      <c r="Q11" s="1963">
        <f t="shared" si="3"/>
        <v>92437.369682000019</v>
      </c>
      <c r="R11" s="1940">
        <f t="shared" si="4"/>
        <v>2.3410267290123365E-2</v>
      </c>
      <c r="S11" s="239"/>
      <c r="T11" s="239"/>
      <c r="U11" s="1570">
        <f>+F11-UNRESTRICTED!F11-RESTRICTED!F11</f>
        <v>0</v>
      </c>
      <c r="V11" s="1570">
        <f>+G11-UNRESTRICTED!G11-RESTRICTED!G11</f>
        <v>0</v>
      </c>
      <c r="W11" s="1570">
        <f>+H11-UNRESTRICTED!H11-RESTRICTED!H11</f>
        <v>0</v>
      </c>
      <c r="X11" s="1570">
        <f>+I11-UNRESTRICTED!I11-RESTRICTED!I11</f>
        <v>0</v>
      </c>
      <c r="Y11" s="797"/>
    </row>
    <row r="12" spans="1:26" s="242" customFormat="1" ht="16.5" customHeight="1" x14ac:dyDescent="0.25">
      <c r="A12" s="1437"/>
      <c r="B12" s="1438"/>
      <c r="C12" s="1438"/>
      <c r="D12" s="1438" t="s">
        <v>397</v>
      </c>
      <c r="E12" s="731">
        <f>+UNRESTRICTED!E12</f>
        <v>0</v>
      </c>
      <c r="F12" s="1212">
        <f>+UNRESTRICTED!F12</f>
        <v>807000</v>
      </c>
      <c r="G12" s="1277">
        <f>+UNRESTRICTED!G12</f>
        <v>0</v>
      </c>
      <c r="H12" s="1245">
        <f>+UNRESTRICTED!H12</f>
        <v>0</v>
      </c>
      <c r="I12" s="732">
        <f>+UNRESTRICTED!I12</f>
        <v>0</v>
      </c>
      <c r="J12" s="1245">
        <f>+UNRESTRICTED!J12</f>
        <v>0</v>
      </c>
      <c r="K12" s="732">
        <f>+UNRESTRICTED!K12</f>
        <v>0</v>
      </c>
      <c r="L12" s="1245">
        <f>+UNRESTRICTED!L12</f>
        <v>0</v>
      </c>
      <c r="M12" s="1963">
        <f t="shared" si="5"/>
        <v>-807000</v>
      </c>
      <c r="N12" s="1940">
        <f t="shared" si="1"/>
        <v>-1</v>
      </c>
      <c r="O12" s="1963">
        <f t="shared" si="6"/>
        <v>0</v>
      </c>
      <c r="P12" s="1940">
        <f t="shared" si="2"/>
        <v>0</v>
      </c>
      <c r="Q12" s="1963">
        <f t="shared" si="3"/>
        <v>0</v>
      </c>
      <c r="R12" s="1940">
        <f t="shared" si="4"/>
        <v>0</v>
      </c>
      <c r="S12" s="241"/>
      <c r="T12" s="241"/>
      <c r="U12" s="1570">
        <f>+F12-UNRESTRICTED!F12-RESTRICTED!F12</f>
        <v>0</v>
      </c>
      <c r="V12" s="1570">
        <f>+G12-UNRESTRICTED!G12-RESTRICTED!G12</f>
        <v>0</v>
      </c>
      <c r="W12" s="1570">
        <f>+H12-UNRESTRICTED!H12-RESTRICTED!H12</f>
        <v>0</v>
      </c>
      <c r="X12" s="1570">
        <f>+I12-UNRESTRICTED!I12-RESTRICTED!I12</f>
        <v>0</v>
      </c>
      <c r="Y12" s="798"/>
    </row>
    <row r="13" spans="1:26" s="233" customFormat="1" ht="16.5" customHeight="1" thickBot="1" x14ac:dyDescent="0.3">
      <c r="A13" s="1339"/>
      <c r="B13" s="1340" t="s">
        <v>360</v>
      </c>
      <c r="C13" s="1340"/>
      <c r="D13" s="1340"/>
      <c r="E13" s="647">
        <f>SUM(E5:E12)</f>
        <v>0</v>
      </c>
      <c r="F13" s="1213">
        <f>SUM(F5:F12)</f>
        <v>78867435.950000003</v>
      </c>
      <c r="G13" s="1165">
        <f t="shared" ref="G13:L13" si="7">SUM(G5:G12)</f>
        <v>78297973.189999998</v>
      </c>
      <c r="H13" s="1246">
        <f t="shared" si="7"/>
        <v>78274178.563500002</v>
      </c>
      <c r="I13" s="660">
        <f>SUM(I5:I12)</f>
        <v>80074794.606092244</v>
      </c>
      <c r="J13" s="1246" t="e">
        <f t="shared" si="7"/>
        <v>#REF!</v>
      </c>
      <c r="K13" s="660" t="e">
        <f t="shared" si="7"/>
        <v>#REF!</v>
      </c>
      <c r="L13" s="1246" t="e">
        <f t="shared" si="7"/>
        <v>#REF!</v>
      </c>
      <c r="M13" s="1963">
        <f t="shared" si="5"/>
        <v>-569462.76000000536</v>
      </c>
      <c r="N13" s="1940">
        <f t="shared" si="1"/>
        <v>-7.220505562790587E-3</v>
      </c>
      <c r="O13" s="1963">
        <f t="shared" si="6"/>
        <v>-23794.626499995589</v>
      </c>
      <c r="P13" s="1940">
        <f t="shared" si="2"/>
        <v>-3.0389837093554002E-4</v>
      </c>
      <c r="Q13" s="1963">
        <f t="shared" si="3"/>
        <v>1800616.0425922424</v>
      </c>
      <c r="R13" s="1940">
        <f t="shared" si="4"/>
        <v>2.3003959615257936E-2</v>
      </c>
      <c r="S13" s="238"/>
      <c r="T13" s="238"/>
      <c r="U13" s="1570">
        <f>+F13-UNRESTRICTED!F13-RESTRICTED!F13</f>
        <v>0</v>
      </c>
      <c r="V13" s="1570">
        <f>+G13-UNRESTRICTED!G13-RESTRICTED!G13</f>
        <v>0</v>
      </c>
      <c r="W13" s="1570">
        <f>+H13-UNRESTRICTED!H13-RESTRICTED!H13</f>
        <v>0</v>
      </c>
      <c r="X13" s="1570">
        <f>+I13-UNRESTRICTED!I13-RESTRICTED!I13</f>
        <v>0</v>
      </c>
      <c r="Y13" s="797"/>
    </row>
    <row r="14" spans="1:26" s="233" customFormat="1" ht="18.75" thickTop="1" x14ac:dyDescent="0.25">
      <c r="A14" s="1493"/>
      <c r="B14" s="1350"/>
      <c r="C14" s="1350"/>
      <c r="D14" s="1350"/>
      <c r="E14" s="224"/>
      <c r="F14" s="1214"/>
      <c r="G14" s="1170"/>
      <c r="H14" s="1247"/>
      <c r="I14" s="658"/>
      <c r="J14" s="1247"/>
      <c r="K14" s="658"/>
      <c r="L14" s="1247"/>
      <c r="M14" s="1963"/>
      <c r="N14" s="1940"/>
      <c r="O14" s="1963"/>
      <c r="P14" s="1940"/>
      <c r="Q14" s="1963"/>
      <c r="R14" s="1940"/>
      <c r="S14" s="244"/>
      <c r="T14" s="244"/>
      <c r="U14" s="1570">
        <f>+F14-UNRESTRICTED!F14-RESTRICTED!F14</f>
        <v>0</v>
      </c>
      <c r="V14" s="1570">
        <f>+G14-UNRESTRICTED!G14-RESTRICTED!G14</f>
        <v>0</v>
      </c>
      <c r="W14" s="1570">
        <f>+H14-UNRESTRICTED!H14-RESTRICTED!H14</f>
        <v>0</v>
      </c>
      <c r="X14" s="1570">
        <f>+I14-UNRESTRICTED!I14-RESTRICTED!I14</f>
        <v>0</v>
      </c>
      <c r="Y14" s="797"/>
    </row>
    <row r="15" spans="1:26" s="233" customFormat="1" ht="18" x14ac:dyDescent="0.25">
      <c r="A15" s="1331"/>
      <c r="B15" s="1332" t="s">
        <v>707</v>
      </c>
      <c r="C15" s="745"/>
      <c r="D15" s="745"/>
      <c r="E15" s="735"/>
      <c r="F15" s="1215"/>
      <c r="G15" s="1278"/>
      <c r="H15" s="1248"/>
      <c r="I15" s="736"/>
      <c r="J15" s="1248"/>
      <c r="K15" s="736"/>
      <c r="L15" s="1248"/>
      <c r="M15" s="1963"/>
      <c r="N15" s="1940"/>
      <c r="O15" s="1963"/>
      <c r="P15" s="1940"/>
      <c r="Q15" s="1963"/>
      <c r="R15" s="1940"/>
      <c r="S15" s="244"/>
      <c r="T15" s="244"/>
      <c r="U15" s="1570">
        <f>+F15-UNRESTRICTED!F15-RESTRICTED!F15</f>
        <v>0</v>
      </c>
      <c r="V15" s="1570">
        <f>+G15-UNRESTRICTED!G15-RESTRICTED!G15</f>
        <v>0</v>
      </c>
      <c r="W15" s="1570">
        <f>+H15-UNRESTRICTED!H15-RESTRICTED!H15</f>
        <v>0</v>
      </c>
      <c r="X15" s="1570">
        <f>+I15-UNRESTRICTED!I15-RESTRICTED!I15</f>
        <v>0</v>
      </c>
      <c r="Y15" s="797"/>
    </row>
    <row r="16" spans="1:26" s="233" customFormat="1" ht="18" x14ac:dyDescent="0.25">
      <c r="A16" s="1333"/>
      <c r="B16" s="737"/>
      <c r="C16" s="737" t="s">
        <v>371</v>
      </c>
      <c r="D16" s="737"/>
      <c r="E16" s="632">
        <f>+UNRESTRICTED!E16+RESTRICTED!E16</f>
        <v>0</v>
      </c>
      <c r="F16" s="1216">
        <f>+UNRESTRICTED!F16+RESTRICTED!F16</f>
        <v>0</v>
      </c>
      <c r="G16" s="1197">
        <f>+UNRESTRICTED!G16+RESTRICTED!G16</f>
        <v>0</v>
      </c>
      <c r="H16" s="1249">
        <f>+UNRESTRICTED!H16+RESTRICTED!H16</f>
        <v>0</v>
      </c>
      <c r="I16" s="652">
        <f>+UNRESTRICTED!I16+RESTRICTED!I16</f>
        <v>0</v>
      </c>
      <c r="J16" s="1249">
        <f>+UNRESTRICTED!J16+RESTRICTED!J16</f>
        <v>0</v>
      </c>
      <c r="K16" s="652">
        <f>+UNRESTRICTED!K16+RESTRICTED!K16</f>
        <v>0</v>
      </c>
      <c r="L16" s="1249">
        <f>+UNRESTRICTED!L16+RESTRICTED!L16</f>
        <v>0</v>
      </c>
      <c r="M16" s="1963">
        <f t="shared" ref="M16:M61" si="8">+G16-F16</f>
        <v>0</v>
      </c>
      <c r="N16" s="1940">
        <f t="shared" ref="N16:N61" si="9">IFERROR(M16/F16,0)</f>
        <v>0</v>
      </c>
      <c r="O16" s="1963">
        <f t="shared" ref="O16:O61" si="10">+H16-G16</f>
        <v>0</v>
      </c>
      <c r="P16" s="1940">
        <f t="shared" ref="P16:P61" si="11">IFERROR(O16/G16,0)</f>
        <v>0</v>
      </c>
      <c r="Q16" s="1963">
        <f t="shared" ref="Q16:Q61" si="12">+I16-H16</f>
        <v>0</v>
      </c>
      <c r="R16" s="1940">
        <f t="shared" ref="R16:R61" si="13">IFERROR(Q16/H16,0)</f>
        <v>0</v>
      </c>
      <c r="S16" s="238"/>
      <c r="T16" s="238"/>
      <c r="U16" s="1570">
        <f>+F16-UNRESTRICTED!F16-RESTRICTED!F16</f>
        <v>0</v>
      </c>
      <c r="V16" s="1570">
        <f>+G16-UNRESTRICTED!G16-RESTRICTED!G16</f>
        <v>0</v>
      </c>
      <c r="W16" s="1570">
        <f>+H16-UNRESTRICTED!H16-RESTRICTED!H16</f>
        <v>0</v>
      </c>
      <c r="X16" s="1570">
        <f>+I16-UNRESTRICTED!I16-RESTRICTED!I16</f>
        <v>0</v>
      </c>
      <c r="Y16" s="797"/>
    </row>
    <row r="17" spans="1:26" s="233" customFormat="1" ht="18" x14ac:dyDescent="0.25">
      <c r="A17" s="1333"/>
      <c r="B17" s="737"/>
      <c r="C17" s="737" t="s">
        <v>278</v>
      </c>
      <c r="D17" s="737"/>
      <c r="E17" s="625">
        <f>+UNRESTRICTED!E17+RESTRICTED!E17</f>
        <v>0</v>
      </c>
      <c r="F17" s="1210">
        <f>+UNRESTRICTED!F17+RESTRICTED!F17</f>
        <v>843860.64</v>
      </c>
      <c r="G17" s="1163">
        <f>+UNRESTRICTED!G17+RESTRICTED!G17</f>
        <v>0</v>
      </c>
      <c r="H17" s="1243">
        <f>+UNRESTRICTED!H17+RESTRICTED!H17</f>
        <v>0</v>
      </c>
      <c r="I17" s="653">
        <f>+UNRESTRICTED!I17+RESTRICTED!I17</f>
        <v>0</v>
      </c>
      <c r="J17" s="1243">
        <f>+UNRESTRICTED!J17+RESTRICTED!J17</f>
        <v>0</v>
      </c>
      <c r="K17" s="653">
        <f>+UNRESTRICTED!K17+RESTRICTED!K17</f>
        <v>0</v>
      </c>
      <c r="L17" s="1243">
        <f>+UNRESTRICTED!L17+RESTRICTED!L17</f>
        <v>0</v>
      </c>
      <c r="M17" s="1963">
        <f t="shared" si="8"/>
        <v>-843860.64</v>
      </c>
      <c r="N17" s="1940">
        <f t="shared" si="9"/>
        <v>-1</v>
      </c>
      <c r="O17" s="1963">
        <f t="shared" si="10"/>
        <v>0</v>
      </c>
      <c r="P17" s="1940">
        <f t="shared" si="11"/>
        <v>0</v>
      </c>
      <c r="Q17" s="1963">
        <f t="shared" si="12"/>
        <v>0</v>
      </c>
      <c r="R17" s="1940">
        <f t="shared" si="13"/>
        <v>0</v>
      </c>
      <c r="S17" s="239"/>
      <c r="T17" s="239"/>
      <c r="U17" s="1570">
        <f>+F17-UNRESTRICTED!F17-RESTRICTED!F17</f>
        <v>0</v>
      </c>
      <c r="V17" s="1570">
        <f>+G17-UNRESTRICTED!G17-RESTRICTED!G17</f>
        <v>0</v>
      </c>
      <c r="W17" s="1570">
        <f>+H17-UNRESTRICTED!H17-RESTRICTED!H17</f>
        <v>0</v>
      </c>
      <c r="X17" s="1570">
        <f>+I17-UNRESTRICTED!I17-RESTRICTED!I17</f>
        <v>0</v>
      </c>
      <c r="Y17" s="797"/>
    </row>
    <row r="18" spans="1:26" s="233" customFormat="1" ht="18" x14ac:dyDescent="0.25">
      <c r="A18" s="1333"/>
      <c r="B18" s="737"/>
      <c r="C18" s="737" t="s">
        <v>373</v>
      </c>
      <c r="D18" s="737"/>
      <c r="E18" s="625">
        <f>+UNRESTRICTED!E18+RESTRICTED!E18</f>
        <v>0</v>
      </c>
      <c r="F18" s="1210">
        <f>+UNRESTRICTED!F18+RESTRICTED!F18</f>
        <v>0</v>
      </c>
      <c r="G18" s="1163">
        <f>+UNRESTRICTED!G18+RESTRICTED!G18</f>
        <v>0</v>
      </c>
      <c r="H18" s="1243">
        <f>+UNRESTRICTED!H18+RESTRICTED!H18</f>
        <v>0</v>
      </c>
      <c r="I18" s="653">
        <f>+UNRESTRICTED!I18+RESTRICTED!I18</f>
        <v>0</v>
      </c>
      <c r="J18" s="1243" t="e">
        <f>+UNRESTRICTED!J18+RESTRICTED!J18</f>
        <v>#REF!</v>
      </c>
      <c r="K18" s="653" t="e">
        <f>+UNRESTRICTED!K18+RESTRICTED!K18</f>
        <v>#REF!</v>
      </c>
      <c r="L18" s="1243" t="e">
        <f>+UNRESTRICTED!L18+RESTRICTED!L18</f>
        <v>#REF!</v>
      </c>
      <c r="M18" s="1963">
        <f t="shared" ref="M18:M22" si="14">+G18-F18</f>
        <v>0</v>
      </c>
      <c r="N18" s="1940">
        <f t="shared" ref="N18:N22" si="15">IFERROR(M18/F18,0)</f>
        <v>0</v>
      </c>
      <c r="O18" s="1963">
        <f t="shared" ref="O18:O22" si="16">+H18-G18</f>
        <v>0</v>
      </c>
      <c r="P18" s="1940">
        <f t="shared" ref="P18:P22" si="17">IFERROR(O18/G18,0)</f>
        <v>0</v>
      </c>
      <c r="Q18" s="1963">
        <f t="shared" ref="Q18:Q22" si="18">+I18-H18</f>
        <v>0</v>
      </c>
      <c r="R18" s="1940">
        <f t="shared" ref="R18:R22" si="19">IFERROR(Q18/H18,0)</f>
        <v>0</v>
      </c>
      <c r="S18" s="239"/>
      <c r="T18" s="239"/>
      <c r="U18" s="1570">
        <f>+F18-UNRESTRICTED!F18-RESTRICTED!F18</f>
        <v>0</v>
      </c>
      <c r="V18" s="1570">
        <f>+G18-UNRESTRICTED!G18-RESTRICTED!G18</f>
        <v>0</v>
      </c>
      <c r="W18" s="1570">
        <f>+H18-UNRESTRICTED!H18-RESTRICTED!H18</f>
        <v>0</v>
      </c>
      <c r="X18" s="1570">
        <f>+I18-UNRESTRICTED!I18-RESTRICTED!I18</f>
        <v>0</v>
      </c>
      <c r="Y18" s="797"/>
    </row>
    <row r="19" spans="1:26" s="233" customFormat="1" ht="18" hidden="1" x14ac:dyDescent="0.25">
      <c r="A19" s="1333"/>
      <c r="B19" s="737"/>
      <c r="C19" s="737"/>
      <c r="D19" s="737" t="str">
        <f>+RESTRICTED!D19</f>
        <v>Special Education (RS 6500)</v>
      </c>
      <c r="E19" s="625"/>
      <c r="F19" s="1210">
        <f>+UNRESTRICTED!F19+RESTRICTED!F19</f>
        <v>0</v>
      </c>
      <c r="G19" s="1163">
        <f>+UNRESTRICTED!G19+RESTRICTED!G19</f>
        <v>0</v>
      </c>
      <c r="H19" s="1243">
        <f>+UNRESTRICTED!H19+RESTRICTED!H19</f>
        <v>0</v>
      </c>
      <c r="I19" s="653">
        <f>+UNRESTRICTED!I19+RESTRICTED!I19</f>
        <v>0</v>
      </c>
      <c r="J19" s="1243"/>
      <c r="K19" s="653"/>
      <c r="L19" s="1243"/>
      <c r="M19" s="1963">
        <f t="shared" si="14"/>
        <v>0</v>
      </c>
      <c r="N19" s="1940">
        <f t="shared" si="15"/>
        <v>0</v>
      </c>
      <c r="O19" s="1963">
        <f t="shared" si="16"/>
        <v>0</v>
      </c>
      <c r="P19" s="1940">
        <f t="shared" si="17"/>
        <v>0</v>
      </c>
      <c r="Q19" s="1963">
        <f t="shared" si="18"/>
        <v>0</v>
      </c>
      <c r="R19" s="1940">
        <f t="shared" si="19"/>
        <v>0</v>
      </c>
      <c r="S19" s="239"/>
      <c r="T19" s="239"/>
      <c r="U19" s="1570">
        <f>+F19-UNRESTRICTED!F19-RESTRICTED!F19</f>
        <v>0</v>
      </c>
      <c r="V19" s="1570"/>
      <c r="W19" s="1570"/>
      <c r="X19" s="1570"/>
      <c r="Y19" s="797"/>
    </row>
    <row r="20" spans="1:26" s="233" customFormat="1" ht="18" hidden="1" x14ac:dyDescent="0.25">
      <c r="A20" s="1333"/>
      <c r="B20" s="737"/>
      <c r="C20" s="737"/>
      <c r="D20" s="737" t="str">
        <f>+RESTRICTED!D20</f>
        <v>Ongoing &amp; Major Maintenance (RS 8150)</v>
      </c>
      <c r="E20" s="625"/>
      <c r="F20" s="1210">
        <f>+UNRESTRICTED!F20+RESTRICTED!F20</f>
        <v>0</v>
      </c>
      <c r="G20" s="1163">
        <f>+UNRESTRICTED!G20+RESTRICTED!G20</f>
        <v>0</v>
      </c>
      <c r="H20" s="1243">
        <f>+UNRESTRICTED!H20+RESTRICTED!H20</f>
        <v>0</v>
      </c>
      <c r="I20" s="653">
        <f>+UNRESTRICTED!I20+RESTRICTED!I20</f>
        <v>0</v>
      </c>
      <c r="J20" s="1243"/>
      <c r="K20" s="653"/>
      <c r="L20" s="1243"/>
      <c r="M20" s="1963">
        <f t="shared" si="14"/>
        <v>0</v>
      </c>
      <c r="N20" s="1940">
        <f t="shared" si="15"/>
        <v>0</v>
      </c>
      <c r="O20" s="1963">
        <f t="shared" si="16"/>
        <v>0</v>
      </c>
      <c r="P20" s="1940">
        <f t="shared" si="17"/>
        <v>0</v>
      </c>
      <c r="Q20" s="1963">
        <f t="shared" si="18"/>
        <v>0</v>
      </c>
      <c r="R20" s="1940">
        <f t="shared" si="19"/>
        <v>0</v>
      </c>
      <c r="S20" s="239"/>
      <c r="T20" s="239"/>
      <c r="U20" s="1570">
        <f>+F20-UNRESTRICTED!F20-RESTRICTED!F20</f>
        <v>0</v>
      </c>
      <c r="V20" s="1570"/>
      <c r="W20" s="1570"/>
      <c r="X20" s="1570"/>
      <c r="Y20" s="797"/>
    </row>
    <row r="21" spans="1:26" s="233" customFormat="1" ht="18" hidden="1" x14ac:dyDescent="0.25">
      <c r="A21" s="1333"/>
      <c r="B21" s="1346"/>
      <c r="C21" s="1346"/>
      <c r="D21" s="1346" t="str">
        <f>+RESTRICTED!D21</f>
        <v>Facilities Improvement (RS 9225)</v>
      </c>
      <c r="E21" s="629"/>
      <c r="F21" s="1217">
        <f>+UNRESTRICTED!F21+RESTRICTED!F21</f>
        <v>0</v>
      </c>
      <c r="G21" s="1198">
        <f>+UNRESTRICTED!G21+RESTRICTED!G21</f>
        <v>0</v>
      </c>
      <c r="H21" s="1250">
        <f>+UNRESTRICTED!H21+RESTRICTED!H21</f>
        <v>0</v>
      </c>
      <c r="I21" s="659">
        <f>+UNRESTRICTED!I21+RESTRICTED!I21</f>
        <v>0</v>
      </c>
      <c r="J21" s="1250"/>
      <c r="K21" s="659"/>
      <c r="L21" s="1250"/>
      <c r="M21" s="1963">
        <f t="shared" si="14"/>
        <v>0</v>
      </c>
      <c r="N21" s="1940">
        <f t="shared" si="15"/>
        <v>0</v>
      </c>
      <c r="O21" s="1963">
        <f t="shared" si="16"/>
        <v>0</v>
      </c>
      <c r="P21" s="1940">
        <f t="shared" si="17"/>
        <v>0</v>
      </c>
      <c r="Q21" s="1963">
        <f t="shared" si="18"/>
        <v>0</v>
      </c>
      <c r="R21" s="1940">
        <f t="shared" si="19"/>
        <v>0</v>
      </c>
      <c r="S21" s="239"/>
      <c r="T21" s="239"/>
      <c r="U21" s="1570">
        <f>+F21-UNRESTRICTED!F21-RESTRICTED!F21</f>
        <v>0</v>
      </c>
      <c r="V21" s="1570"/>
      <c r="W21" s="1570"/>
      <c r="X21" s="1570"/>
      <c r="Y21" s="797"/>
    </row>
    <row r="22" spans="1:26" s="233" customFormat="1" ht="18.75" thickBot="1" x14ac:dyDescent="0.3">
      <c r="A22" s="1347"/>
      <c r="B22" s="1439" t="s">
        <v>708</v>
      </c>
      <c r="C22" s="1440"/>
      <c r="D22" s="1440"/>
      <c r="E22" s="733"/>
      <c r="F22" s="1218">
        <f>SUM(F16:F18)</f>
        <v>843860.64</v>
      </c>
      <c r="G22" s="1279">
        <f>SUM(G16:G18)</f>
        <v>0</v>
      </c>
      <c r="H22" s="1251">
        <f t="shared" ref="H22" si="20">SUM(H16:H18)</f>
        <v>0</v>
      </c>
      <c r="I22" s="734">
        <f>SUM(I16:I18)</f>
        <v>0</v>
      </c>
      <c r="J22" s="1251" t="e">
        <f t="shared" ref="J22:L22" si="21">SUM(J16:J18)</f>
        <v>#REF!</v>
      </c>
      <c r="K22" s="734" t="e">
        <f t="shared" si="21"/>
        <v>#REF!</v>
      </c>
      <c r="L22" s="1251" t="e">
        <f t="shared" si="21"/>
        <v>#REF!</v>
      </c>
      <c r="M22" s="1963">
        <f t="shared" si="14"/>
        <v>-843860.64</v>
      </c>
      <c r="N22" s="1940">
        <f t="shared" si="15"/>
        <v>-1</v>
      </c>
      <c r="O22" s="1963">
        <f t="shared" si="16"/>
        <v>0</v>
      </c>
      <c r="P22" s="1940">
        <f t="shared" si="17"/>
        <v>0</v>
      </c>
      <c r="Q22" s="1963">
        <f t="shared" si="18"/>
        <v>0</v>
      </c>
      <c r="R22" s="1940">
        <f t="shared" si="19"/>
        <v>0</v>
      </c>
      <c r="S22" s="239"/>
      <c r="T22" s="239"/>
      <c r="U22" s="1570">
        <f>+F22-UNRESTRICTED!F22-RESTRICTED!F22</f>
        <v>0</v>
      </c>
      <c r="V22" s="1570">
        <f>+G22-UNRESTRICTED!G19-RESTRICTED!G19</f>
        <v>0</v>
      </c>
      <c r="W22" s="1570">
        <f>+H22-UNRESTRICTED!H19-RESTRICTED!H19</f>
        <v>0</v>
      </c>
      <c r="X22" s="1570">
        <f>+I22-UNRESTRICTED!I19-RESTRICTED!I19</f>
        <v>0</v>
      </c>
      <c r="Y22" s="797"/>
    </row>
    <row r="23" spans="1:26" s="233" customFormat="1" ht="18.75" thickTop="1" x14ac:dyDescent="0.25">
      <c r="A23" s="1341"/>
      <c r="B23" s="1350"/>
      <c r="C23" s="1350"/>
      <c r="D23" s="1350"/>
      <c r="E23" s="223"/>
      <c r="F23" s="1219"/>
      <c r="G23" s="1280"/>
      <c r="H23" s="1252"/>
      <c r="I23" s="706"/>
      <c r="J23" s="1252"/>
      <c r="K23" s="706"/>
      <c r="L23" s="1252"/>
      <c r="M23" s="1963"/>
      <c r="N23" s="1940"/>
      <c r="O23" s="1963"/>
      <c r="P23" s="1940"/>
      <c r="Q23" s="1963"/>
      <c r="R23" s="1940"/>
      <c r="S23" s="239"/>
      <c r="T23" s="239"/>
      <c r="U23" s="1570">
        <f>+F23-UNRESTRICTED!F20-RESTRICTED!F20</f>
        <v>0</v>
      </c>
      <c r="V23" s="1570">
        <f>+G23-UNRESTRICTED!G20-RESTRICTED!G20</f>
        <v>0</v>
      </c>
      <c r="W23" s="1570">
        <f>+H23-UNRESTRICTED!H20-RESTRICTED!H20</f>
        <v>0</v>
      </c>
      <c r="X23" s="1570">
        <f>+I23-UNRESTRICTED!I20-RESTRICTED!I20</f>
        <v>0</v>
      </c>
      <c r="Y23" s="797"/>
    </row>
    <row r="24" spans="1:26" s="728" customFormat="1" ht="26.25" customHeight="1" x14ac:dyDescent="0.25">
      <c r="A24" s="1441"/>
      <c r="B24" s="1442" t="s">
        <v>709</v>
      </c>
      <c r="C24" s="1443"/>
      <c r="D24" s="1443"/>
      <c r="E24" s="729"/>
      <c r="F24" s="1220">
        <f>F13+F22</f>
        <v>79711296.590000004</v>
      </c>
      <c r="G24" s="1281">
        <f t="shared" ref="G24:L24" si="22">G13+G22</f>
        <v>78297973.189999998</v>
      </c>
      <c r="H24" s="1253">
        <f t="shared" si="22"/>
        <v>78274178.563500002</v>
      </c>
      <c r="I24" s="743">
        <f t="shared" si="22"/>
        <v>80074794.606092244</v>
      </c>
      <c r="J24" s="1253" t="e">
        <f>J13+J22</f>
        <v>#REF!</v>
      </c>
      <c r="K24" s="743" t="e">
        <f t="shared" si="22"/>
        <v>#REF!</v>
      </c>
      <c r="L24" s="1253" t="e">
        <f t="shared" si="22"/>
        <v>#REF!</v>
      </c>
      <c r="M24" s="1963">
        <f t="shared" si="8"/>
        <v>-1413323.400000006</v>
      </c>
      <c r="N24" s="1940">
        <f t="shared" si="9"/>
        <v>-1.7730528299765621E-2</v>
      </c>
      <c r="O24" s="1963">
        <f t="shared" si="10"/>
        <v>-23794.626499995589</v>
      </c>
      <c r="P24" s="1940">
        <f t="shared" si="11"/>
        <v>-3.0389837093554002E-4</v>
      </c>
      <c r="Q24" s="1963">
        <f t="shared" si="12"/>
        <v>1800616.0425922424</v>
      </c>
      <c r="R24" s="1940">
        <f t="shared" si="13"/>
        <v>2.3003959615257936E-2</v>
      </c>
      <c r="S24" s="744"/>
      <c r="T24" s="744"/>
      <c r="U24" s="1570">
        <f>+F24-UNRESTRICTED!F24-RESTRICTED!F24</f>
        <v>0</v>
      </c>
      <c r="V24" s="1570">
        <f>+G24-UNRESTRICTED!G24-RESTRICTED!G24</f>
        <v>0</v>
      </c>
      <c r="W24" s="1570">
        <f>+H24-UNRESTRICTED!H24-RESTRICTED!H24</f>
        <v>0</v>
      </c>
      <c r="X24" s="1570">
        <f>+I24-UNRESTRICTED!I24-RESTRICTED!I24</f>
        <v>0</v>
      </c>
      <c r="Y24" s="799"/>
    </row>
    <row r="25" spans="1:26" s="233" customFormat="1" ht="18" x14ac:dyDescent="0.25">
      <c r="A25" s="1341"/>
      <c r="B25" s="1350"/>
      <c r="C25" s="1350"/>
      <c r="D25" s="1350"/>
      <c r="E25" s="223"/>
      <c r="F25" s="1219"/>
      <c r="G25" s="1280"/>
      <c r="H25" s="1252"/>
      <c r="I25" s="706"/>
      <c r="J25" s="1252"/>
      <c r="K25" s="706"/>
      <c r="L25" s="1252"/>
      <c r="M25" s="1963"/>
      <c r="N25" s="1940"/>
      <c r="O25" s="1963"/>
      <c r="P25" s="1940"/>
      <c r="Q25" s="1963"/>
      <c r="R25" s="1940"/>
      <c r="S25" s="239"/>
      <c r="T25" s="239"/>
      <c r="U25" s="1570">
        <f>+F25-UNRESTRICTED!F25-RESTRICTED!F25</f>
        <v>0</v>
      </c>
      <c r="V25" s="1570">
        <f>+G25-UNRESTRICTED!G25-RESTRICTED!G25</f>
        <v>0</v>
      </c>
      <c r="W25" s="1570">
        <f>+H25-UNRESTRICTED!H25-RESTRICTED!H25</f>
        <v>0</v>
      </c>
      <c r="X25" s="1570">
        <f>+I25-UNRESTRICTED!I25-RESTRICTED!I25</f>
        <v>0</v>
      </c>
      <c r="Y25" s="797"/>
    </row>
    <row r="26" spans="1:26" s="233" customFormat="1" ht="18" x14ac:dyDescent="0.25">
      <c r="A26" s="1328"/>
      <c r="B26" s="1329" t="s">
        <v>361</v>
      </c>
      <c r="C26" s="1330"/>
      <c r="D26" s="1330"/>
      <c r="E26" s="667"/>
      <c r="F26" s="1221"/>
      <c r="G26" s="1167"/>
      <c r="H26" s="1254"/>
      <c r="I26" s="668"/>
      <c r="J26" s="1254"/>
      <c r="K26" s="668"/>
      <c r="L26" s="1254"/>
      <c r="M26" s="1963"/>
      <c r="N26" s="1940"/>
      <c r="O26" s="1963"/>
      <c r="P26" s="1940"/>
      <c r="Q26" s="1963"/>
      <c r="R26" s="1940"/>
      <c r="S26" s="244"/>
      <c r="T26" s="244"/>
      <c r="U26" s="1570">
        <f>+F26-UNRESTRICTED!F26-RESTRICTED!F26</f>
        <v>0</v>
      </c>
      <c r="V26" s="1570">
        <f>+G26-UNRESTRICTED!G26-RESTRICTED!G26</f>
        <v>0</v>
      </c>
      <c r="W26" s="1570">
        <f>+H26-UNRESTRICTED!H26-RESTRICTED!H26</f>
        <v>0</v>
      </c>
      <c r="X26" s="1570">
        <f>+I26-UNRESTRICTED!I26-RESTRICTED!I26</f>
        <v>0</v>
      </c>
      <c r="Y26" s="797"/>
    </row>
    <row r="27" spans="1:26" s="233" customFormat="1" ht="16.5" customHeight="1" x14ac:dyDescent="0.25">
      <c r="A27" s="1331"/>
      <c r="B27" s="745"/>
      <c r="C27" s="745" t="s">
        <v>362</v>
      </c>
      <c r="D27" s="745"/>
      <c r="E27" s="624">
        <f>UNRESTRICTED!E27+RESTRICTED!E27</f>
        <v>0</v>
      </c>
      <c r="F27" s="1222">
        <f>UNRESTRICTED!F27+RESTRICTED!F27</f>
        <v>38407868.150000006</v>
      </c>
      <c r="G27" s="1161">
        <f>UNRESTRICTED!G27+RESTRICTED!G27</f>
        <v>39030720.079999998</v>
      </c>
      <c r="H27" s="1255">
        <f>UNRESTRICTED!H27+RESTRICTED!H27</f>
        <v>39025178.626025468</v>
      </c>
      <c r="I27" s="669">
        <f>UNRESTRICTED!I27+RESTRICTED!I27</f>
        <v>39171763.269451134</v>
      </c>
      <c r="J27" s="1255" t="e">
        <f>UNRESTRICTED!J27+RESTRICTED!J27</f>
        <v>#REF!</v>
      </c>
      <c r="K27" s="669" t="e">
        <f>UNRESTRICTED!K27+RESTRICTED!K27</f>
        <v>#REF!</v>
      </c>
      <c r="L27" s="1255" t="e">
        <f>UNRESTRICTED!L27+RESTRICTED!L27</f>
        <v>#REF!</v>
      </c>
      <c r="M27" s="1963">
        <f t="shared" si="8"/>
        <v>622851.92999999225</v>
      </c>
      <c r="N27" s="1940">
        <f t="shared" si="9"/>
        <v>1.621677952984725E-2</v>
      </c>
      <c r="O27" s="1963">
        <f t="shared" si="10"/>
        <v>-5541.4539745301008</v>
      </c>
      <c r="P27" s="1940">
        <f t="shared" si="11"/>
        <v>-1.4197672918080841E-4</v>
      </c>
      <c r="Q27" s="1963">
        <f t="shared" si="12"/>
        <v>146584.6434256658</v>
      </c>
      <c r="R27" s="1940">
        <f t="shared" si="13"/>
        <v>3.7561556048307256E-3</v>
      </c>
      <c r="S27" s="238"/>
      <c r="T27" s="238"/>
      <c r="U27" s="1570">
        <f>+F27-UNRESTRICTED!F27-RESTRICTED!F27</f>
        <v>0</v>
      </c>
      <c r="V27" s="1570">
        <f>+G27-UNRESTRICTED!G27-RESTRICTED!G27</f>
        <v>0</v>
      </c>
      <c r="W27" s="1570">
        <f>+H27-UNRESTRICTED!H27-RESTRICTED!H27</f>
        <v>0</v>
      </c>
      <c r="X27" s="1570">
        <f>+I27-UNRESTRICTED!I27-RESTRICTED!I27</f>
        <v>0</v>
      </c>
      <c r="Y27" s="797"/>
      <c r="Z27" s="797"/>
    </row>
    <row r="28" spans="1:26" s="233" customFormat="1" ht="16.5" customHeight="1" x14ac:dyDescent="0.25">
      <c r="A28" s="1333"/>
      <c r="B28" s="737"/>
      <c r="C28" s="737" t="s">
        <v>363</v>
      </c>
      <c r="D28" s="737"/>
      <c r="E28" s="625">
        <f>UNRESTRICTED!E28+RESTRICTED!E28</f>
        <v>0</v>
      </c>
      <c r="F28" s="1223">
        <f>UNRESTRICTED!F28+RESTRICTED!F28</f>
        <v>11561704.179999998</v>
      </c>
      <c r="G28" s="1163">
        <f>UNRESTRICTED!G28+RESTRICTED!G28</f>
        <v>12694213</v>
      </c>
      <c r="H28" s="1243">
        <f>UNRESTRICTED!H28+RESTRICTED!H28</f>
        <v>12867612</v>
      </c>
      <c r="I28" s="653">
        <f>UNRESTRICTED!I28+RESTRICTED!I28</f>
        <v>13062604</v>
      </c>
      <c r="J28" s="1243" t="e">
        <f>UNRESTRICTED!J28+RESTRICTED!J28</f>
        <v>#REF!</v>
      </c>
      <c r="K28" s="653" t="e">
        <f>UNRESTRICTED!K28+RESTRICTED!K28</f>
        <v>#REF!</v>
      </c>
      <c r="L28" s="1243" t="e">
        <f>UNRESTRICTED!L28+RESTRICTED!L28</f>
        <v>#REF!</v>
      </c>
      <c r="M28" s="1963">
        <f t="shared" si="8"/>
        <v>1132508.8200000022</v>
      </c>
      <c r="N28" s="1940">
        <f t="shared" si="9"/>
        <v>9.7953450665090647E-2</v>
      </c>
      <c r="O28" s="1963">
        <f t="shared" si="10"/>
        <v>173399</v>
      </c>
      <c r="P28" s="1940">
        <f t="shared" si="11"/>
        <v>1.3659688867675372E-2</v>
      </c>
      <c r="Q28" s="1963">
        <f t="shared" si="12"/>
        <v>194992</v>
      </c>
      <c r="R28" s="1940">
        <f t="shared" si="13"/>
        <v>1.5153705287352463E-2</v>
      </c>
      <c r="S28" s="239"/>
      <c r="T28" s="239"/>
      <c r="U28" s="1570">
        <f>+F28-UNRESTRICTED!F28-RESTRICTED!F28</f>
        <v>0</v>
      </c>
      <c r="V28" s="1570">
        <f>+G28-UNRESTRICTED!G28-RESTRICTED!G28</f>
        <v>0</v>
      </c>
      <c r="W28" s="1570">
        <f>+H28-UNRESTRICTED!H28-RESTRICTED!H28</f>
        <v>0</v>
      </c>
      <c r="X28" s="1570">
        <f>+I28-UNRESTRICTED!I28-RESTRICTED!I28</f>
        <v>0</v>
      </c>
      <c r="Y28" s="797"/>
      <c r="Z28" s="797"/>
    </row>
    <row r="29" spans="1:26" s="233" customFormat="1" ht="16.5" hidden="1" customHeight="1" x14ac:dyDescent="0.25">
      <c r="A29" s="1444"/>
      <c r="B29" s="1445"/>
      <c r="C29" s="738" t="str">
        <f>IF(UNRESTRICTED!C29=0," ",UNRESTRICTED!C29)</f>
        <v xml:space="preserve"> </v>
      </c>
      <c r="D29" s="738" t="str">
        <f>+UNRESTRICTED!D29</f>
        <v>Cost of 0% salary increase, incl. statutory benefits</v>
      </c>
      <c r="E29" s="636" t="str">
        <f>IF(UNRESTRICTED!E29=0," ",UNRESTRICTED!E29)</f>
        <v xml:space="preserve"> </v>
      </c>
      <c r="F29" s="1108" t="str">
        <f>IF(UNRESTRICTED!F29=0," ",UNRESTRICTED!F29)</f>
        <v xml:space="preserve"> </v>
      </c>
      <c r="G29" s="1173" t="str">
        <f>IF(UNRESTRICTED!G29=0," ",UNRESTRICTED!G29)</f>
        <v xml:space="preserve"> </v>
      </c>
      <c r="H29" s="1141" t="str">
        <f>IF(UNRESTRICTED!H29=0," ",UNRESTRICTED!H29)</f>
        <v xml:space="preserve"> </v>
      </c>
      <c r="I29" s="677" t="str">
        <f>IF(UNRESTRICTED!I29=0," ",UNRESTRICTED!I29)</f>
        <v xml:space="preserve"> </v>
      </c>
      <c r="J29" s="1141"/>
      <c r="K29" s="677"/>
      <c r="L29" s="1141"/>
      <c r="M29" s="1963" t="e">
        <f>+G29-F29</f>
        <v>#VALUE!</v>
      </c>
      <c r="N29" s="1940">
        <f t="shared" si="9"/>
        <v>0</v>
      </c>
      <c r="O29" s="1963" t="e">
        <f t="shared" si="10"/>
        <v>#VALUE!</v>
      </c>
      <c r="P29" s="1940">
        <f t="shared" si="11"/>
        <v>0</v>
      </c>
      <c r="Q29" s="1963" t="e">
        <f t="shared" si="12"/>
        <v>#VALUE!</v>
      </c>
      <c r="R29" s="1940">
        <f t="shared" si="13"/>
        <v>0</v>
      </c>
      <c r="S29" s="239"/>
      <c r="T29" s="239"/>
      <c r="U29" s="1570" t="e">
        <f>+F29-UNRESTRICTED!F29-RESTRICTED!F29</f>
        <v>#VALUE!</v>
      </c>
      <c r="V29" s="1570" t="e">
        <f>+G29-UNRESTRICTED!G29-RESTRICTED!G29</f>
        <v>#VALUE!</v>
      </c>
      <c r="W29" s="1570" t="e">
        <f>+H29-UNRESTRICTED!H29-RESTRICTED!H29</f>
        <v>#VALUE!</v>
      </c>
      <c r="X29" s="1570" t="e">
        <f>+I29-UNRESTRICTED!I29-RESTRICTED!I29</f>
        <v>#VALUE!</v>
      </c>
      <c r="Y29" s="797"/>
    </row>
    <row r="30" spans="1:26" s="233" customFormat="1" ht="16.5" hidden="1" customHeight="1" x14ac:dyDescent="0.25">
      <c r="A30" s="1444"/>
      <c r="B30" s="1445"/>
      <c r="C30" s="739" t="str">
        <f>IF(UNRESTRICTED!C30=0," ",UNRESTRICTED!C30)</f>
        <v xml:space="preserve"> </v>
      </c>
      <c r="D30" s="738">
        <f>+UNRESTRICTED!D30</f>
        <v>0</v>
      </c>
      <c r="E30" s="740" t="str">
        <f>IF(UNRESTRICTED!E30=0," ",UNRESTRICTED!E30)</f>
        <v xml:space="preserve"> </v>
      </c>
      <c r="F30" s="1108" t="str">
        <f>IF(UNRESTRICTED!F30=0," ",UNRESTRICTED!F30)</f>
        <v xml:space="preserve"> </v>
      </c>
      <c r="G30" s="1173" t="str">
        <f>IF(UNRESTRICTED!G30=0," ",UNRESTRICTED!G30)</f>
        <v xml:space="preserve"> </v>
      </c>
      <c r="H30" s="1141" t="str">
        <f>IF(UNRESTRICTED!H30=0," ",UNRESTRICTED!H30)</f>
        <v xml:space="preserve"> </v>
      </c>
      <c r="I30" s="677" t="str">
        <f>IF(UNRESTRICTED!I30=0," ",UNRESTRICTED!I30)</f>
        <v xml:space="preserve"> </v>
      </c>
      <c r="J30" s="1141"/>
      <c r="K30" s="677"/>
      <c r="L30" s="1141"/>
      <c r="M30" s="1963" t="e">
        <f t="shared" si="8"/>
        <v>#VALUE!</v>
      </c>
      <c r="N30" s="1940">
        <f t="shared" si="9"/>
        <v>0</v>
      </c>
      <c r="O30" s="1963" t="e">
        <f t="shared" si="10"/>
        <v>#VALUE!</v>
      </c>
      <c r="P30" s="1940">
        <f t="shared" si="11"/>
        <v>0</v>
      </c>
      <c r="Q30" s="1963" t="e">
        <f t="shared" si="12"/>
        <v>#VALUE!</v>
      </c>
      <c r="R30" s="1940">
        <f t="shared" si="13"/>
        <v>0</v>
      </c>
      <c r="S30" s="239"/>
      <c r="T30" s="239"/>
      <c r="U30" s="1570" t="e">
        <f>+F30-UNRESTRICTED!F30-RESTRICTED!F30</f>
        <v>#VALUE!</v>
      </c>
      <c r="V30" s="1570" t="e">
        <f>+G30-UNRESTRICTED!G30-RESTRICTED!G30</f>
        <v>#VALUE!</v>
      </c>
      <c r="W30" s="1570" t="e">
        <f>+H30-UNRESTRICTED!H30-RESTRICTED!H30</f>
        <v>#VALUE!</v>
      </c>
      <c r="X30" s="1570" t="e">
        <f>+I30-UNRESTRICTED!I30-RESTRICTED!I30</f>
        <v>#VALUE!</v>
      </c>
      <c r="Y30" s="797"/>
    </row>
    <row r="31" spans="1:26" s="233" customFormat="1" ht="16.5" hidden="1" customHeight="1" x14ac:dyDescent="0.25">
      <c r="A31" s="1444"/>
      <c r="B31" s="1445"/>
      <c r="C31" s="739" t="str">
        <f>IF(UNRESTRICTED!C31=0," ",UNRESTRICTED!C31)</f>
        <v xml:space="preserve"> </v>
      </c>
      <c r="D31" s="738">
        <f>+UNRESTRICTED!D31</f>
        <v>0</v>
      </c>
      <c r="E31" s="740" t="str">
        <f>IF(UNRESTRICTED!E31=0," ",UNRESTRICTED!E31)</f>
        <v xml:space="preserve"> </v>
      </c>
      <c r="F31" s="1108" t="str">
        <f>IF(UNRESTRICTED!F31=0," ",UNRESTRICTED!F31)</f>
        <v xml:space="preserve"> </v>
      </c>
      <c r="G31" s="1173" t="str">
        <f>IF(UNRESTRICTED!G31=0," ",UNRESTRICTED!G31)</f>
        <v xml:space="preserve"> </v>
      </c>
      <c r="H31" s="1141" t="str">
        <f>IF(UNRESTRICTED!H31=0," ",UNRESTRICTED!H31)</f>
        <v xml:space="preserve"> </v>
      </c>
      <c r="I31" s="677" t="str">
        <f>IF(UNRESTRICTED!I31=0," ",UNRESTRICTED!I31)</f>
        <v xml:space="preserve"> </v>
      </c>
      <c r="J31" s="1141"/>
      <c r="K31" s="677"/>
      <c r="L31" s="1141"/>
      <c r="M31" s="1963" t="e">
        <f t="shared" si="8"/>
        <v>#VALUE!</v>
      </c>
      <c r="N31" s="1940">
        <f t="shared" si="9"/>
        <v>0</v>
      </c>
      <c r="O31" s="1963" t="e">
        <f t="shared" si="10"/>
        <v>#VALUE!</v>
      </c>
      <c r="P31" s="1940">
        <f t="shared" si="11"/>
        <v>0</v>
      </c>
      <c r="Q31" s="1963" t="e">
        <f t="shared" si="12"/>
        <v>#VALUE!</v>
      </c>
      <c r="R31" s="1940">
        <f t="shared" si="13"/>
        <v>0</v>
      </c>
      <c r="S31" s="239"/>
      <c r="T31" s="239"/>
      <c r="U31" s="1570" t="e">
        <f>+F31-UNRESTRICTED!F31-RESTRICTED!F31</f>
        <v>#VALUE!</v>
      </c>
      <c r="V31" s="1570" t="e">
        <f>+G31-UNRESTRICTED!G31-RESTRICTED!G31</f>
        <v>#VALUE!</v>
      </c>
      <c r="W31" s="1570" t="e">
        <f>+H31-UNRESTRICTED!H31-RESTRICTED!H31</f>
        <v>#VALUE!</v>
      </c>
      <c r="X31" s="1570" t="e">
        <f>+I31-UNRESTRICTED!I31-RESTRICTED!I31</f>
        <v>#VALUE!</v>
      </c>
      <c r="Y31" s="797"/>
    </row>
    <row r="32" spans="1:26" s="233" customFormat="1" ht="16.5" hidden="1" customHeight="1" x14ac:dyDescent="0.25">
      <c r="A32" s="1444"/>
      <c r="B32" s="1445"/>
      <c r="C32" s="739" t="str">
        <f>IF(UNRESTRICTED!C32=0," ",UNRESTRICTED!C32)</f>
        <v xml:space="preserve"> </v>
      </c>
      <c r="D32" s="738">
        <f>+UNRESTRICTED!D32</f>
        <v>0</v>
      </c>
      <c r="E32" s="740" t="str">
        <f>IF(UNRESTRICTED!E32=0," ",UNRESTRICTED!E32)</f>
        <v xml:space="preserve"> </v>
      </c>
      <c r="F32" s="1108" t="str">
        <f>IF(UNRESTRICTED!F32=0," ",UNRESTRICTED!F32)</f>
        <v xml:space="preserve"> </v>
      </c>
      <c r="G32" s="1173" t="str">
        <f>IF(UNRESTRICTED!G32=0," ",UNRESTRICTED!G32)</f>
        <v xml:space="preserve"> </v>
      </c>
      <c r="H32" s="1141" t="str">
        <f>IF(UNRESTRICTED!H32=0," ",UNRESTRICTED!H32)</f>
        <v xml:space="preserve"> </v>
      </c>
      <c r="I32" s="677" t="str">
        <f>IF(UNRESTRICTED!I32=0," ",UNRESTRICTED!I32)</f>
        <v xml:space="preserve"> </v>
      </c>
      <c r="J32" s="1141"/>
      <c r="K32" s="677"/>
      <c r="L32" s="1141"/>
      <c r="M32" s="1963" t="e">
        <f t="shared" si="8"/>
        <v>#VALUE!</v>
      </c>
      <c r="N32" s="1940">
        <f t="shared" si="9"/>
        <v>0</v>
      </c>
      <c r="O32" s="1963" t="e">
        <f t="shared" si="10"/>
        <v>#VALUE!</v>
      </c>
      <c r="P32" s="1940">
        <f t="shared" si="11"/>
        <v>0</v>
      </c>
      <c r="Q32" s="1963" t="e">
        <f t="shared" si="12"/>
        <v>#VALUE!</v>
      </c>
      <c r="R32" s="1940">
        <f t="shared" si="13"/>
        <v>0</v>
      </c>
      <c r="S32" s="239"/>
      <c r="T32" s="239"/>
      <c r="U32" s="1570" t="e">
        <f>+F32-UNRESTRICTED!F32-RESTRICTED!F32</f>
        <v>#VALUE!</v>
      </c>
      <c r="V32" s="1570" t="e">
        <f>+G32-UNRESTRICTED!G32-RESTRICTED!G32</f>
        <v>#VALUE!</v>
      </c>
      <c r="W32" s="1570" t="e">
        <f>+H32-UNRESTRICTED!H32-RESTRICTED!H32</f>
        <v>#VALUE!</v>
      </c>
      <c r="X32" s="1570" t="e">
        <f>+I32-UNRESTRICTED!I32-RESTRICTED!I32</f>
        <v>#VALUE!</v>
      </c>
      <c r="Y32" s="797"/>
    </row>
    <row r="33" spans="1:25" s="233" customFormat="1" ht="16.5" customHeight="1" x14ac:dyDescent="0.25">
      <c r="A33" s="1333"/>
      <c r="B33" s="737"/>
      <c r="C33" s="737" t="s">
        <v>364</v>
      </c>
      <c r="D33" s="737"/>
      <c r="E33" s="625">
        <f>UNRESTRICTED!E33+RESTRICTED!E33</f>
        <v>0</v>
      </c>
      <c r="F33" s="1223"/>
      <c r="G33" s="1163"/>
      <c r="H33" s="1256"/>
      <c r="I33" s="653"/>
      <c r="J33" s="1256">
        <f>UNRESTRICTED!J33+RESTRICTED!J33</f>
        <v>0</v>
      </c>
      <c r="K33" s="653">
        <f>UNRESTRICTED!K33+RESTRICTED!K33</f>
        <v>0</v>
      </c>
      <c r="L33" s="1256">
        <f>UNRESTRICTED!L33+RESTRICTED!L33</f>
        <v>0</v>
      </c>
      <c r="M33" s="1963">
        <f t="shared" si="8"/>
        <v>0</v>
      </c>
      <c r="N33" s="1940">
        <f t="shared" si="9"/>
        <v>0</v>
      </c>
      <c r="O33" s="1963">
        <f t="shared" si="10"/>
        <v>0</v>
      </c>
      <c r="P33" s="1940">
        <f t="shared" si="11"/>
        <v>0</v>
      </c>
      <c r="Q33" s="1963">
        <f t="shared" si="12"/>
        <v>0</v>
      </c>
      <c r="R33" s="1940">
        <f t="shared" si="13"/>
        <v>0</v>
      </c>
      <c r="S33" s="239"/>
      <c r="T33" s="239"/>
      <c r="U33" s="1570">
        <f>+F33-UNRESTRICTED!F33-RESTRICTED!F33</f>
        <v>0</v>
      </c>
      <c r="V33" s="1570">
        <f>+G33-UNRESTRICTED!G33-RESTRICTED!G33</f>
        <v>0</v>
      </c>
      <c r="W33" s="1570">
        <f>+H33-UNRESTRICTED!H33-RESTRICTED!H33</f>
        <v>0</v>
      </c>
      <c r="X33" s="1570">
        <f>+I33-UNRESTRICTED!I33-RESTRICTED!I33</f>
        <v>0</v>
      </c>
      <c r="Y33" s="797"/>
    </row>
    <row r="34" spans="1:25" s="242" customFormat="1" ht="16.5" customHeight="1" x14ac:dyDescent="0.25">
      <c r="A34" s="1436"/>
      <c r="B34" s="1335"/>
      <c r="C34" s="1335"/>
      <c r="D34" s="1359" t="s">
        <v>76</v>
      </c>
      <c r="E34" s="626">
        <f>UNRESTRICTED!E34+RESTRICTED!E34</f>
        <v>0</v>
      </c>
      <c r="F34" s="1224">
        <f>UNRESTRICTED!F34+RESTRICTED!F34</f>
        <v>4866944.53</v>
      </c>
      <c r="G34" s="1162">
        <f>UNRESTRICTED!G34+RESTRICTED!G34</f>
        <v>5760501</v>
      </c>
      <c r="H34" s="1244">
        <f>UNRESTRICTED!H34+RESTRICTED!H34</f>
        <v>6363900</v>
      </c>
      <c r="I34" s="654">
        <f>UNRESTRICTED!I34+RESTRICTED!I34</f>
        <v>7112574</v>
      </c>
      <c r="J34" s="1244">
        <f>UNRESTRICTED!J34+RESTRICTED!J34</f>
        <v>7609547.0901886756</v>
      </c>
      <c r="K34" s="654">
        <f>UNRESTRICTED!K34+RESTRICTED!K34</f>
        <v>8471796.4247405529</v>
      </c>
      <c r="L34" s="1244">
        <f>UNRESTRICTED!L34+RESTRICTED!L34</f>
        <v>9358201.0912336912</v>
      </c>
      <c r="M34" s="1963">
        <f t="shared" si="8"/>
        <v>893556.46999999974</v>
      </c>
      <c r="N34" s="1940">
        <f t="shared" si="9"/>
        <v>0.18359701132652928</v>
      </c>
      <c r="O34" s="1963">
        <f t="shared" si="10"/>
        <v>603399</v>
      </c>
      <c r="P34" s="1940">
        <f t="shared" si="11"/>
        <v>0.10474765996915893</v>
      </c>
      <c r="Q34" s="1963">
        <f t="shared" si="12"/>
        <v>748674</v>
      </c>
      <c r="R34" s="1940">
        <f t="shared" si="13"/>
        <v>0.11764389760995615</v>
      </c>
      <c r="S34" s="241"/>
      <c r="T34" s="241"/>
      <c r="U34" s="1570">
        <f>+F34-UNRESTRICTED!F34-RESTRICTED!F34</f>
        <v>0</v>
      </c>
      <c r="V34" s="1570">
        <f>+G34-UNRESTRICTED!G34-RESTRICTED!G34</f>
        <v>0</v>
      </c>
      <c r="W34" s="1570">
        <f>+H34-UNRESTRICTED!H34-RESTRICTED!H34</f>
        <v>0</v>
      </c>
      <c r="X34" s="1570">
        <f>+I34-UNRESTRICTED!I34-RESTRICTED!I34</f>
        <v>0</v>
      </c>
      <c r="Y34" s="798"/>
    </row>
    <row r="35" spans="1:25" s="242" customFormat="1" ht="16.5" customHeight="1" x14ac:dyDescent="0.25">
      <c r="A35" s="1436"/>
      <c r="B35" s="1335"/>
      <c r="C35" s="1335"/>
      <c r="D35" s="1359" t="s">
        <v>77</v>
      </c>
      <c r="E35" s="626">
        <f>UNRESTRICTED!E35+RESTRICTED!E35</f>
        <v>0</v>
      </c>
      <c r="F35" s="1224">
        <f>UNRESTRICTED!F35+RESTRICTED!F35</f>
        <v>1428052.88</v>
      </c>
      <c r="G35" s="1162">
        <f>UNRESTRICTED!G35+RESTRICTED!G35</f>
        <v>1805544</v>
      </c>
      <c r="H35" s="1244">
        <f>UNRESTRICTED!H35+RESTRICTED!H35</f>
        <v>2310537</v>
      </c>
      <c r="I35" s="654">
        <f>UNRESTRICTED!I35+RESTRICTED!I35</f>
        <v>2695398</v>
      </c>
      <c r="J35" s="1244">
        <f>UNRESTRICTED!J35+RESTRICTED!J35</f>
        <v>3129061.9013043996</v>
      </c>
      <c r="K35" s="654">
        <f>UNRESTRICTED!K35+RESTRICTED!K35</f>
        <v>3367323.0002952889</v>
      </c>
      <c r="L35" s="1244">
        <f>UNRESTRICTED!L35+RESTRICTED!L35</f>
        <v>3547296.2106519798</v>
      </c>
      <c r="M35" s="1963">
        <f t="shared" si="8"/>
        <v>377491.12000000011</v>
      </c>
      <c r="N35" s="1940">
        <f t="shared" si="9"/>
        <v>0.26433973509440362</v>
      </c>
      <c r="O35" s="1963">
        <f t="shared" si="10"/>
        <v>504993</v>
      </c>
      <c r="P35" s="1940">
        <f t="shared" si="11"/>
        <v>0.2796902207866438</v>
      </c>
      <c r="Q35" s="1963">
        <f t="shared" si="12"/>
        <v>384861</v>
      </c>
      <c r="R35" s="1940">
        <f t="shared" si="13"/>
        <v>0.16656777190756955</v>
      </c>
      <c r="S35" s="241"/>
      <c r="T35" s="241"/>
      <c r="U35" s="1570">
        <f>+F35-UNRESTRICTED!F35-RESTRICTED!F35</f>
        <v>0</v>
      </c>
      <c r="V35" s="1570">
        <f>+G35-UNRESTRICTED!G35-RESTRICTED!G35</f>
        <v>0</v>
      </c>
      <c r="W35" s="1570">
        <f>+H35-UNRESTRICTED!H35-RESTRICTED!H35</f>
        <v>0</v>
      </c>
      <c r="X35" s="1570">
        <f>+I35-UNRESTRICTED!I35-RESTRICTED!I35</f>
        <v>0</v>
      </c>
      <c r="Y35" s="798"/>
    </row>
    <row r="36" spans="1:25" s="233" customFormat="1" ht="16.5" customHeight="1" x14ac:dyDescent="0.25">
      <c r="A36" s="1333"/>
      <c r="B36" s="737"/>
      <c r="C36" s="737"/>
      <c r="D36" s="1356" t="s">
        <v>404</v>
      </c>
      <c r="E36" s="625">
        <f>UNRESTRICTED!E36+RESTRICTED!E36</f>
        <v>0</v>
      </c>
      <c r="F36" s="1223">
        <f>UNRESTRICTED!F36+RESTRICTED!F36</f>
        <v>642895.71</v>
      </c>
      <c r="G36" s="1163">
        <f>UNRESTRICTED!G36+RESTRICTED!G36</f>
        <v>717092</v>
      </c>
      <c r="H36" s="1243">
        <f>UNRESTRICTED!H36+RESTRICTED!H36</f>
        <v>796926</v>
      </c>
      <c r="I36" s="653">
        <f>UNRESTRICTED!I36+RESTRICTED!I36</f>
        <v>809017</v>
      </c>
      <c r="J36" s="1243">
        <f>UNRESTRICTED!J36+RESTRICTED!J36</f>
        <v>779123.8469111356</v>
      </c>
      <c r="K36" s="653">
        <f>UNRESTRICTED!K36+RESTRICTED!K36</f>
        <v>790810.70461480261</v>
      </c>
      <c r="L36" s="1243">
        <f>UNRESTRICTED!L36+RESTRICTED!L36</f>
        <v>802672.86518402456</v>
      </c>
      <c r="M36" s="1963">
        <f t="shared" si="8"/>
        <v>74196.290000000037</v>
      </c>
      <c r="N36" s="1940">
        <f t="shared" si="9"/>
        <v>0.1154095273088695</v>
      </c>
      <c r="O36" s="1963">
        <f t="shared" si="10"/>
        <v>79834</v>
      </c>
      <c r="P36" s="1940">
        <f t="shared" si="11"/>
        <v>0.11133020588711072</v>
      </c>
      <c r="Q36" s="1963">
        <f t="shared" si="12"/>
        <v>12091</v>
      </c>
      <c r="R36" s="1940">
        <f t="shared" si="13"/>
        <v>1.5172048596732947E-2</v>
      </c>
      <c r="S36" s="239"/>
      <c r="T36" s="239"/>
      <c r="U36" s="1570">
        <f>+F36-UNRESTRICTED!F36-RESTRICTED!F36</f>
        <v>0</v>
      </c>
      <c r="V36" s="1570">
        <f>+G36-UNRESTRICTED!G36-RESTRICTED!G36</f>
        <v>0</v>
      </c>
      <c r="W36" s="1570">
        <f>+H36-UNRESTRICTED!H36-RESTRICTED!H36</f>
        <v>0</v>
      </c>
      <c r="X36" s="1570">
        <f>+I36-UNRESTRICTED!I36-RESTRICTED!I36</f>
        <v>0</v>
      </c>
      <c r="Y36" s="797"/>
    </row>
    <row r="37" spans="1:25" s="233" customFormat="1" ht="16.5" customHeight="1" x14ac:dyDescent="0.25">
      <c r="A37" s="1333"/>
      <c r="B37" s="737"/>
      <c r="C37" s="737"/>
      <c r="D37" s="1356" t="s">
        <v>79</v>
      </c>
      <c r="E37" s="625">
        <f>UNRESTRICTED!E37+RESTRICTED!E37</f>
        <v>0</v>
      </c>
      <c r="F37" s="1223">
        <f>UNRESTRICTED!F37+RESTRICTED!F37</f>
        <v>682476.8</v>
      </c>
      <c r="G37" s="1163">
        <f>UNRESTRICTED!G37+RESTRICTED!G37</f>
        <v>734594</v>
      </c>
      <c r="H37" s="1243">
        <f>UNRESTRICTED!H37+RESTRICTED!H37</f>
        <v>752446</v>
      </c>
      <c r="I37" s="653">
        <f>UNRESTRICTED!I37+RESTRICTED!I37</f>
        <v>757396</v>
      </c>
      <c r="J37" s="1243">
        <f>UNRESTRICTED!J37+RESTRICTED!J37</f>
        <v>759902.57795136038</v>
      </c>
      <c r="K37" s="653">
        <f>UNRESTRICTED!K37+RESTRICTED!K37</f>
        <v>771301.11662063072</v>
      </c>
      <c r="L37" s="1243">
        <f>UNRESTRICTED!L37+RESTRICTED!L37</f>
        <v>782870.6333699401</v>
      </c>
      <c r="M37" s="1963">
        <f t="shared" si="8"/>
        <v>52117.199999999953</v>
      </c>
      <c r="N37" s="1940">
        <f t="shared" si="9"/>
        <v>7.6364793645732648E-2</v>
      </c>
      <c r="O37" s="1963">
        <f t="shared" si="10"/>
        <v>17852</v>
      </c>
      <c r="P37" s="1940">
        <f t="shared" si="11"/>
        <v>2.4301859258311395E-2</v>
      </c>
      <c r="Q37" s="1963">
        <f t="shared" si="12"/>
        <v>4950</v>
      </c>
      <c r="R37" s="1940">
        <f t="shared" si="13"/>
        <v>6.5785451713478446E-3</v>
      </c>
      <c r="S37" s="239"/>
      <c r="T37" s="239"/>
      <c r="U37" s="1570">
        <f>+F37-UNRESTRICTED!F37-RESTRICTED!F37</f>
        <v>0</v>
      </c>
      <c r="V37" s="1570">
        <f>+G37-UNRESTRICTED!G37-RESTRICTED!G37</f>
        <v>0</v>
      </c>
      <c r="W37" s="1570">
        <f>+H37-UNRESTRICTED!H37-RESTRICTED!H37</f>
        <v>0</v>
      </c>
      <c r="X37" s="1570">
        <f>+I37-UNRESTRICTED!I37-RESTRICTED!I37</f>
        <v>0</v>
      </c>
      <c r="Y37" s="797"/>
    </row>
    <row r="38" spans="1:25" s="233" customFormat="1" ht="16.5" customHeight="1" x14ac:dyDescent="0.25">
      <c r="A38" s="1333"/>
      <c r="B38" s="737"/>
      <c r="C38" s="737"/>
      <c r="D38" s="1356" t="s">
        <v>80</v>
      </c>
      <c r="E38" s="625">
        <f>UNRESTRICTED!E38+RESTRICTED!E39</f>
        <v>0</v>
      </c>
      <c r="F38" s="1223">
        <f>+UNRESTRICTED!F38+RESTRICTED!F38</f>
        <v>4756416.8600000003</v>
      </c>
      <c r="G38" s="1163">
        <f>+UNRESTRICTED!G38+RESTRICTED!G38</f>
        <v>4890900.63</v>
      </c>
      <c r="H38" s="1243">
        <f>+UNRESTRICTED!H38+RESTRICTED!H38</f>
        <v>5225719</v>
      </c>
      <c r="I38" s="653">
        <f>+UNRESTRICTED!I38+RESTRICTED!I38</f>
        <v>5591521</v>
      </c>
      <c r="J38" s="1243">
        <f>UNRESTRICTED!J38+RESTRICTED!J39</f>
        <v>26203.537170736563</v>
      </c>
      <c r="K38" s="653">
        <f>UNRESTRICTED!K38+RESTRICTED!K39</f>
        <v>26596.590228297613</v>
      </c>
      <c r="L38" s="1243">
        <f>UNRESTRICTED!L38+RESTRICTED!L39</f>
        <v>26995.539081722076</v>
      </c>
      <c r="M38" s="1963">
        <f t="shared" si="8"/>
        <v>134483.76999999955</v>
      </c>
      <c r="N38" s="1940">
        <f t="shared" si="9"/>
        <v>2.8274176540531298E-2</v>
      </c>
      <c r="O38" s="1963">
        <f t="shared" si="10"/>
        <v>334818.37000000011</v>
      </c>
      <c r="P38" s="1940">
        <f t="shared" si="11"/>
        <v>6.8457405972690982E-2</v>
      </c>
      <c r="Q38" s="1963">
        <f t="shared" si="12"/>
        <v>365802</v>
      </c>
      <c r="R38" s="1940">
        <f t="shared" si="13"/>
        <v>7.0000319573249148E-2</v>
      </c>
      <c r="S38" s="239"/>
      <c r="T38" s="239"/>
      <c r="U38" s="1570">
        <f>+F38-UNRESTRICTED!F38-RESTRICTED!F38</f>
        <v>0</v>
      </c>
      <c r="V38" s="1570">
        <f>+G38-UNRESTRICTED!G38-RESTRICTED!G38</f>
        <v>0</v>
      </c>
      <c r="W38" s="1570">
        <f>+H38-UNRESTRICTED!H38-RESTRICTED!H38</f>
        <v>0</v>
      </c>
      <c r="X38" s="1570">
        <f>+I38-UNRESTRICTED!I38-RESTRICTED!I38</f>
        <v>0</v>
      </c>
      <c r="Y38" s="797"/>
    </row>
    <row r="39" spans="1:25" s="233" customFormat="1" ht="16.5" customHeight="1" x14ac:dyDescent="0.25">
      <c r="A39" s="1333"/>
      <c r="B39" s="737"/>
      <c r="C39" s="737"/>
      <c r="D39" s="1356" t="s">
        <v>81</v>
      </c>
      <c r="E39" s="625">
        <f>UNRESTRICTED!E39+RESTRICTED!E40</f>
        <v>0</v>
      </c>
      <c r="F39" s="1223">
        <f>+UNRESTRICTED!F39+RESTRICTED!F39</f>
        <v>23583.059999999998</v>
      </c>
      <c r="G39" s="1163">
        <f>+UNRESTRICTED!G39+RESTRICTED!G39</f>
        <v>26312</v>
      </c>
      <c r="H39" s="1243">
        <f>+UNRESTRICTED!H39+RESTRICTED!H39</f>
        <v>25946</v>
      </c>
      <c r="I39" s="653">
        <f>+UNRESTRICTED!I39+RESTRICTED!I39</f>
        <v>26118</v>
      </c>
      <c r="J39" s="1243">
        <f>UNRESTRICTED!J39+RESTRICTED!J40</f>
        <v>524070.74341473135</v>
      </c>
      <c r="K39" s="653">
        <f>UNRESTRICTED!K39+RESTRICTED!K40</f>
        <v>531931.80456595216</v>
      </c>
      <c r="L39" s="1243">
        <f>UNRESTRICTED!L39+RESTRICTED!L40</f>
        <v>539910.78163444146</v>
      </c>
      <c r="M39" s="1963">
        <f t="shared" si="8"/>
        <v>2728.9400000000023</v>
      </c>
      <c r="N39" s="1940">
        <f t="shared" si="9"/>
        <v>0.11571611148002009</v>
      </c>
      <c r="O39" s="1963">
        <f t="shared" si="10"/>
        <v>-366</v>
      </c>
      <c r="P39" s="1940">
        <f t="shared" si="11"/>
        <v>-1.3910003040437824E-2</v>
      </c>
      <c r="Q39" s="1963">
        <f t="shared" si="12"/>
        <v>172</v>
      </c>
      <c r="R39" s="1940">
        <f t="shared" si="13"/>
        <v>6.6291528559315497E-3</v>
      </c>
      <c r="S39" s="239"/>
      <c r="T39" s="239"/>
      <c r="U39" s="1570">
        <f>+F39-UNRESTRICTED!F39-RESTRICTED!F39</f>
        <v>0</v>
      </c>
      <c r="V39" s="1570">
        <f>+G39-UNRESTRICTED!G39-RESTRICTED!G39</f>
        <v>0</v>
      </c>
      <c r="W39" s="1570">
        <f>+H39-UNRESTRICTED!H39-RESTRICTED!H39</f>
        <v>0</v>
      </c>
      <c r="X39" s="1570">
        <f>+I39-UNRESTRICTED!I39-RESTRICTED!I39</f>
        <v>0</v>
      </c>
      <c r="Y39" s="797"/>
    </row>
    <row r="40" spans="1:25" s="246" customFormat="1" ht="18" x14ac:dyDescent="0.25">
      <c r="A40" s="1354"/>
      <c r="B40" s="1356"/>
      <c r="C40" s="1356"/>
      <c r="D40" s="1356" t="s">
        <v>82</v>
      </c>
      <c r="E40" s="627">
        <f>UNRESTRICTED!E40+RESTRICTED!E38</f>
        <v>0</v>
      </c>
      <c r="F40" s="1223">
        <f>+UNRESTRICTED!F40+RESTRICTED!F40</f>
        <v>517909.78</v>
      </c>
      <c r="G40" s="1174">
        <f>+UNRESTRICTED!G40+RESTRICTED!G40</f>
        <v>575414</v>
      </c>
      <c r="H40" s="1257">
        <f>+UNRESTRICTED!H40+RESTRICTED!H40</f>
        <v>415144</v>
      </c>
      <c r="I40" s="662">
        <f>+UNRESTRICTED!I40+RESTRICTED!I40</f>
        <v>417877</v>
      </c>
      <c r="J40" s="1257">
        <f>UNRESTRICTED!J40+RESTRICTED!J38</f>
        <v>6897745.6706393715</v>
      </c>
      <c r="K40" s="662">
        <f>UNRESTRICTED!K40+RESTRICTED!K38</f>
        <v>7242632.9541713409</v>
      </c>
      <c r="L40" s="1257">
        <f>UNRESTRICTED!L40+RESTRICTED!L38</f>
        <v>7604764.6018799078</v>
      </c>
      <c r="M40" s="1963">
        <f t="shared" si="8"/>
        <v>57504.219999999972</v>
      </c>
      <c r="N40" s="1940">
        <f t="shared" si="9"/>
        <v>0.11103134603868645</v>
      </c>
      <c r="O40" s="1963">
        <f t="shared" si="10"/>
        <v>-160270</v>
      </c>
      <c r="P40" s="1940">
        <f t="shared" si="11"/>
        <v>-0.27852989325946187</v>
      </c>
      <c r="Q40" s="1963">
        <f t="shared" si="12"/>
        <v>2733</v>
      </c>
      <c r="R40" s="1940">
        <f t="shared" si="13"/>
        <v>6.5832578575145007E-3</v>
      </c>
      <c r="S40" s="245"/>
      <c r="T40" s="245"/>
      <c r="U40" s="1570">
        <f>+F40-UNRESTRICTED!F40-RESTRICTED!F40</f>
        <v>0</v>
      </c>
      <c r="V40" s="1570">
        <f>+G40-UNRESTRICTED!G40-RESTRICTED!G40</f>
        <v>0</v>
      </c>
      <c r="W40" s="1570">
        <f>+H40-UNRESTRICTED!H40-RESTRICTED!H40</f>
        <v>0</v>
      </c>
      <c r="X40" s="1570">
        <f>+I40-UNRESTRICTED!I40-RESTRICTED!I40</f>
        <v>0</v>
      </c>
      <c r="Y40" s="800"/>
    </row>
    <row r="41" spans="1:25" s="246" customFormat="1" ht="18" x14ac:dyDescent="0.25">
      <c r="A41" s="1354"/>
      <c r="B41" s="1356"/>
      <c r="C41" s="1356"/>
      <c r="D41" s="1356" t="s">
        <v>92</v>
      </c>
      <c r="E41" s="627"/>
      <c r="F41" s="1223">
        <f>+UNRESTRICTED!F41+RESTRICTED!F41</f>
        <v>417237.2</v>
      </c>
      <c r="G41" s="1174">
        <f>+UNRESTRICTED!G41+RESTRICTED!G41</f>
        <v>477077</v>
      </c>
      <c r="H41" s="1257">
        <f>+UNRESTRICTED!H41+RESTRICTED!H41</f>
        <v>476077</v>
      </c>
      <c r="I41" s="662">
        <f>+UNRESTRICTED!I41+RESTRICTED!I41</f>
        <v>476077</v>
      </c>
      <c r="J41" s="1257"/>
      <c r="K41" s="662"/>
      <c r="L41" s="1257"/>
      <c r="M41" s="1963">
        <f t="shared" si="8"/>
        <v>59839.799999999988</v>
      </c>
      <c r="N41" s="1940">
        <f t="shared" si="9"/>
        <v>0.1434191390412935</v>
      </c>
      <c r="O41" s="1963">
        <f t="shared" si="10"/>
        <v>-1000</v>
      </c>
      <c r="P41" s="1940">
        <f t="shared" si="11"/>
        <v>-2.0960976949213647E-3</v>
      </c>
      <c r="Q41" s="1963">
        <f t="shared" si="12"/>
        <v>0</v>
      </c>
      <c r="R41" s="1940">
        <f t="shared" si="13"/>
        <v>0</v>
      </c>
      <c r="S41" s="245"/>
      <c r="T41" s="245"/>
      <c r="U41" s="1570">
        <f>+F41-UNRESTRICTED!F41-RESTRICTED!F41</f>
        <v>0</v>
      </c>
      <c r="V41" s="1570">
        <f>+G41-UNRESTRICTED!G41-RESTRICTED!G41</f>
        <v>0</v>
      </c>
      <c r="W41" s="1570">
        <f>+H41-UNRESTRICTED!H41-RESTRICTED!H41</f>
        <v>0</v>
      </c>
      <c r="X41" s="1570">
        <f>+I41-UNRESTRICTED!I41-RESTRICTED!I41</f>
        <v>0</v>
      </c>
      <c r="Y41" s="800"/>
    </row>
    <row r="42" spans="1:25" s="246" customFormat="1" ht="18" x14ac:dyDescent="0.25">
      <c r="A42" s="1354"/>
      <c r="B42" s="1356"/>
      <c r="C42" s="1356"/>
      <c r="D42" s="1356" t="s">
        <v>93</v>
      </c>
      <c r="E42" s="627"/>
      <c r="F42" s="1223">
        <f>+UNRESTRICTED!F42+RESTRICTED!F42</f>
        <v>304242.17000000004</v>
      </c>
      <c r="G42" s="1174">
        <f>+UNRESTRICTED!G42+RESTRICTED!G42</f>
        <v>330586</v>
      </c>
      <c r="H42" s="1257">
        <f>+UNRESTRICTED!H42+RESTRICTED!H42</f>
        <v>330586</v>
      </c>
      <c r="I42" s="662">
        <f>+UNRESTRICTED!I42+RESTRICTED!I42</f>
        <v>330586</v>
      </c>
      <c r="J42" s="1257"/>
      <c r="K42" s="662"/>
      <c r="L42" s="1257"/>
      <c r="M42" s="1963">
        <f t="shared" si="8"/>
        <v>26343.829999999958</v>
      </c>
      <c r="N42" s="1940">
        <f t="shared" si="9"/>
        <v>8.6588358214773301E-2</v>
      </c>
      <c r="O42" s="1963">
        <f t="shared" si="10"/>
        <v>0</v>
      </c>
      <c r="P42" s="1940">
        <f t="shared" si="11"/>
        <v>0</v>
      </c>
      <c r="Q42" s="1963">
        <f t="shared" si="12"/>
        <v>0</v>
      </c>
      <c r="R42" s="1940">
        <f t="shared" si="13"/>
        <v>0</v>
      </c>
      <c r="S42" s="245"/>
      <c r="T42" s="245"/>
      <c r="U42" s="1570">
        <f>+F42-UNRESTRICTED!F42-RESTRICTED!F42</f>
        <v>0</v>
      </c>
      <c r="V42" s="1570">
        <f>+G42-UNRESTRICTED!G42-RESTRICTED!G42</f>
        <v>0</v>
      </c>
      <c r="W42" s="1570">
        <f>+H42-UNRESTRICTED!H42-RESTRICTED!H42</f>
        <v>0</v>
      </c>
      <c r="X42" s="1570">
        <f>+I42-UNRESTRICTED!I42-RESTRICTED!I42</f>
        <v>0</v>
      </c>
      <c r="Y42" s="800"/>
    </row>
    <row r="43" spans="1:25" s="233" customFormat="1" ht="27" customHeight="1" x14ac:dyDescent="0.25">
      <c r="A43" s="1333"/>
      <c r="B43" s="737"/>
      <c r="C43" s="737" t="s">
        <v>365</v>
      </c>
      <c r="D43" s="737"/>
      <c r="E43" s="625">
        <f>UNRESTRICTED!E43+RESTRICTED!E43</f>
        <v>0</v>
      </c>
      <c r="F43" s="1210">
        <f>UNRESTRICTED!F43+RESTRICTED!F43</f>
        <v>1814731.7200000002</v>
      </c>
      <c r="G43" s="1163">
        <f>UNRESTRICTED!G43+RESTRICTED!G43</f>
        <v>1841496.08</v>
      </c>
      <c r="H43" s="1243">
        <f>UNRESTRICTED!H43+RESTRICTED!H43</f>
        <v>1487903</v>
      </c>
      <c r="I43" s="653">
        <f>UNRESTRICTED!I43+RESTRICTED!I43</f>
        <v>1512403</v>
      </c>
      <c r="J43" s="1243" t="e">
        <f>UNRESTRICTED!J43+RESTRICTED!J43</f>
        <v>#REF!</v>
      </c>
      <c r="K43" s="653" t="e">
        <f>UNRESTRICTED!K43+RESTRICTED!K43</f>
        <v>#REF!</v>
      </c>
      <c r="L43" s="1243" t="e">
        <f>UNRESTRICTED!L43+RESTRICTED!L43</f>
        <v>#REF!</v>
      </c>
      <c r="M43" s="1963">
        <f t="shared" si="8"/>
        <v>26764.35999999987</v>
      </c>
      <c r="N43" s="1940">
        <f t="shared" si="9"/>
        <v>1.4748383854777095E-2</v>
      </c>
      <c r="O43" s="1963">
        <f t="shared" si="10"/>
        <v>-353593.08000000007</v>
      </c>
      <c r="P43" s="1940">
        <f t="shared" si="11"/>
        <v>-0.19201402807221835</v>
      </c>
      <c r="Q43" s="1963">
        <f t="shared" si="12"/>
        <v>24500</v>
      </c>
      <c r="R43" s="1940">
        <f t="shared" si="13"/>
        <v>1.6466127160171061E-2</v>
      </c>
      <c r="S43" s="239"/>
      <c r="T43" s="239"/>
      <c r="U43" s="1570">
        <f>+F43-UNRESTRICTED!F43-RESTRICTED!F43</f>
        <v>0</v>
      </c>
      <c r="V43" s="1570">
        <f>+G43-UNRESTRICTED!G43-RESTRICTED!G43</f>
        <v>0</v>
      </c>
      <c r="W43" s="1570">
        <f>+H43-UNRESTRICTED!H43-RESTRICTED!H43</f>
        <v>0</v>
      </c>
      <c r="X43" s="1570">
        <f>+I43-UNRESTRICTED!I43-RESTRICTED!I43</f>
        <v>0</v>
      </c>
      <c r="Y43" s="797"/>
    </row>
    <row r="44" spans="1:25" s="248" customFormat="1" ht="18" x14ac:dyDescent="0.25">
      <c r="A44" s="1357"/>
      <c r="B44" s="1359"/>
      <c r="C44" s="1359"/>
      <c r="D44" s="1360" t="s">
        <v>694</v>
      </c>
      <c r="E44" s="628">
        <f>UNRESTRICTED!E44+RESTRICTED!E44</f>
        <v>0</v>
      </c>
      <c r="F44" s="1225">
        <f>UNRESTRICTED!F44+RESTRICTED!F44</f>
        <v>2573856.8199999998</v>
      </c>
      <c r="G44" s="1175">
        <f>UNRESTRICTED!G44+RESTRICTED!G44</f>
        <v>1612840</v>
      </c>
      <c r="H44" s="1258">
        <f>UNRESTRICTED!H44+RESTRICTED!H44</f>
        <v>2190667</v>
      </c>
      <c r="I44" s="663">
        <f>UNRESTRICTED!I44+RESTRICTED!I44</f>
        <v>427605</v>
      </c>
      <c r="J44" s="1258">
        <f>UNRESTRICTED!J44+RESTRICTED!J44</f>
        <v>750000</v>
      </c>
      <c r="K44" s="663">
        <f>UNRESTRICTED!K44+RESTRICTED!K44</f>
        <v>350000</v>
      </c>
      <c r="L44" s="1258">
        <f>UNRESTRICTED!L44+RESTRICTED!L44</f>
        <v>2550000</v>
      </c>
      <c r="M44" s="1963">
        <f t="shared" si="8"/>
        <v>-961016.81999999983</v>
      </c>
      <c r="N44" s="1940">
        <f t="shared" si="9"/>
        <v>-0.37337617715658322</v>
      </c>
      <c r="O44" s="1963">
        <f t="shared" si="10"/>
        <v>577827</v>
      </c>
      <c r="P44" s="1940">
        <f t="shared" si="11"/>
        <v>0.35826678405793505</v>
      </c>
      <c r="Q44" s="1963">
        <f t="shared" si="12"/>
        <v>-1763062</v>
      </c>
      <c r="R44" s="1940">
        <f t="shared" si="13"/>
        <v>-0.80480602483170649</v>
      </c>
      <c r="S44" s="247"/>
      <c r="T44" s="247"/>
      <c r="U44" s="1570">
        <f>+F44-UNRESTRICTED!F44-RESTRICTED!F44</f>
        <v>0</v>
      </c>
      <c r="V44" s="1570">
        <f>+G44-UNRESTRICTED!G44-RESTRICTED!G44</f>
        <v>0</v>
      </c>
      <c r="W44" s="1570">
        <f>+H44-UNRESTRICTED!H44-RESTRICTED!H44</f>
        <v>0</v>
      </c>
      <c r="X44" s="1570">
        <f>+I44-UNRESTRICTED!I44-RESTRICTED!I44</f>
        <v>0</v>
      </c>
      <c r="Y44" s="801"/>
    </row>
    <row r="45" spans="1:25" s="233" customFormat="1" ht="21" customHeight="1" x14ac:dyDescent="0.25">
      <c r="A45" s="1333"/>
      <c r="B45" s="737"/>
      <c r="C45" s="737" t="s">
        <v>366</v>
      </c>
      <c r="D45" s="737"/>
      <c r="E45" s="625">
        <f>+UNRESTRICTED!E45+RESTRICTED!E45</f>
        <v>0</v>
      </c>
      <c r="F45" s="1210">
        <f>+UNRESTRICTED!F45+RESTRICTED!F45</f>
        <v>8292403.5700000003</v>
      </c>
      <c r="G45" s="1163">
        <f>+UNRESTRICTED!G45+RESTRICTED!G45</f>
        <v>9320137.0500000007</v>
      </c>
      <c r="H45" s="1243">
        <f>+UNRESTRICTED!H45+RESTRICTED!H45</f>
        <v>7548375.9000000004</v>
      </c>
      <c r="I45" s="653">
        <f>+UNRESTRICTED!I45+RESTRICTED!I45</f>
        <v>7444461</v>
      </c>
      <c r="J45" s="1243" t="e">
        <f>+UNRESTRICTED!J45+RESTRICTED!J45</f>
        <v>#REF!</v>
      </c>
      <c r="K45" s="653" t="e">
        <f>+UNRESTRICTED!K45+RESTRICTED!K45</f>
        <v>#REF!</v>
      </c>
      <c r="L45" s="1243" t="e">
        <f>+UNRESTRICTED!L45+RESTRICTED!L45</f>
        <v>#REF!</v>
      </c>
      <c r="M45" s="1963">
        <f t="shared" si="8"/>
        <v>1027733.4800000004</v>
      </c>
      <c r="N45" s="1940">
        <f t="shared" si="9"/>
        <v>0.12393674178112878</v>
      </c>
      <c r="O45" s="1963">
        <f t="shared" si="10"/>
        <v>-1771761.1500000004</v>
      </c>
      <c r="P45" s="1940">
        <f t="shared" si="11"/>
        <v>-0.19010033226925566</v>
      </c>
      <c r="Q45" s="1963">
        <f t="shared" si="12"/>
        <v>-103914.90000000037</v>
      </c>
      <c r="R45" s="1940">
        <f t="shared" si="13"/>
        <v>-1.3766524266498223E-2</v>
      </c>
      <c r="S45" s="239"/>
      <c r="T45" s="239"/>
      <c r="U45" s="1570">
        <f>+F45-UNRESTRICTED!F45-RESTRICTED!F45</f>
        <v>0</v>
      </c>
      <c r="V45" s="1570">
        <f>+G45-UNRESTRICTED!G45-RESTRICTED!G45</f>
        <v>0</v>
      </c>
      <c r="W45" s="1570">
        <f>+H45-UNRESTRICTED!H45-RESTRICTED!H45</f>
        <v>0</v>
      </c>
      <c r="X45" s="1570">
        <f>+I45-UNRESTRICTED!I45-RESTRICTED!I45</f>
        <v>0</v>
      </c>
      <c r="Y45" s="797"/>
    </row>
    <row r="46" spans="1:25" s="233" customFormat="1" ht="16.5" customHeight="1" x14ac:dyDescent="0.25">
      <c r="A46" s="1333"/>
      <c r="B46" s="737"/>
      <c r="C46" s="737"/>
      <c r="D46" s="1335" t="str">
        <f>+UNRESTRICTED!D46</f>
        <v>Printing Services for Adopted Textbook Consumables</v>
      </c>
      <c r="E46" s="625"/>
      <c r="F46" s="1211">
        <f>+UNRESTRICTED!F46</f>
        <v>33700.58</v>
      </c>
      <c r="G46" s="1162">
        <f>+UNRESTRICTED!G46</f>
        <v>48500</v>
      </c>
      <c r="H46" s="1244">
        <f>+UNRESTRICTED!H46</f>
        <v>48500</v>
      </c>
      <c r="I46" s="654">
        <f>+UNRESTRICTED!I46</f>
        <v>48500</v>
      </c>
      <c r="J46" s="1244"/>
      <c r="K46" s="654"/>
      <c r="L46" s="1244"/>
      <c r="M46" s="1963">
        <f t="shared" si="8"/>
        <v>14799.419999999998</v>
      </c>
      <c r="N46" s="1940">
        <f t="shared" si="9"/>
        <v>0.43914437080904833</v>
      </c>
      <c r="O46" s="1963">
        <f t="shared" si="10"/>
        <v>0</v>
      </c>
      <c r="P46" s="1940">
        <f t="shared" si="11"/>
        <v>0</v>
      </c>
      <c r="Q46" s="1963">
        <f t="shared" si="12"/>
        <v>0</v>
      </c>
      <c r="R46" s="1940">
        <f t="shared" si="13"/>
        <v>0</v>
      </c>
      <c r="S46" s="239"/>
      <c r="T46" s="239"/>
      <c r="U46" s="1570">
        <f>+F46-UNRESTRICTED!F46-RESTRICTED!F46</f>
        <v>0</v>
      </c>
      <c r="V46" s="1570">
        <f>+G46-UNRESTRICTED!G46-RESTRICTED!G46</f>
        <v>0</v>
      </c>
      <c r="W46" s="1570">
        <f>+H46-UNRESTRICTED!H46-RESTRICTED!H46</f>
        <v>0</v>
      </c>
      <c r="X46" s="1570">
        <f>+I46-UNRESTRICTED!I46-RESTRICTED!I46</f>
        <v>0</v>
      </c>
      <c r="Y46" s="797"/>
    </row>
    <row r="47" spans="1:25" s="233" customFormat="1" ht="21" customHeight="1" x14ac:dyDescent="0.25">
      <c r="A47" s="1333"/>
      <c r="B47" s="737"/>
      <c r="C47" s="737" t="s">
        <v>338</v>
      </c>
      <c r="D47" s="737"/>
      <c r="E47" s="625">
        <f>+UNRESTRICTED!E47+RESTRICTED!E47</f>
        <v>0</v>
      </c>
      <c r="F47" s="1210">
        <f>+UNRESTRICTED!F47+RESTRICTED!F47</f>
        <v>1680374.5500000003</v>
      </c>
      <c r="G47" s="1163">
        <f>+UNRESTRICTED!G47+RESTRICTED!G47</f>
        <v>3711595.59</v>
      </c>
      <c r="H47" s="1243">
        <f>+UNRESTRICTED!H47+RESTRICTED!H47</f>
        <v>300000</v>
      </c>
      <c r="I47" s="653">
        <f>+UNRESTRICTED!I47+RESTRICTED!I47</f>
        <v>300000</v>
      </c>
      <c r="J47" s="1243" t="e">
        <f>+UNRESTRICTED!J47+RESTRICTED!J47</f>
        <v>#REF!</v>
      </c>
      <c r="K47" s="653" t="e">
        <f>+UNRESTRICTED!K47+RESTRICTED!K47</f>
        <v>#REF!</v>
      </c>
      <c r="L47" s="1243" t="e">
        <f>+UNRESTRICTED!L47+RESTRICTED!L47</f>
        <v>#REF!</v>
      </c>
      <c r="M47" s="1963">
        <f t="shared" si="8"/>
        <v>2031221.0399999996</v>
      </c>
      <c r="N47" s="1940">
        <f t="shared" si="9"/>
        <v>1.2087906472994365</v>
      </c>
      <c r="O47" s="1963">
        <f t="shared" si="10"/>
        <v>-3411595.59</v>
      </c>
      <c r="P47" s="1940">
        <f t="shared" si="11"/>
        <v>-0.9191722285670676</v>
      </c>
      <c r="Q47" s="1963">
        <f t="shared" si="12"/>
        <v>0</v>
      </c>
      <c r="R47" s="1940">
        <f t="shared" si="13"/>
        <v>0</v>
      </c>
      <c r="S47" s="239"/>
      <c r="T47" s="239"/>
      <c r="U47" s="1570">
        <f>+F47-UNRESTRICTED!F47-RESTRICTED!F47</f>
        <v>0</v>
      </c>
      <c r="V47" s="1570">
        <f>+G47-UNRESTRICTED!G47-RESTRICTED!G47</f>
        <v>0</v>
      </c>
      <c r="W47" s="1570">
        <f>+H47-UNRESTRICTED!H47-RESTRICTED!H47</f>
        <v>0</v>
      </c>
      <c r="X47" s="1570">
        <f>+I47-UNRESTRICTED!I47-RESTRICTED!I47</f>
        <v>0</v>
      </c>
      <c r="Y47" s="797"/>
    </row>
    <row r="48" spans="1:25" s="233" customFormat="1" ht="16.5" customHeight="1" x14ac:dyDescent="0.25">
      <c r="A48" s="1333"/>
      <c r="B48" s="737"/>
      <c r="C48" s="737" t="s">
        <v>398</v>
      </c>
      <c r="D48" s="737"/>
      <c r="E48" s="625">
        <f>+UNRESTRICTED!E48+RESTRICTED!E48</f>
        <v>0</v>
      </c>
      <c r="F48" s="1210">
        <f>+UNRESTRICTED!F48+RESTRICTED!F48</f>
        <v>1581094.7000000002</v>
      </c>
      <c r="G48" s="1163">
        <f>+UNRESTRICTED!G48+RESTRICTED!G48</f>
        <v>1724790</v>
      </c>
      <c r="H48" s="1243">
        <f>+UNRESTRICTED!H48+RESTRICTED!H48</f>
        <v>1724790</v>
      </c>
      <c r="I48" s="653">
        <f>+UNRESTRICTED!I48+RESTRICTED!I48</f>
        <v>1724790</v>
      </c>
      <c r="J48" s="1243" t="e">
        <f>+UNRESTRICTED!J48+RESTRICTED!J48</f>
        <v>#REF!</v>
      </c>
      <c r="K48" s="653" t="e">
        <f>+UNRESTRICTED!K48+RESTRICTED!K48</f>
        <v>#REF!</v>
      </c>
      <c r="L48" s="1243" t="e">
        <f>+UNRESTRICTED!L48+RESTRICTED!L48</f>
        <v>#REF!</v>
      </c>
      <c r="M48" s="1963">
        <f t="shared" si="8"/>
        <v>143695.29999999981</v>
      </c>
      <c r="N48" s="1940">
        <f t="shared" si="9"/>
        <v>9.0883423997310087E-2</v>
      </c>
      <c r="O48" s="1963">
        <f t="shared" si="10"/>
        <v>0</v>
      </c>
      <c r="P48" s="1940">
        <f t="shared" si="11"/>
        <v>0</v>
      </c>
      <c r="Q48" s="1963">
        <f t="shared" si="12"/>
        <v>0</v>
      </c>
      <c r="R48" s="1940">
        <f t="shared" si="13"/>
        <v>0</v>
      </c>
      <c r="S48" s="239"/>
      <c r="T48" s="239"/>
      <c r="U48" s="1570">
        <f>+F48-UNRESTRICTED!F48-RESTRICTED!F48</f>
        <v>0</v>
      </c>
      <c r="V48" s="1570">
        <f>+G48-UNRESTRICTED!G48-RESTRICTED!G48</f>
        <v>0</v>
      </c>
      <c r="W48" s="1570">
        <f>+H48-UNRESTRICTED!H48-RESTRICTED!H48</f>
        <v>0</v>
      </c>
      <c r="X48" s="1570">
        <f>+I48-UNRESTRICTED!I48-RESTRICTED!I48</f>
        <v>0</v>
      </c>
      <c r="Y48" s="797"/>
    </row>
    <row r="49" spans="1:25" s="233" customFormat="1" ht="16.5" customHeight="1" x14ac:dyDescent="0.25">
      <c r="A49" s="1344"/>
      <c r="B49" s="1346"/>
      <c r="C49" s="1346" t="s">
        <v>399</v>
      </c>
      <c r="D49" s="1346"/>
      <c r="E49" s="629">
        <f>+UNRESTRICTED!E49+RESTRICTED!E49</f>
        <v>0</v>
      </c>
      <c r="F49" s="1217">
        <f>+UNRESTRICTED!F49+RESTRICTED!F49</f>
        <v>-118817.66000000003</v>
      </c>
      <c r="G49" s="1198">
        <f>+UNRESTRICTED!G49+RESTRICTED!G49</f>
        <v>-147408</v>
      </c>
      <c r="H49" s="1250">
        <f>+UNRESTRICTED!H49+RESTRICTED!H49</f>
        <v>-171395</v>
      </c>
      <c r="I49" s="659">
        <f>+UNRESTRICTED!I49+RESTRICTED!I49</f>
        <v>-181565</v>
      </c>
      <c r="J49" s="1250" t="e">
        <f>+UNRESTRICTED!J49+RESTRICTED!J49</f>
        <v>#REF!</v>
      </c>
      <c r="K49" s="659" t="e">
        <f>+UNRESTRICTED!K49+RESTRICTED!K49</f>
        <v>#REF!</v>
      </c>
      <c r="L49" s="1250" t="e">
        <f>+UNRESTRICTED!L49+RESTRICTED!L49</f>
        <v>#REF!</v>
      </c>
      <c r="M49" s="1963">
        <f t="shared" si="8"/>
        <v>-28590.339999999967</v>
      </c>
      <c r="N49" s="1940">
        <f t="shared" si="9"/>
        <v>0.24062365813297418</v>
      </c>
      <c r="O49" s="1963">
        <f t="shared" si="10"/>
        <v>-23987</v>
      </c>
      <c r="P49" s="1940">
        <f t="shared" si="11"/>
        <v>0.16272522522522523</v>
      </c>
      <c r="Q49" s="1963">
        <f t="shared" si="12"/>
        <v>-10170</v>
      </c>
      <c r="R49" s="1940">
        <f t="shared" si="13"/>
        <v>5.9336620088100589E-2</v>
      </c>
      <c r="S49" s="239"/>
      <c r="T49" s="239"/>
      <c r="U49" s="1570">
        <f>+F49-UNRESTRICTED!F49-RESTRICTED!F49</f>
        <v>0</v>
      </c>
      <c r="V49" s="1570">
        <f>+G49-UNRESTRICTED!G49-RESTRICTED!G49</f>
        <v>0</v>
      </c>
      <c r="W49" s="1570">
        <f>+H49-UNRESTRICTED!H49-RESTRICTED!H49</f>
        <v>0</v>
      </c>
      <c r="X49" s="1570">
        <f>+I49-UNRESTRICTED!I49-RESTRICTED!I49</f>
        <v>0</v>
      </c>
      <c r="Y49" s="797"/>
    </row>
    <row r="50" spans="1:25" s="233" customFormat="1" ht="16.5" customHeight="1" thickBot="1" x14ac:dyDescent="0.3">
      <c r="A50" s="1339"/>
      <c r="B50" s="1340" t="s">
        <v>369</v>
      </c>
      <c r="C50" s="1340"/>
      <c r="D50" s="1340"/>
      <c r="E50" s="647">
        <f>SUM(E27:E49)</f>
        <v>0</v>
      </c>
      <c r="F50" s="1213">
        <f>SUM(F27:F49)</f>
        <v>79466675.600000009</v>
      </c>
      <c r="G50" s="1165">
        <f t="shared" ref="G50:L50" si="23">SUM(G27:G49)</f>
        <v>85154904.430000007</v>
      </c>
      <c r="H50" s="1246">
        <f t="shared" si="23"/>
        <v>81718912.526025474</v>
      </c>
      <c r="I50" s="660">
        <f>SUM(I27:I49)</f>
        <v>81727125.269451141</v>
      </c>
      <c r="J50" s="1246" t="e">
        <f t="shared" si="23"/>
        <v>#REF!</v>
      </c>
      <c r="K50" s="660" t="e">
        <f t="shared" si="23"/>
        <v>#REF!</v>
      </c>
      <c r="L50" s="1246" t="e">
        <f t="shared" si="23"/>
        <v>#REF!</v>
      </c>
      <c r="M50" s="1963">
        <f t="shared" si="8"/>
        <v>5688228.8299999982</v>
      </c>
      <c r="N50" s="1940">
        <f t="shared" si="9"/>
        <v>7.1580052733450417E-2</v>
      </c>
      <c r="O50" s="1963">
        <f t="shared" si="10"/>
        <v>-3435991.9039745331</v>
      </c>
      <c r="P50" s="1940">
        <f t="shared" si="11"/>
        <v>-4.0349900301972927E-2</v>
      </c>
      <c r="Q50" s="1963">
        <f t="shared" si="12"/>
        <v>8212.7434256672859</v>
      </c>
      <c r="R50" s="1940">
        <f t="shared" si="13"/>
        <v>1.0049991087499761E-4</v>
      </c>
      <c r="S50" s="238"/>
      <c r="T50" s="238"/>
      <c r="U50" s="1570">
        <f>+F50-UNRESTRICTED!F50-RESTRICTED!F50</f>
        <v>0</v>
      </c>
      <c r="V50" s="1570">
        <f>+G50-UNRESTRICTED!G50-RESTRICTED!G50</f>
        <v>0</v>
      </c>
      <c r="W50" s="1570">
        <f>+H50-UNRESTRICTED!H50-RESTRICTED!H50</f>
        <v>0</v>
      </c>
      <c r="X50" s="1570">
        <f>+I50-UNRESTRICTED!I50-RESTRICTED!I50</f>
        <v>0</v>
      </c>
      <c r="Y50" s="797"/>
    </row>
    <row r="51" spans="1:25" s="233" customFormat="1" ht="18.75" thickTop="1" x14ac:dyDescent="0.25">
      <c r="A51" s="1341"/>
      <c r="B51" s="1350"/>
      <c r="C51" s="1350"/>
      <c r="D51" s="1350"/>
      <c r="E51" s="224"/>
      <c r="F51" s="1214"/>
      <c r="G51" s="1170"/>
      <c r="H51" s="1247"/>
      <c r="I51" s="658"/>
      <c r="J51" s="1247"/>
      <c r="K51" s="658"/>
      <c r="L51" s="1247"/>
      <c r="M51" s="1963"/>
      <c r="N51" s="1940"/>
      <c r="O51" s="1963"/>
      <c r="P51" s="1940"/>
      <c r="Q51" s="1963"/>
      <c r="R51" s="1940"/>
      <c r="S51" s="244"/>
      <c r="T51" s="244"/>
      <c r="U51" s="1570">
        <f>+F51-UNRESTRICTED!F51-RESTRICTED!F51</f>
        <v>0</v>
      </c>
      <c r="V51" s="1570">
        <f>+G51-UNRESTRICTED!G51-RESTRICTED!G51</f>
        <v>0</v>
      </c>
      <c r="W51" s="1570">
        <f>+H51-UNRESTRICTED!H51-RESTRICTED!H51</f>
        <v>0</v>
      </c>
      <c r="X51" s="1570">
        <f>+I51-UNRESTRICTED!I51-RESTRICTED!I51</f>
        <v>0</v>
      </c>
      <c r="Y51" s="797"/>
    </row>
    <row r="52" spans="1:25" s="233" customFormat="1" ht="18" x14ac:dyDescent="0.25">
      <c r="A52" s="1341"/>
      <c r="B52" s="1349" t="s">
        <v>710</v>
      </c>
      <c r="C52" s="1350"/>
      <c r="D52" s="1350"/>
      <c r="E52" s="224"/>
      <c r="F52" s="1214"/>
      <c r="G52" s="1170"/>
      <c r="H52" s="1247"/>
      <c r="I52" s="658"/>
      <c r="J52" s="1247"/>
      <c r="K52" s="658"/>
      <c r="L52" s="1247"/>
      <c r="M52" s="1963"/>
      <c r="N52" s="1940"/>
      <c r="O52" s="1963"/>
      <c r="P52" s="1940"/>
      <c r="Q52" s="1963"/>
      <c r="R52" s="1940"/>
      <c r="S52" s="244"/>
      <c r="T52" s="244"/>
      <c r="U52" s="1570">
        <f>+F52-UNRESTRICTED!F52-RESTRICTED!F52</f>
        <v>0</v>
      </c>
      <c r="V52" s="1570">
        <f>+G52-UNRESTRICTED!G52-RESTRICTED!G52</f>
        <v>0</v>
      </c>
      <c r="W52" s="1570">
        <f>+H52-UNRESTRICTED!H52-RESTRICTED!H52</f>
        <v>0</v>
      </c>
      <c r="X52" s="1570">
        <f>+I52-UNRESTRICTED!I52-RESTRICTED!I52</f>
        <v>0</v>
      </c>
      <c r="Y52" s="797"/>
    </row>
    <row r="53" spans="1:25" s="233" customFormat="1" ht="18" x14ac:dyDescent="0.25">
      <c r="A53" s="1434"/>
      <c r="B53" s="1435"/>
      <c r="C53" s="1435" t="s">
        <v>400</v>
      </c>
      <c r="D53" s="1435"/>
      <c r="E53" s="741">
        <f>+UNRESTRICTED!E53+RESTRICTED!E53</f>
        <v>0</v>
      </c>
      <c r="F53" s="1226">
        <f>+UNRESTRICTED!F53+RESTRICTED!F53</f>
        <v>562000</v>
      </c>
      <c r="G53" s="1282">
        <f>+UNRESTRICTED!G53+RESTRICTED!G53</f>
        <v>562000</v>
      </c>
      <c r="H53" s="1259">
        <f>+UNRESTRICTED!H53+RESTRICTED!H53</f>
        <v>562000</v>
      </c>
      <c r="I53" s="742">
        <f>+UNRESTRICTED!I53+RESTRICTED!I53</f>
        <v>562000</v>
      </c>
      <c r="J53" s="1259">
        <f>+UNRESTRICTED!J53+RESTRICTED!J53</f>
        <v>562000</v>
      </c>
      <c r="K53" s="742">
        <f>+UNRESTRICTED!K53+RESTRICTED!K53</f>
        <v>562000</v>
      </c>
      <c r="L53" s="1259">
        <f>+UNRESTRICTED!L53+RESTRICTED!L53</f>
        <v>562000</v>
      </c>
      <c r="M53" s="1963">
        <f t="shared" si="8"/>
        <v>0</v>
      </c>
      <c r="N53" s="1940">
        <f t="shared" si="9"/>
        <v>0</v>
      </c>
      <c r="O53" s="1963">
        <f t="shared" si="10"/>
        <v>0</v>
      </c>
      <c r="P53" s="1940">
        <f t="shared" si="11"/>
        <v>0</v>
      </c>
      <c r="Q53" s="1963">
        <f t="shared" si="12"/>
        <v>0</v>
      </c>
      <c r="R53" s="1940">
        <f t="shared" si="13"/>
        <v>0</v>
      </c>
      <c r="S53" s="239"/>
      <c r="T53" s="239"/>
      <c r="U53" s="1570">
        <f>+F53-UNRESTRICTED!F53-RESTRICTED!F53</f>
        <v>0</v>
      </c>
      <c r="V53" s="1570">
        <f>+G53-UNRESTRICTED!G53-RESTRICTED!G53</f>
        <v>0</v>
      </c>
      <c r="W53" s="1570">
        <f>+H53-UNRESTRICTED!H53-RESTRICTED!H53</f>
        <v>0</v>
      </c>
      <c r="X53" s="1570">
        <f>+I53-UNRESTRICTED!I53-RESTRICTED!I53</f>
        <v>0</v>
      </c>
      <c r="Y53" s="797"/>
    </row>
    <row r="54" spans="1:25" s="233" customFormat="1" ht="18" x14ac:dyDescent="0.25">
      <c r="A54" s="1344"/>
      <c r="B54" s="1346"/>
      <c r="C54" s="1346" t="s">
        <v>372</v>
      </c>
      <c r="D54" s="1346"/>
      <c r="E54" s="629">
        <f>+UNRESTRICTED!E54+RESTRICTED!E54</f>
        <v>0</v>
      </c>
      <c r="F54" s="1217">
        <f>+UNRESTRICTED!F54+RESTRICTED!F54</f>
        <v>0</v>
      </c>
      <c r="G54" s="1198">
        <f>+UNRESTRICTED!G54+RESTRICTED!G54</f>
        <v>0</v>
      </c>
      <c r="H54" s="1250">
        <f>+UNRESTRICTED!H54+RESTRICTED!H54</f>
        <v>0</v>
      </c>
      <c r="I54" s="659">
        <f>+UNRESTRICTED!I54+RESTRICTED!I54</f>
        <v>0</v>
      </c>
      <c r="J54" s="1250">
        <f>+UNRESTRICTED!J54+RESTRICTED!J54</f>
        <v>0</v>
      </c>
      <c r="K54" s="659">
        <f>+UNRESTRICTED!K54+RESTRICTED!K54</f>
        <v>0</v>
      </c>
      <c r="L54" s="1250">
        <f>+UNRESTRICTED!L54+RESTRICTED!L54</f>
        <v>0</v>
      </c>
      <c r="M54" s="1963">
        <f t="shared" si="8"/>
        <v>0</v>
      </c>
      <c r="N54" s="1940">
        <f t="shared" si="9"/>
        <v>0</v>
      </c>
      <c r="O54" s="1963">
        <f t="shared" si="10"/>
        <v>0</v>
      </c>
      <c r="P54" s="1940">
        <f t="shared" si="11"/>
        <v>0</v>
      </c>
      <c r="Q54" s="1963">
        <f t="shared" si="12"/>
        <v>0</v>
      </c>
      <c r="R54" s="1940">
        <f t="shared" si="13"/>
        <v>0</v>
      </c>
      <c r="S54" s="239"/>
      <c r="T54" s="239"/>
      <c r="U54" s="1570">
        <f>+F54-UNRESTRICTED!F54-RESTRICTED!F54</f>
        <v>0</v>
      </c>
      <c r="V54" s="1570">
        <f>+G54-UNRESTRICTED!G54-RESTRICTED!G54</f>
        <v>0</v>
      </c>
      <c r="W54" s="1570">
        <f>+H54-UNRESTRICTED!H54-RESTRICTED!H54</f>
        <v>0</v>
      </c>
      <c r="X54" s="1570">
        <f>+I54-UNRESTRICTED!I54-RESTRICTED!I54</f>
        <v>0</v>
      </c>
      <c r="Y54" s="797"/>
    </row>
    <row r="55" spans="1:25" s="233" customFormat="1" ht="18.75" thickBot="1" x14ac:dyDescent="0.3">
      <c r="A55" s="1339"/>
      <c r="B55" s="1340" t="s">
        <v>712</v>
      </c>
      <c r="C55" s="1340"/>
      <c r="D55" s="1340"/>
      <c r="E55" s="647">
        <f>+E16-E53+E17-E54+E18</f>
        <v>0</v>
      </c>
      <c r="F55" s="1213">
        <f>SUM(F53:F54)</f>
        <v>562000</v>
      </c>
      <c r="G55" s="1165">
        <f t="shared" ref="G55:I55" si="24">SUM(G53:G54)</f>
        <v>562000</v>
      </c>
      <c r="H55" s="1246">
        <f t="shared" si="24"/>
        <v>562000</v>
      </c>
      <c r="I55" s="660">
        <f t="shared" si="24"/>
        <v>562000</v>
      </c>
      <c r="J55" s="1246" t="e">
        <f>+J16-J53+J17-J54+J18</f>
        <v>#REF!</v>
      </c>
      <c r="K55" s="660" t="e">
        <f>+K16-K53+K17-K54+K18</f>
        <v>#REF!</v>
      </c>
      <c r="L55" s="1246" t="e">
        <f>+L16-L53+L17-L54+L18</f>
        <v>#REF!</v>
      </c>
      <c r="M55" s="1963">
        <f t="shared" si="8"/>
        <v>0</v>
      </c>
      <c r="N55" s="1940">
        <f t="shared" si="9"/>
        <v>0</v>
      </c>
      <c r="O55" s="1963">
        <f t="shared" si="10"/>
        <v>0</v>
      </c>
      <c r="P55" s="1940">
        <f t="shared" si="11"/>
        <v>0</v>
      </c>
      <c r="Q55" s="1963">
        <f t="shared" si="12"/>
        <v>0</v>
      </c>
      <c r="R55" s="1940">
        <f t="shared" si="13"/>
        <v>0</v>
      </c>
      <c r="S55" s="238"/>
      <c r="T55" s="238"/>
      <c r="U55" s="1570">
        <f>+F55-UNRESTRICTED!F55-RESTRICTED!F55</f>
        <v>0</v>
      </c>
      <c r="V55" s="1570">
        <f>+G55-UNRESTRICTED!G55-RESTRICTED!G55</f>
        <v>0</v>
      </c>
      <c r="W55" s="1570">
        <f>+H55-UNRESTRICTED!H55-RESTRICTED!H55</f>
        <v>0</v>
      </c>
      <c r="X55" s="1570">
        <f>+I55-UNRESTRICTED!I55-RESTRICTED!I55</f>
        <v>0</v>
      </c>
      <c r="Y55" s="797"/>
    </row>
    <row r="56" spans="1:25" s="233" customFormat="1" ht="18.75" thickTop="1" x14ac:dyDescent="0.25">
      <c r="A56" s="1341"/>
      <c r="B56" s="1350"/>
      <c r="C56" s="1350"/>
      <c r="D56" s="1446"/>
      <c r="E56" s="753"/>
      <c r="F56" s="1227"/>
      <c r="G56" s="1283"/>
      <c r="H56" s="1260"/>
      <c r="I56" s="754"/>
      <c r="J56" s="1260"/>
      <c r="K56" s="754"/>
      <c r="L56" s="1260"/>
      <c r="M56" s="1963"/>
      <c r="N56" s="1940"/>
      <c r="O56" s="1963"/>
      <c r="P56" s="1940"/>
      <c r="Q56" s="1963"/>
      <c r="R56" s="1940"/>
      <c r="S56" s="244"/>
      <c r="T56" s="244"/>
      <c r="U56" s="1570">
        <f>+F56-UNRESTRICTED!F56-RESTRICTED!F56</f>
        <v>0</v>
      </c>
      <c r="V56" s="1570">
        <f>+G56-UNRESTRICTED!G56-RESTRICTED!G56</f>
        <v>0</v>
      </c>
      <c r="W56" s="1570">
        <f>+H56-UNRESTRICTED!H56-RESTRICTED!H56</f>
        <v>0</v>
      </c>
      <c r="X56" s="1570">
        <f>+I56-UNRESTRICTED!I56-RESTRICTED!I56</f>
        <v>0</v>
      </c>
      <c r="Y56" s="797"/>
    </row>
    <row r="57" spans="1:25" s="233" customFormat="1" ht="25.5" customHeight="1" x14ac:dyDescent="0.25">
      <c r="A57" s="1447"/>
      <c r="B57" s="1442" t="s">
        <v>713</v>
      </c>
      <c r="C57" s="1443"/>
      <c r="D57" s="1443"/>
      <c r="E57" s="746"/>
      <c r="F57" s="1228">
        <f>SUM(F50,F55)</f>
        <v>80028675.600000009</v>
      </c>
      <c r="G57" s="1284">
        <f t="shared" ref="G57:H57" si="25">SUM(G50,G55)</f>
        <v>85716904.430000007</v>
      </c>
      <c r="H57" s="1261">
        <f t="shared" si="25"/>
        <v>82280912.526025474</v>
      </c>
      <c r="I57" s="747">
        <f>SUM(I50,I55)</f>
        <v>82289125.269451141</v>
      </c>
      <c r="J57" s="747" t="e">
        <f t="shared" ref="J57:L57" si="26">SUM(J50,J55)</f>
        <v>#REF!</v>
      </c>
      <c r="K57" s="747" t="e">
        <f t="shared" si="26"/>
        <v>#REF!</v>
      </c>
      <c r="L57" s="747" t="e">
        <f t="shared" si="26"/>
        <v>#REF!</v>
      </c>
      <c r="M57" s="1963">
        <f t="shared" si="8"/>
        <v>5688228.8299999982</v>
      </c>
      <c r="N57" s="1940">
        <f t="shared" si="9"/>
        <v>7.1077383042435327E-2</v>
      </c>
      <c r="O57" s="1963">
        <f t="shared" si="10"/>
        <v>-3435991.9039745331</v>
      </c>
      <c r="P57" s="1940">
        <f t="shared" si="11"/>
        <v>-4.0085347538191922E-2</v>
      </c>
      <c r="Q57" s="1963">
        <f t="shared" si="12"/>
        <v>8212.7434256672859</v>
      </c>
      <c r="R57" s="1940">
        <f t="shared" si="13"/>
        <v>9.9813470385000808E-5</v>
      </c>
      <c r="S57" s="244"/>
      <c r="T57" s="244"/>
      <c r="U57" s="1570">
        <f>+F57-UNRESTRICTED!F57-RESTRICTED!F57</f>
        <v>0</v>
      </c>
      <c r="V57" s="1570">
        <f>+G57-UNRESTRICTED!G57-RESTRICTED!G57</f>
        <v>0</v>
      </c>
      <c r="W57" s="1570">
        <f>+H57-UNRESTRICTED!H57-RESTRICTED!H57</f>
        <v>0</v>
      </c>
      <c r="X57" s="1570">
        <f>+I57-UNRESTRICTED!I57-RESTRICTED!I57</f>
        <v>0</v>
      </c>
      <c r="Y57" s="797"/>
    </row>
    <row r="58" spans="1:25" s="233" customFormat="1" ht="18" x14ac:dyDescent="0.25">
      <c r="A58" s="1341"/>
      <c r="B58" s="1349"/>
      <c r="C58" s="1350"/>
      <c r="D58" s="1353"/>
      <c r="E58" s="692"/>
      <c r="F58" s="692"/>
      <c r="G58" s="1172"/>
      <c r="H58" s="692"/>
      <c r="I58" s="752"/>
      <c r="J58" s="692"/>
      <c r="K58" s="752"/>
      <c r="L58" s="692"/>
      <c r="M58" s="1963"/>
      <c r="N58" s="1940"/>
      <c r="O58" s="1963"/>
      <c r="P58" s="1940"/>
      <c r="Q58" s="1963"/>
      <c r="R58" s="1940"/>
      <c r="S58" s="244"/>
      <c r="T58" s="244"/>
      <c r="U58" s="1570">
        <f>+F58-UNRESTRICTED!F58-RESTRICTED!F58</f>
        <v>0</v>
      </c>
      <c r="V58" s="1570">
        <f>+G58-UNRESTRICTED!G58-RESTRICTED!G58</f>
        <v>0</v>
      </c>
      <c r="W58" s="1570">
        <f>+H58-UNRESTRICTED!H58-RESTRICTED!H58</f>
        <v>0</v>
      </c>
      <c r="X58" s="1570">
        <f>+I58-UNRESTRICTED!I58-RESTRICTED!I58</f>
        <v>0</v>
      </c>
      <c r="Y58" s="797"/>
    </row>
    <row r="59" spans="1:25" s="728" customFormat="1" ht="35.25" customHeight="1" x14ac:dyDescent="0.25">
      <c r="A59" s="1441"/>
      <c r="B59" s="1442" t="s">
        <v>393</v>
      </c>
      <c r="C59" s="1443"/>
      <c r="D59" s="1443"/>
      <c r="E59" s="725">
        <f>+D61</f>
        <v>0</v>
      </c>
      <c r="F59" s="1229">
        <f>+RESTRICTED!F59+UNRESTRICTED!F59</f>
        <v>21415859.420000002</v>
      </c>
      <c r="G59" s="1285">
        <f>+F61</f>
        <v>21098480.409999996</v>
      </c>
      <c r="H59" s="1262">
        <f>+G61</f>
        <v>13679549.169999987</v>
      </c>
      <c r="I59" s="726">
        <f>+H61</f>
        <v>9672815.2074745148</v>
      </c>
      <c r="J59" s="1262">
        <f t="shared" ref="J59:L59" si="27">+I61</f>
        <v>7458484.5441156179</v>
      </c>
      <c r="K59" s="726" t="e">
        <f t="shared" si="27"/>
        <v>#REF!</v>
      </c>
      <c r="L59" s="1262" t="e">
        <f t="shared" si="27"/>
        <v>#REF!</v>
      </c>
      <c r="M59" s="1963">
        <f t="shared" si="8"/>
        <v>-317379.01000000536</v>
      </c>
      <c r="N59" s="1940">
        <f t="shared" si="9"/>
        <v>-1.4819811980256515E-2</v>
      </c>
      <c r="O59" s="1963">
        <f t="shared" si="10"/>
        <v>-7418931.2400000095</v>
      </c>
      <c r="P59" s="1940">
        <f t="shared" si="11"/>
        <v>-0.35163343974685857</v>
      </c>
      <c r="Q59" s="1963">
        <f t="shared" si="12"/>
        <v>-4006733.962525472</v>
      </c>
      <c r="R59" s="1940">
        <f t="shared" si="13"/>
        <v>-0.29289956216630753</v>
      </c>
      <c r="S59" s="727"/>
      <c r="T59" s="727"/>
      <c r="U59" s="1570">
        <f>+F59-UNRESTRICTED!F59-RESTRICTED!F59</f>
        <v>0</v>
      </c>
      <c r="V59" s="1570">
        <f>+G59-UNRESTRICTED!G59-RESTRICTED!G59</f>
        <v>0</v>
      </c>
      <c r="W59" s="1570">
        <f>+H59-UNRESTRICTED!H59-RESTRICTED!H59</f>
        <v>-1.0244548320770264E-8</v>
      </c>
      <c r="X59" s="1570">
        <f>+I59-UNRESTRICTED!I59-RESTRICTED!I59</f>
        <v>-1.0244548320770264E-8</v>
      </c>
      <c r="Y59" s="799"/>
    </row>
    <row r="60" spans="1:25" s="728" customFormat="1" ht="35.25" customHeight="1" x14ac:dyDescent="0.25">
      <c r="A60" s="1441"/>
      <c r="B60" s="1442" t="s">
        <v>375</v>
      </c>
      <c r="C60" s="1443"/>
      <c r="D60" s="1443"/>
      <c r="E60" s="729">
        <f t="shared" ref="E60:L60" si="28">SUM(E59:E59)</f>
        <v>0</v>
      </c>
      <c r="F60" s="1230">
        <f>F24-F57</f>
        <v>-317379.01000000536</v>
      </c>
      <c r="G60" s="1286">
        <f>G24-G57</f>
        <v>-7418931.2400000095</v>
      </c>
      <c r="H60" s="1263">
        <f>H24-H57</f>
        <v>-4006733.962525472</v>
      </c>
      <c r="I60" s="730">
        <f>I24-I57</f>
        <v>-2214330.663358897</v>
      </c>
      <c r="J60" s="1263">
        <f t="shared" si="28"/>
        <v>7458484.5441156179</v>
      </c>
      <c r="K60" s="730" t="e">
        <f t="shared" si="28"/>
        <v>#REF!</v>
      </c>
      <c r="L60" s="1263" t="e">
        <f t="shared" si="28"/>
        <v>#REF!</v>
      </c>
      <c r="M60" s="1963">
        <f t="shared" si="8"/>
        <v>-7101552.2300000042</v>
      </c>
      <c r="N60" s="1940">
        <f t="shared" si="9"/>
        <v>22.375620334816357</v>
      </c>
      <c r="O60" s="1963">
        <f t="shared" si="10"/>
        <v>3412197.2774745375</v>
      </c>
      <c r="P60" s="1940">
        <f t="shared" si="11"/>
        <v>-0.45993110962901079</v>
      </c>
      <c r="Q60" s="1963">
        <f t="shared" si="12"/>
        <v>1792403.2991665751</v>
      </c>
      <c r="R60" s="1940">
        <f t="shared" si="13"/>
        <v>-0.44734771909757914</v>
      </c>
      <c r="S60" s="727"/>
      <c r="T60" s="727"/>
      <c r="U60" s="1570">
        <f>+F60-UNRESTRICTED!F60-RESTRICTED!F60</f>
        <v>-3.7252902984619141E-9</v>
      </c>
      <c r="V60" s="1570">
        <f>+G60-UNRESTRICTED!G60-RESTRICTED!G60</f>
        <v>-7.4505805969238281E-9</v>
      </c>
      <c r="W60" s="1570">
        <f>+H60-UNRESTRICTED!H60-RESTRICTED!H60</f>
        <v>0</v>
      </c>
      <c r="X60" s="1570">
        <f>+I60-UNRESTRICTED!I60-RESTRICTED!I60</f>
        <v>-7.4505805969238281E-9</v>
      </c>
      <c r="Y60" s="799"/>
    </row>
    <row r="61" spans="1:25" s="252" customFormat="1" ht="26.25" customHeight="1" x14ac:dyDescent="0.25">
      <c r="A61" s="1448"/>
      <c r="B61" s="1449" t="s">
        <v>136</v>
      </c>
      <c r="C61" s="1449"/>
      <c r="D61" s="1449"/>
      <c r="E61" s="254" t="e">
        <f>+E60+#REF!</f>
        <v>#REF!</v>
      </c>
      <c r="F61" s="1231">
        <f>SUM(F59:F60)</f>
        <v>21098480.409999996</v>
      </c>
      <c r="G61" s="1287">
        <f t="shared" ref="G61:I61" si="29">SUM(G59:G60)</f>
        <v>13679549.169999987</v>
      </c>
      <c r="H61" s="1264">
        <f t="shared" si="29"/>
        <v>9672815.2074745148</v>
      </c>
      <c r="I61" s="707">
        <f t="shared" si="29"/>
        <v>7458484.5441156179</v>
      </c>
      <c r="J61" s="1264" t="e">
        <f>+J59+#REF!</f>
        <v>#REF!</v>
      </c>
      <c r="K61" s="707" t="e">
        <f>+K60+#REF!</f>
        <v>#REF!</v>
      </c>
      <c r="L61" s="1264" t="e">
        <f>+L59+#REF!</f>
        <v>#REF!</v>
      </c>
      <c r="M61" s="1963">
        <f t="shared" si="8"/>
        <v>-7418931.2400000095</v>
      </c>
      <c r="N61" s="1940">
        <f t="shared" si="9"/>
        <v>-0.35163343974685857</v>
      </c>
      <c r="O61" s="1963">
        <f t="shared" si="10"/>
        <v>-4006733.962525472</v>
      </c>
      <c r="P61" s="1940">
        <f t="shared" si="11"/>
        <v>-0.29289956216630753</v>
      </c>
      <c r="Q61" s="1963">
        <f t="shared" si="12"/>
        <v>-2214330.663358897</v>
      </c>
      <c r="R61" s="1940">
        <f t="shared" si="13"/>
        <v>-0.22892308142595424</v>
      </c>
      <c r="S61" s="710"/>
      <c r="T61" s="710"/>
      <c r="U61" s="1570">
        <f>+F61-UNRESTRICTED!F61-RESTRICTED!F61</f>
        <v>0</v>
      </c>
      <c r="V61" s="1570">
        <f>+G61-UNRESTRICTED!G61-RESTRICTED!G61</f>
        <v>-1.0244548320770264E-8</v>
      </c>
      <c r="W61" s="1570">
        <f>+H61-UNRESTRICTED!H61-RESTRICTED!H61</f>
        <v>-1.0244548320770264E-8</v>
      </c>
      <c r="X61" s="1570">
        <f>+I61-UNRESTRICTED!I61-RESTRICTED!I61</f>
        <v>-1.7695128917694092E-8</v>
      </c>
      <c r="Y61" s="799"/>
    </row>
    <row r="62" spans="1:25" s="233" customFormat="1" ht="18.75" thickBot="1" x14ac:dyDescent="0.3">
      <c r="A62" s="1450"/>
      <c r="B62" s="1451"/>
      <c r="C62" s="1451"/>
      <c r="D62" s="1451"/>
      <c r="E62" s="256"/>
      <c r="F62" s="1232">
        <f>F61/F57</f>
        <v>0.26363650593762911</v>
      </c>
      <c r="G62" s="1288">
        <f>G61/G57</f>
        <v>0.15958986457766072</v>
      </c>
      <c r="H62" s="1265">
        <f t="shared" ref="H62" si="30">H61/H57</f>
        <v>0.11755843379125142</v>
      </c>
      <c r="I62" s="708">
        <f>I61/I57</f>
        <v>9.0637548031932857E-2</v>
      </c>
      <c r="J62" s="1265"/>
      <c r="K62" s="708"/>
      <c r="L62" s="1265"/>
      <c r="M62" s="1963"/>
      <c r="N62" s="1951"/>
      <c r="O62" s="1963"/>
      <c r="P62" s="1952"/>
      <c r="Q62" s="1963"/>
      <c r="R62" s="1953"/>
      <c r="S62" s="255"/>
      <c r="T62" s="255"/>
      <c r="U62" s="1570">
        <f>+F62-UNRESTRICTED!F62-RESTRICTED!F62</f>
        <v>7.5449801770804181E-2</v>
      </c>
      <c r="V62" s="1570">
        <f>+G62-UNRESTRICTED!G62-RESTRICTED!G62</f>
        <v>4.8869278794601012E-3</v>
      </c>
      <c r="W62" s="1570">
        <f>+H62-UNRESTRICTED!H62-RESTRICTED!H62</f>
        <v>5.0503976832846215E-3</v>
      </c>
      <c r="X62" s="1570">
        <f>+I62-UNRESTRICTED!I62-RESTRICTED!I62</f>
        <v>4.5696479184664934E-3</v>
      </c>
      <c r="Y62" s="799"/>
    </row>
    <row r="63" spans="1:25" s="233" customFormat="1" ht="18.75" thickTop="1" x14ac:dyDescent="0.25">
      <c r="A63" s="1341"/>
      <c r="B63" s="1349"/>
      <c r="C63" s="1350"/>
      <c r="D63" s="1385"/>
      <c r="E63" s="749"/>
      <c r="F63" s="749"/>
      <c r="G63" s="1289"/>
      <c r="H63" s="749"/>
      <c r="I63" s="750"/>
      <c r="J63" s="749"/>
      <c r="K63" s="750"/>
      <c r="L63" s="749"/>
      <c r="M63" s="1964"/>
      <c r="N63" s="1941"/>
      <c r="O63" s="1978"/>
      <c r="P63" s="1936"/>
      <c r="Q63" s="1978"/>
      <c r="R63" s="1784"/>
      <c r="S63" s="249"/>
      <c r="T63" s="249"/>
      <c r="U63" s="1570">
        <f>+F63-UNRESTRICTED!F63-RESTRICTED!F63</f>
        <v>0</v>
      </c>
      <c r="V63" s="1570">
        <f>+G63-UNRESTRICTED!G63-RESTRICTED!G63</f>
        <v>0</v>
      </c>
      <c r="W63" s="1570">
        <f>+H63-UNRESTRICTED!H63-RESTRICTED!H63</f>
        <v>0</v>
      </c>
      <c r="X63" s="1570">
        <f>+I63-UNRESTRICTED!I63-RESTRICTED!I63</f>
        <v>0</v>
      </c>
      <c r="Y63" s="799"/>
    </row>
    <row r="64" spans="1:25" s="233" customFormat="1" ht="42.75" customHeight="1" x14ac:dyDescent="0.25">
      <c r="A64" s="1452" t="str">
        <f>+UNRESTRICTED!A64</f>
        <v>GENERAL FUND - COMPONENTS OF ENDING FUND BALANCE</v>
      </c>
      <c r="B64" s="1453"/>
      <c r="C64" s="1454"/>
      <c r="D64" s="1454"/>
      <c r="E64" s="709"/>
      <c r="F64" s="709"/>
      <c r="G64" s="1290"/>
      <c r="H64" s="709"/>
      <c r="I64" s="751"/>
      <c r="J64" s="709"/>
      <c r="K64" s="751"/>
      <c r="L64" s="709"/>
      <c r="M64" s="1961"/>
      <c r="N64" s="1941"/>
      <c r="O64" s="1978"/>
      <c r="P64" s="1936"/>
      <c r="Q64" s="1978"/>
      <c r="R64" s="1784"/>
      <c r="S64" s="249"/>
      <c r="T64" s="249"/>
      <c r="U64" s="1570">
        <f>+F64-UNRESTRICTED!F64-RESTRICTED!F64</f>
        <v>0</v>
      </c>
      <c r="V64" s="1570">
        <f>+G64-UNRESTRICTED!G64-RESTRICTED!G64</f>
        <v>0</v>
      </c>
      <c r="W64" s="1570">
        <f>+H64-UNRESTRICTED!H64-RESTRICTED!H64</f>
        <v>0</v>
      </c>
      <c r="X64" s="1570">
        <f>+I64-UNRESTRICTED!I64-RESTRICTED!I64</f>
        <v>0</v>
      </c>
      <c r="Y64" s="799"/>
    </row>
    <row r="65" spans="1:25" s="233" customFormat="1" ht="21.75" customHeight="1" x14ac:dyDescent="0.25">
      <c r="A65" s="1455"/>
      <c r="B65" s="1456" t="str">
        <f>+UNRESTRICTED!B65</f>
        <v>Nonspendable: Revolving Cash &amp; Prepaid</v>
      </c>
      <c r="C65" s="1457"/>
      <c r="D65" s="1457"/>
      <c r="E65" s="713">
        <f>+UNRESTRICTED!E65</f>
        <v>0</v>
      </c>
      <c r="F65" s="1233">
        <f>+UNRESTRICTED!F65</f>
        <v>90800</v>
      </c>
      <c r="G65" s="1291">
        <f>+UNRESTRICTED!G65</f>
        <v>10000</v>
      </c>
      <c r="H65" s="1266">
        <f>+UNRESTRICTED!H65</f>
        <v>10000</v>
      </c>
      <c r="I65" s="714">
        <f>+UNRESTRICTED!I65</f>
        <v>10000</v>
      </c>
      <c r="J65" s="1266">
        <f>+UNRESTRICTED!J65</f>
        <v>10000</v>
      </c>
      <c r="K65" s="714">
        <f>+UNRESTRICTED!K65</f>
        <v>10000</v>
      </c>
      <c r="L65" s="1266">
        <f>+UNRESTRICTED!L65</f>
        <v>10000</v>
      </c>
      <c r="M65" s="1965"/>
      <c r="N65" s="1941"/>
      <c r="O65" s="1978"/>
      <c r="P65" s="1936"/>
      <c r="Q65" s="1978"/>
      <c r="R65" s="1784"/>
      <c r="S65" s="239"/>
      <c r="T65" s="239"/>
      <c r="U65" s="1570">
        <f>+F65-UNRESTRICTED!F65-RESTRICTED!F65</f>
        <v>0</v>
      </c>
      <c r="V65" s="1570">
        <f>+G65-UNRESTRICTED!G65-RESTRICTED!G65</f>
        <v>0</v>
      </c>
      <c r="W65" s="1570">
        <f>+H65-UNRESTRICTED!H65-RESTRICTED!H65</f>
        <v>0</v>
      </c>
      <c r="X65" s="1570">
        <f>+I65-UNRESTRICTED!I65-RESTRICTED!I65</f>
        <v>0</v>
      </c>
      <c r="Y65" s="799"/>
    </row>
    <row r="66" spans="1:25" s="233" customFormat="1" ht="21.75" customHeight="1" x14ac:dyDescent="0.25">
      <c r="A66" s="748"/>
      <c r="B66" s="715" t="str">
        <f>+UNRESTRICTED!B66</f>
        <v>Restricted</v>
      </c>
      <c r="C66" s="716"/>
      <c r="D66" s="716"/>
      <c r="E66" s="643">
        <f>+RESTRICTED!E80</f>
        <v>0</v>
      </c>
      <c r="F66" s="1234">
        <f>+RESTRICTED!F80</f>
        <v>6038147.7099999962</v>
      </c>
      <c r="G66" s="1186">
        <f>+RESTRICTED!G80</f>
        <v>418892.32999999356</v>
      </c>
      <c r="H66" s="1267">
        <f>+RESTRICTED!H80</f>
        <v>415551.32999999356</v>
      </c>
      <c r="I66" s="680">
        <f>+RESTRICTED!I80</f>
        <v>376032.32999999356</v>
      </c>
      <c r="J66" s="1267" t="e">
        <f>+RESTRICTED!J80</f>
        <v>#REF!</v>
      </c>
      <c r="K66" s="680" t="e">
        <f>+RESTRICTED!K80</f>
        <v>#REF!</v>
      </c>
      <c r="L66" s="1267" t="e">
        <f>+RESTRICTED!L80</f>
        <v>#REF!</v>
      </c>
      <c r="M66" s="1965"/>
      <c r="N66" s="1941"/>
      <c r="O66" s="1978"/>
      <c r="P66" s="1936"/>
      <c r="Q66" s="1978"/>
      <c r="R66" s="1784"/>
      <c r="S66" s="239"/>
      <c r="T66" s="239"/>
      <c r="U66" s="1570">
        <f>+F66-UNRESTRICTED!F66-RESTRICTED!F66</f>
        <v>0</v>
      </c>
      <c r="V66" s="1570">
        <f>+G66-UNRESTRICTED!G66-RESTRICTED!G66</f>
        <v>0</v>
      </c>
      <c r="W66" s="1570">
        <f>+H66-UNRESTRICTED!H66-RESTRICTED!H66</f>
        <v>0</v>
      </c>
      <c r="X66" s="1570">
        <f>+I66-UNRESTRICTED!I66-RESTRICTED!I66</f>
        <v>0</v>
      </c>
      <c r="Y66" s="799"/>
    </row>
    <row r="67" spans="1:25" s="233" customFormat="1" ht="21.75" customHeight="1" x14ac:dyDescent="0.25">
      <c r="A67" s="748"/>
      <c r="B67" s="715" t="str">
        <f>+UNRESTRICTED!B67</f>
        <v>Committed</v>
      </c>
      <c r="C67" s="716"/>
      <c r="D67" s="716"/>
      <c r="E67" s="643">
        <f>+UNRESTRICTED!E67</f>
        <v>0</v>
      </c>
      <c r="F67" s="1234">
        <f>+UNRESTRICTED!F67</f>
        <v>0</v>
      </c>
      <c r="G67" s="1186">
        <f>+UNRESTRICTED!G67</f>
        <v>0</v>
      </c>
      <c r="H67" s="1267">
        <f>+UNRESTRICTED!H67</f>
        <v>0</v>
      </c>
      <c r="I67" s="680">
        <f>+UNRESTRICTED!I67</f>
        <v>0</v>
      </c>
      <c r="J67" s="1267">
        <f>+UNRESTRICTED!J67</f>
        <v>0</v>
      </c>
      <c r="K67" s="680">
        <f>+UNRESTRICTED!K67</f>
        <v>0</v>
      </c>
      <c r="L67" s="1267">
        <f>+UNRESTRICTED!L67</f>
        <v>0</v>
      </c>
      <c r="M67" s="1965"/>
      <c r="N67" s="1941"/>
      <c r="O67" s="1978"/>
      <c r="P67" s="1936"/>
      <c r="Q67" s="1978"/>
      <c r="R67" s="1784"/>
      <c r="S67" s="239"/>
      <c r="T67" s="239"/>
      <c r="U67" s="1570">
        <f>+F67-UNRESTRICTED!F67-RESTRICTED!F67</f>
        <v>0</v>
      </c>
      <c r="V67" s="1570">
        <f>+G67-UNRESTRICTED!G67-RESTRICTED!G67</f>
        <v>0</v>
      </c>
      <c r="W67" s="1570">
        <f>+H67-UNRESTRICTED!H67-RESTRICTED!H67</f>
        <v>0</v>
      </c>
      <c r="X67" s="1570">
        <f>+I67-UNRESTRICTED!I67-RESTRICTED!I67</f>
        <v>0</v>
      </c>
      <c r="Y67" s="799"/>
    </row>
    <row r="68" spans="1:25" s="233" customFormat="1" ht="24" customHeight="1" x14ac:dyDescent="0.25">
      <c r="A68" s="748"/>
      <c r="B68" s="715" t="str">
        <f>+UNRESTRICTED!B68</f>
        <v>Assigned</v>
      </c>
      <c r="C68" s="716"/>
      <c r="D68" s="716"/>
      <c r="E68" s="643">
        <f>+SUM(E69:E74)</f>
        <v>1427000</v>
      </c>
      <c r="F68" s="1234">
        <f>+SUM(F69:F74)</f>
        <v>2411131.66</v>
      </c>
      <c r="G68" s="1186">
        <f>+SUM(G69:G74)</f>
        <v>200000</v>
      </c>
      <c r="H68" s="1267">
        <f>+SUM(H69:H74)</f>
        <v>200000</v>
      </c>
      <c r="I68" s="680">
        <f t="shared" ref="I68:K68" si="31">+SUM(I69:I74)</f>
        <v>200000</v>
      </c>
      <c r="J68" s="1267">
        <f t="shared" si="31"/>
        <v>200000</v>
      </c>
      <c r="K68" s="680">
        <f t="shared" si="31"/>
        <v>200000</v>
      </c>
      <c r="L68" s="1267">
        <f>+SUM(L69:L74)</f>
        <v>200000</v>
      </c>
      <c r="M68" s="1965"/>
      <c r="N68" s="1941"/>
      <c r="O68" s="1978"/>
      <c r="P68" s="1936"/>
      <c r="Q68" s="1978"/>
      <c r="R68" s="1784"/>
      <c r="S68" s="239"/>
      <c r="T68" s="239"/>
      <c r="U68" s="1570">
        <f>+F68-UNRESTRICTED!F68-RESTRICTED!F68</f>
        <v>0</v>
      </c>
      <c r="V68" s="1570">
        <f>+G68-UNRESTRICTED!G68-RESTRICTED!G68</f>
        <v>0</v>
      </c>
      <c r="W68" s="1570">
        <f>+H68-UNRESTRICTED!H68-RESTRICTED!H68</f>
        <v>0</v>
      </c>
      <c r="X68" s="1570">
        <f>+I68-UNRESTRICTED!I68-RESTRICTED!I68</f>
        <v>0</v>
      </c>
      <c r="Y68" s="799"/>
    </row>
    <row r="69" spans="1:25" s="233" customFormat="1" ht="18" x14ac:dyDescent="0.25">
      <c r="A69" s="748"/>
      <c r="B69" s="715"/>
      <c r="C69" s="716" t="str">
        <f>IF(UNRESTRICTED!C69=0," ",UNRESTRICTED!C69)</f>
        <v>Insurance Deductibles</v>
      </c>
      <c r="D69" s="716"/>
      <c r="E69" s="644">
        <f>IF(UNRESTRICTED!E69=0," ",UNRESTRICTED!E69)</f>
        <v>200000</v>
      </c>
      <c r="F69" s="1235">
        <f>IF(UNRESTRICTED!F69=0," ",UNRESTRICTED!F69)</f>
        <v>200000</v>
      </c>
      <c r="G69" s="1187">
        <f>IF(UNRESTRICTED!G69=0," ",UNRESTRICTED!G69)</f>
        <v>200000</v>
      </c>
      <c r="H69" s="1268">
        <f>IF(UNRESTRICTED!H69=0," ",UNRESTRICTED!H69)</f>
        <v>200000</v>
      </c>
      <c r="I69" s="681">
        <f>IF(UNRESTRICTED!I69=0," ",UNRESTRICTED!I69)</f>
        <v>200000</v>
      </c>
      <c r="J69" s="1268">
        <f>+UNRESTRICTED!J69</f>
        <v>200000</v>
      </c>
      <c r="K69" s="681">
        <f>+UNRESTRICTED!K69</f>
        <v>200000</v>
      </c>
      <c r="L69" s="1268">
        <f>+UNRESTRICTED!L69</f>
        <v>200000</v>
      </c>
      <c r="M69" s="1966"/>
      <c r="N69" s="1944"/>
      <c r="O69" s="1976"/>
      <c r="P69" s="1939"/>
      <c r="Q69" s="1976"/>
      <c r="R69" s="1798"/>
      <c r="S69" s="250"/>
      <c r="T69" s="250"/>
      <c r="U69" s="1570">
        <f>+F69-UNRESTRICTED!F69-RESTRICTED!F69</f>
        <v>0</v>
      </c>
      <c r="V69" s="1570">
        <f>+G69-UNRESTRICTED!G69-RESTRICTED!G69</f>
        <v>0</v>
      </c>
      <c r="W69" s="1570">
        <f>+H69-UNRESTRICTED!H69-RESTRICTED!H69</f>
        <v>0</v>
      </c>
      <c r="X69" s="1570">
        <f>+I69-UNRESTRICTED!I69-RESTRICTED!I69</f>
        <v>0</v>
      </c>
      <c r="Y69" s="799"/>
    </row>
    <row r="70" spans="1:25" s="233" customFormat="1" ht="18.75" x14ac:dyDescent="0.3">
      <c r="A70" s="748"/>
      <c r="B70" s="715"/>
      <c r="C70" s="716" t="str">
        <f>IF(UNRESTRICTED!C70=0," ",UNRESTRICTED!C70)</f>
        <v>Professional Learning</v>
      </c>
      <c r="D70" s="716"/>
      <c r="E70" s="644">
        <f>IF(UNRESTRICTED!E70=0," ",UNRESTRICTED!E70)</f>
        <v>425000</v>
      </c>
      <c r="F70" s="1235">
        <f>IF(UNRESTRICTED!F70=0," ",UNRESTRICTED!F70)</f>
        <v>425000</v>
      </c>
      <c r="G70" s="1187" t="str">
        <f>IF(UNRESTRICTED!G70=0," ",UNRESTRICTED!G70)</f>
        <v xml:space="preserve"> </v>
      </c>
      <c r="H70" s="1268" t="str">
        <f>IF(UNRESTRICTED!H70=0," ",UNRESTRICTED!H70)</f>
        <v xml:space="preserve"> </v>
      </c>
      <c r="I70" s="681" t="str">
        <f>IF(UNRESTRICTED!I70=0," ",UNRESTRICTED!I70)</f>
        <v xml:space="preserve"> </v>
      </c>
      <c r="J70" s="1268">
        <f>+UNRESTRICTED!J70</f>
        <v>0</v>
      </c>
      <c r="K70" s="681">
        <f>+UNRESTRICTED!K70</f>
        <v>0</v>
      </c>
      <c r="L70" s="1268">
        <f>+UNRESTRICTED!L70</f>
        <v>0</v>
      </c>
      <c r="M70" s="1967"/>
      <c r="N70" s="1942"/>
      <c r="O70" s="1979"/>
      <c r="P70" s="1937"/>
      <c r="Q70" s="1979"/>
      <c r="R70" s="1779"/>
      <c r="S70" s="239"/>
      <c r="T70" s="239"/>
      <c r="U70" s="1570">
        <f>+F70-UNRESTRICTED!F70-RESTRICTED!F70</f>
        <v>0</v>
      </c>
      <c r="V70" s="1570" t="e">
        <f>+G70-UNRESTRICTED!G70-RESTRICTED!G70</f>
        <v>#VALUE!</v>
      </c>
      <c r="W70" s="1570" t="e">
        <f>+H70-UNRESTRICTED!H70-RESTRICTED!H70</f>
        <v>#VALUE!</v>
      </c>
      <c r="X70" s="1570" t="e">
        <f>+I70-UNRESTRICTED!I70-RESTRICTED!I70</f>
        <v>#VALUE!</v>
      </c>
      <c r="Y70" s="799"/>
    </row>
    <row r="71" spans="1:25" s="252" customFormat="1" ht="18" x14ac:dyDescent="0.25">
      <c r="A71" s="748"/>
      <c r="B71" s="715"/>
      <c r="C71" s="716" t="str">
        <f>IF(UNRESTRICTED!C71=0," ",UNRESTRICTED!C71)</f>
        <v>Classified Retro</v>
      </c>
      <c r="D71" s="716"/>
      <c r="E71" s="644">
        <f>IF(UNRESTRICTED!E71=0," ",UNRESTRICTED!E71)</f>
        <v>225000</v>
      </c>
      <c r="F71" s="1235">
        <f>IF(UNRESTRICTED!F71=0," ",UNRESTRICTED!F71)</f>
        <v>401134</v>
      </c>
      <c r="G71" s="1187" t="str">
        <f>IF(UNRESTRICTED!G71=0," ",UNRESTRICTED!G71)</f>
        <v xml:space="preserve"> </v>
      </c>
      <c r="H71" s="1268" t="str">
        <f>IF(UNRESTRICTED!H71=0," ",UNRESTRICTED!H71)</f>
        <v xml:space="preserve"> </v>
      </c>
      <c r="I71" s="681" t="str">
        <f>IF(UNRESTRICTED!I71=0," ",UNRESTRICTED!I71)</f>
        <v xml:space="preserve"> </v>
      </c>
      <c r="J71" s="1268">
        <f>+UNRESTRICTED!J71</f>
        <v>0</v>
      </c>
      <c r="K71" s="681">
        <f>+UNRESTRICTED!K71</f>
        <v>0</v>
      </c>
      <c r="L71" s="1268">
        <f>+UNRESTRICTED!L71</f>
        <v>0</v>
      </c>
      <c r="M71" s="1966"/>
      <c r="N71" s="1943"/>
      <c r="O71" s="1980"/>
      <c r="P71" s="1938"/>
      <c r="Q71" s="1980"/>
      <c r="R71" s="1794"/>
      <c r="S71" s="251"/>
      <c r="T71" s="251"/>
      <c r="U71" s="1570">
        <f>+F71-UNRESTRICTED!F71-RESTRICTED!F71</f>
        <v>0</v>
      </c>
      <c r="V71" s="1570" t="e">
        <f>+G71-UNRESTRICTED!G71-RESTRICTED!G71</f>
        <v>#VALUE!</v>
      </c>
      <c r="W71" s="1570" t="e">
        <f>+H71-UNRESTRICTED!H71-RESTRICTED!H71</f>
        <v>#VALUE!</v>
      </c>
      <c r="X71" s="1570" t="e">
        <f>+I71-UNRESTRICTED!I71-RESTRICTED!I71</f>
        <v>#VALUE!</v>
      </c>
      <c r="Y71" s="799"/>
    </row>
    <row r="72" spans="1:25" s="233" customFormat="1" ht="18" x14ac:dyDescent="0.25">
      <c r="A72" s="748"/>
      <c r="B72" s="715"/>
      <c r="C72" s="716" t="str">
        <f>IF(UNRESTRICTED!C72=0," ",UNRESTRICTED!C72)</f>
        <v>Textbook Adoptions</v>
      </c>
      <c r="D72" s="716"/>
      <c r="E72" s="644">
        <f>IF(UNRESTRICTED!E72=0," ",UNRESTRICTED!E72)</f>
        <v>577000</v>
      </c>
      <c r="F72" s="1235">
        <f>IF(UNRESTRICTED!F72=0," ",UNRESTRICTED!F72)</f>
        <v>816257.51</v>
      </c>
      <c r="G72" s="1187" t="str">
        <f>IF(UNRESTRICTED!G72=0," ",UNRESTRICTED!G72)</f>
        <v xml:space="preserve"> </v>
      </c>
      <c r="H72" s="1268" t="str">
        <f>IF(UNRESTRICTED!H72=0," ",UNRESTRICTED!H72)</f>
        <v xml:space="preserve"> </v>
      </c>
      <c r="I72" s="681" t="str">
        <f>IF(UNRESTRICTED!I72=0," ",UNRESTRICTED!I72)</f>
        <v xml:space="preserve"> </v>
      </c>
      <c r="J72" s="1268">
        <f>+UNRESTRICTED!J72</f>
        <v>0</v>
      </c>
      <c r="K72" s="681">
        <f>+UNRESTRICTED!K72</f>
        <v>0</v>
      </c>
      <c r="L72" s="1268">
        <f>+UNRESTRICTED!L72</f>
        <v>0</v>
      </c>
      <c r="M72" s="1966"/>
      <c r="N72" s="1944"/>
      <c r="O72" s="1976"/>
      <c r="P72" s="1939"/>
      <c r="Q72" s="1976"/>
      <c r="R72" s="1798"/>
      <c r="S72" s="239"/>
      <c r="T72" s="239"/>
      <c r="U72" s="1570">
        <f>+F72-UNRESTRICTED!F72-RESTRICTED!F72</f>
        <v>0</v>
      </c>
      <c r="V72" s="1570" t="e">
        <f>+G72-UNRESTRICTED!G72-RESTRICTED!G72</f>
        <v>#VALUE!</v>
      </c>
      <c r="W72" s="1570" t="e">
        <f>+H72-UNRESTRICTED!H72-RESTRICTED!H72</f>
        <v>#VALUE!</v>
      </c>
      <c r="X72" s="1570" t="e">
        <f>+I72-UNRESTRICTED!I72-RESTRICTED!I72</f>
        <v>#VALUE!</v>
      </c>
      <c r="Y72" s="799"/>
    </row>
    <row r="73" spans="1:25" s="233" customFormat="1" ht="18" x14ac:dyDescent="0.25">
      <c r="A73" s="748"/>
      <c r="B73" s="715"/>
      <c r="C73" s="716" t="str">
        <f>IF(UNRESTRICTED!C73=0," ",UNRESTRICTED!C73)</f>
        <v>LCFF Target/Supplemental Funds</v>
      </c>
      <c r="D73" s="716"/>
      <c r="E73" s="644"/>
      <c r="F73" s="1235">
        <f>IF(UNRESTRICTED!F73=0," ",UNRESTRICTED!F73)</f>
        <v>568740.15</v>
      </c>
      <c r="G73" s="1187" t="str">
        <f>IF(UNRESTRICTED!G73=0," ",UNRESTRICTED!G73)</f>
        <v xml:space="preserve"> </v>
      </c>
      <c r="H73" s="1268" t="str">
        <f>IF(UNRESTRICTED!H73=0," ",UNRESTRICTED!H73)</f>
        <v xml:space="preserve"> </v>
      </c>
      <c r="I73" s="681" t="str">
        <f>IF(UNRESTRICTED!I73=0," ",UNRESTRICTED!I73)</f>
        <v xml:space="preserve"> </v>
      </c>
      <c r="J73" s="1268"/>
      <c r="K73" s="681"/>
      <c r="L73" s="1268"/>
      <c r="M73" s="1966"/>
      <c r="N73" s="1944"/>
      <c r="O73" s="1976"/>
      <c r="P73" s="1939"/>
      <c r="Q73" s="1976"/>
      <c r="R73" s="1798"/>
      <c r="S73" s="239"/>
      <c r="T73" s="239"/>
      <c r="U73" s="1570">
        <f>+F73-UNRESTRICTED!F73-RESTRICTED!F73</f>
        <v>0</v>
      </c>
      <c r="V73" s="1570" t="e">
        <f>+G73-UNRESTRICTED!G73-RESTRICTED!G73</f>
        <v>#VALUE!</v>
      </c>
      <c r="W73" s="1570" t="e">
        <f>+H73-UNRESTRICTED!H73-RESTRICTED!H73</f>
        <v>#VALUE!</v>
      </c>
      <c r="X73" s="1570" t="e">
        <f>+I73-UNRESTRICTED!I73-RESTRICTED!I73</f>
        <v>#VALUE!</v>
      </c>
      <c r="Y73" s="799"/>
    </row>
    <row r="74" spans="1:25" s="246" customFormat="1" ht="18" hidden="1" x14ac:dyDescent="0.25">
      <c r="A74" s="748"/>
      <c r="B74" s="715"/>
      <c r="C74" s="716" t="str">
        <f>IF(UNRESTRICTED!C74=0," ",UNRESTRICTED!C74)</f>
        <v xml:space="preserve"> </v>
      </c>
      <c r="D74" s="716"/>
      <c r="E74" s="644"/>
      <c r="F74" s="1235" t="str">
        <f>IF(UNRESTRICTED!F74=0," ",UNRESTRICTED!F74)</f>
        <v xml:space="preserve"> </v>
      </c>
      <c r="G74" s="1187" t="str">
        <f>IF(UNRESTRICTED!G74=0," ",UNRESTRICTED!G74)</f>
        <v xml:space="preserve"> </v>
      </c>
      <c r="H74" s="1268" t="str">
        <f>IF(UNRESTRICTED!H74=0," ",UNRESTRICTED!H74)</f>
        <v xml:space="preserve"> </v>
      </c>
      <c r="I74" s="681" t="str">
        <f>IF(UNRESTRICTED!I74=0," ",UNRESTRICTED!I74)</f>
        <v xml:space="preserve"> </v>
      </c>
      <c r="J74" s="1268"/>
      <c r="K74" s="681"/>
      <c r="L74" s="1268"/>
      <c r="M74" s="1966"/>
      <c r="N74" s="1944"/>
      <c r="O74" s="1976"/>
      <c r="P74" s="1939"/>
      <c r="Q74" s="1976"/>
      <c r="R74" s="1798"/>
      <c r="S74" s="245"/>
      <c r="T74" s="245"/>
      <c r="U74" s="1570" t="e">
        <f>+F74-UNRESTRICTED!F74-RESTRICTED!F74</f>
        <v>#VALUE!</v>
      </c>
      <c r="V74" s="1570" t="e">
        <f>+G74-UNRESTRICTED!G74-RESTRICTED!G74</f>
        <v>#VALUE!</v>
      </c>
      <c r="W74" s="1570" t="e">
        <f>+H74-UNRESTRICTED!H74-RESTRICTED!H74</f>
        <v>#VALUE!</v>
      </c>
      <c r="X74" s="1570" t="e">
        <f>+I74-UNRESTRICTED!I74-RESTRICTED!I74</f>
        <v>#VALUE!</v>
      </c>
      <c r="Y74" s="799"/>
    </row>
    <row r="75" spans="1:25" s="233" customFormat="1" ht="30" customHeight="1" x14ac:dyDescent="0.25">
      <c r="A75" s="748"/>
      <c r="B75" s="715" t="str">
        <f>+UNRESTRICTED!B75</f>
        <v>Unassigned/Unappropriated</v>
      </c>
      <c r="C75" s="716"/>
      <c r="D75" s="716"/>
      <c r="E75" s="645"/>
      <c r="F75" s="1236"/>
      <c r="G75" s="1188"/>
      <c r="H75" s="1269"/>
      <c r="I75" s="682"/>
      <c r="J75" s="1269"/>
      <c r="K75" s="682"/>
      <c r="L75" s="1269"/>
      <c r="M75" s="1968"/>
      <c r="N75" s="1944"/>
      <c r="O75" s="1976"/>
      <c r="P75" s="1939"/>
      <c r="Q75" s="1976"/>
      <c r="R75" s="1798"/>
      <c r="S75" s="239"/>
      <c r="T75" s="239"/>
      <c r="U75" s="1570">
        <f>+F75-UNRESTRICTED!F75-RESTRICTED!F75</f>
        <v>0</v>
      </c>
      <c r="V75" s="1570">
        <f>+G75-UNRESTRICTED!G75-RESTRICTED!G75</f>
        <v>0</v>
      </c>
      <c r="W75" s="1570">
        <f>+H75-UNRESTRICTED!H75-RESTRICTED!H75</f>
        <v>0</v>
      </c>
      <c r="X75" s="1570">
        <f>+I75-UNRESTRICTED!I75-RESTRICTED!I75</f>
        <v>0</v>
      </c>
      <c r="Y75" s="799"/>
    </row>
    <row r="76" spans="1:25" s="233" customFormat="1" ht="18" x14ac:dyDescent="0.25">
      <c r="A76" s="1458"/>
      <c r="B76" s="1459"/>
      <c r="C76" s="1413" t="str">
        <f>+UNRESTRICTED!C76</f>
        <v>Reserve for Economic Uncertainties (REU)</v>
      </c>
      <c r="D76" s="1459"/>
      <c r="E76" s="717">
        <f>ROUND((+COMBINED!E50+COMBINED!E53+COMBINED!E54)*0.03,0)</f>
        <v>0</v>
      </c>
      <c r="F76" s="1237">
        <f>ROUND(F57*0.03,0)</f>
        <v>2400860</v>
      </c>
      <c r="G76" s="1189">
        <f t="shared" ref="G76:I76" si="32">ROUND(G57*0.03,0)</f>
        <v>2571507</v>
      </c>
      <c r="H76" s="1270">
        <f t="shared" si="32"/>
        <v>2468427</v>
      </c>
      <c r="I76" s="718">
        <f t="shared" si="32"/>
        <v>2468674</v>
      </c>
      <c r="J76" s="1270" t="e">
        <f>ROUND((+COMBINED!J50+COMBINED!J53+COMBINED!J54)*0.03,0)</f>
        <v>#REF!</v>
      </c>
      <c r="K76" s="718" t="e">
        <f>ROUND((+COMBINED!K50+COMBINED!K53+COMBINED!K54)*0.03,0)</f>
        <v>#REF!</v>
      </c>
      <c r="L76" s="1270" t="e">
        <f>ROUND((+COMBINED!L50+COMBINED!L53+COMBINED!L54)*0.03,0)</f>
        <v>#REF!</v>
      </c>
      <c r="M76" s="1965"/>
      <c r="N76" s="1944"/>
      <c r="O76" s="1976"/>
      <c r="P76" s="1939"/>
      <c r="Q76" s="1976"/>
      <c r="R76" s="1798"/>
      <c r="S76" s="239"/>
      <c r="T76" s="239"/>
      <c r="U76" s="1570">
        <f>+F76-UNRESTRICTED!F76-RESTRICTED!F76</f>
        <v>0</v>
      </c>
      <c r="V76" s="1570">
        <f>+G76-UNRESTRICTED!G76-RESTRICTED!G76</f>
        <v>0</v>
      </c>
      <c r="W76" s="1570">
        <f>+H76-UNRESTRICTED!H76-RESTRICTED!H76</f>
        <v>0</v>
      </c>
      <c r="X76" s="1570">
        <f>+I76-UNRESTRICTED!I76-RESTRICTED!I76</f>
        <v>0</v>
      </c>
      <c r="Y76" s="799"/>
    </row>
    <row r="77" spans="1:25" s="233" customFormat="1" ht="18" x14ac:dyDescent="0.25">
      <c r="A77" s="1460"/>
      <c r="B77" s="1461"/>
      <c r="C77" s="1416"/>
      <c r="D77" s="1462"/>
      <c r="E77" s="711">
        <f>+E76/(COMBINED!$G$50+COMBINED!$G$53+COMBINED!$G$54)</f>
        <v>0</v>
      </c>
      <c r="F77" s="1238">
        <f>+F76/F57</f>
        <v>2.9999996651200359E-2</v>
      </c>
      <c r="G77" s="1190">
        <f t="shared" ref="G77:I77" si="33">+G76/G57</f>
        <v>2.9999998449547368E-2</v>
      </c>
      <c r="H77" s="1271">
        <f t="shared" si="33"/>
        <v>2.9999995432953369E-2</v>
      </c>
      <c r="I77" s="712">
        <f t="shared" si="33"/>
        <v>3.0000002939835183E-2</v>
      </c>
      <c r="J77" s="1271" t="e">
        <f>+J76/(COMBINED!$J$50+COMBINED!$J$53+COMBINED!$J$54)</f>
        <v>#REF!</v>
      </c>
      <c r="K77" s="712" t="e">
        <f>+K76/(COMBINED!$K$50+COMBINED!$K$53+COMBINED!$K$54)</f>
        <v>#REF!</v>
      </c>
      <c r="L77" s="1271" t="e">
        <f>+L76/(COMBINED!$L$50+COMBINED!$L$53+COMBINED!$L$54)</f>
        <v>#REF!</v>
      </c>
      <c r="M77" s="1969"/>
      <c r="N77" s="1944"/>
      <c r="O77" s="1976"/>
      <c r="P77" s="1939"/>
      <c r="Q77" s="1976"/>
      <c r="R77" s="1798"/>
      <c r="S77" s="239"/>
      <c r="T77" s="239"/>
      <c r="U77" s="1570">
        <f>+F77-UNRESTRICTED!F77-RESTRICTED!F77</f>
        <v>0</v>
      </c>
      <c r="V77" s="1570">
        <f>+G77-UNRESTRICTED!G77-RESTRICTED!G77</f>
        <v>0</v>
      </c>
      <c r="W77" s="1570">
        <f>+H77-UNRESTRICTED!H77-RESTRICTED!H77</f>
        <v>0</v>
      </c>
      <c r="X77" s="1570">
        <f>+I77-UNRESTRICTED!I77-RESTRICTED!I77</f>
        <v>0</v>
      </c>
      <c r="Y77" s="799"/>
    </row>
    <row r="78" spans="1:25" s="233" customFormat="1" ht="24" customHeight="1" x14ac:dyDescent="0.25">
      <c r="A78" s="1341"/>
      <c r="B78" s="1463"/>
      <c r="C78" s="1419" t="str">
        <f>+UNRESTRICTED!C78</f>
        <v>Unassigned/Unappropriated Amount</v>
      </c>
      <c r="D78" s="1419"/>
      <c r="E78" s="229" t="e">
        <f>+E61-SUM(E65:E68,E76)</f>
        <v>#REF!</v>
      </c>
      <c r="F78" s="1239">
        <f>+F61-SUM(F65:F68,F76)</f>
        <v>10157541.039999999</v>
      </c>
      <c r="G78" s="1191">
        <f>+G61-SUM(G65:G68,G76)</f>
        <v>10479149.839999992</v>
      </c>
      <c r="H78" s="1272">
        <f>+H61-SUM(H65:H68,H76)</f>
        <v>6578836.8774745213</v>
      </c>
      <c r="I78" s="683">
        <f t="shared" ref="I78:L78" si="34">+I61-SUM(I65:I68,I76)</f>
        <v>4403778.2141156243</v>
      </c>
      <c r="J78" s="1272" t="e">
        <f t="shared" si="34"/>
        <v>#REF!</v>
      </c>
      <c r="K78" s="683" t="e">
        <f t="shared" si="34"/>
        <v>#REF!</v>
      </c>
      <c r="L78" s="1272" t="e">
        <f t="shared" si="34"/>
        <v>#REF!</v>
      </c>
      <c r="M78" s="1970"/>
      <c r="N78" s="1944"/>
      <c r="O78" s="1976"/>
      <c r="P78" s="1939"/>
      <c r="Q78" s="1976"/>
      <c r="R78" s="1798"/>
      <c r="S78" s="239"/>
      <c r="T78" s="239"/>
      <c r="U78" s="1570">
        <f>+F78-UNRESTRICTED!F78-RESTRICTED!F78</f>
        <v>-3.7252902984619141E-9</v>
      </c>
      <c r="V78" s="1570">
        <f>+G78-UNRESTRICTED!G78-RESTRICTED!G78</f>
        <v>-1.1175870895385742E-8</v>
      </c>
      <c r="W78" s="1570">
        <f>+H78-UNRESTRICTED!H78-RESTRICTED!H78</f>
        <v>-1.0244548320770264E-8</v>
      </c>
      <c r="X78" s="1570">
        <f>+I78-UNRESTRICTED!I78-RESTRICTED!I78</f>
        <v>-1.7695128917694092E-8</v>
      </c>
      <c r="Y78" s="799"/>
    </row>
    <row r="79" spans="1:25" s="233" customFormat="1" ht="18" x14ac:dyDescent="0.25">
      <c r="A79" s="1341"/>
      <c r="B79" s="1350"/>
      <c r="C79" s="1350"/>
      <c r="D79" s="1350"/>
      <c r="E79" s="230" t="e">
        <f>+E78/(+COMBINED!$G$50+COMBINED!$G$53+COMBINED!$G$54)</f>
        <v>#REF!</v>
      </c>
      <c r="F79" s="1240">
        <f>F78/F57</f>
        <v>0.1269237678100473</v>
      </c>
      <c r="G79" s="1192">
        <f t="shared" ref="G79:I79" si="35">G78/G57</f>
        <v>0.12225301309799051</v>
      </c>
      <c r="H79" s="1273">
        <f t="shared" si="35"/>
        <v>7.9955808406884571E-2</v>
      </c>
      <c r="I79" s="684">
        <f t="shared" si="35"/>
        <v>5.3515919627237486E-2</v>
      </c>
      <c r="J79" s="1273" t="e">
        <f>+J78/(+COMBINED!$H$50+COMBINED!$H$53+COMBINED!$H$54)</f>
        <v>#REF!</v>
      </c>
      <c r="K79" s="684" t="e">
        <f>+K78/(+COMBINED!$G$50+COMBINED!$G$53+COMBINED!$G$54)</f>
        <v>#REF!</v>
      </c>
      <c r="L79" s="1273" t="e">
        <f>+L78/(+COMBINED!$H$50+COMBINED!$H$53+COMBINED!$H$54)</f>
        <v>#REF!</v>
      </c>
      <c r="M79" s="1971"/>
      <c r="N79" s="1944"/>
      <c r="O79" s="1976"/>
      <c r="P79" s="1939"/>
      <c r="Q79" s="1976"/>
      <c r="R79" s="1798"/>
      <c r="S79" s="253"/>
      <c r="T79" s="253"/>
      <c r="U79" s="1570">
        <f>+F79-UNRESTRICTED!F79-RESTRICTED!F79</f>
        <v>-5.5511151231257827E-17</v>
      </c>
      <c r="V79" s="1570">
        <f>+G79-UNRESTRICTED!G79-RESTRICTED!G79</f>
        <v>-1.3877787807814457E-16</v>
      </c>
      <c r="W79" s="1570">
        <f>+H79-UNRESTRICTED!H79-RESTRICTED!H79</f>
        <v>-1.2490009027033011E-16</v>
      </c>
      <c r="X79" s="1570">
        <f>+I79-UNRESTRICTED!I79-RESTRICTED!I79</f>
        <v>-2.1510571102112408E-16</v>
      </c>
      <c r="Y79" s="799"/>
    </row>
    <row r="80" spans="1:25" s="252" customFormat="1" ht="28.5" customHeight="1" x14ac:dyDescent="0.25">
      <c r="A80" s="1448" t="str">
        <f>+UNRESTRICTED!A80</f>
        <v>TOTAL COMPONENTS OF ENDING FUND BALANCE</v>
      </c>
      <c r="B80" s="1464"/>
      <c r="C80" s="1449"/>
      <c r="D80" s="1449"/>
      <c r="E80" s="254" t="e">
        <f>+SUM(E65:E68,E76,E78)</f>
        <v>#REF!</v>
      </c>
      <c r="F80" s="1231">
        <f>+SUM(F65:F68,F76,F78)</f>
        <v>21098480.409999996</v>
      </c>
      <c r="G80" s="1287">
        <f>+SUM(G65:G68,G76,G78)</f>
        <v>13679549.169999987</v>
      </c>
      <c r="H80" s="1264">
        <f>+SUM(H65:H68,H76,H78)</f>
        <v>9672815.2074745148</v>
      </c>
      <c r="I80" s="707">
        <f t="shared" ref="I80:L80" si="36">+SUM(I65:I68,I76,I78)</f>
        <v>7458484.5441156179</v>
      </c>
      <c r="J80" s="1264" t="e">
        <f t="shared" si="36"/>
        <v>#REF!</v>
      </c>
      <c r="K80" s="707" t="e">
        <f t="shared" si="36"/>
        <v>#REF!</v>
      </c>
      <c r="L80" s="1264" t="e">
        <f t="shared" si="36"/>
        <v>#REF!</v>
      </c>
      <c r="M80" s="1972"/>
      <c r="N80" s="1944"/>
      <c r="O80" s="1976"/>
      <c r="P80" s="1939"/>
      <c r="Q80" s="1976"/>
      <c r="R80" s="1798"/>
      <c r="S80" s="710"/>
      <c r="T80" s="710"/>
      <c r="U80" s="1570">
        <f>+F80-UNRESTRICTED!F80-RESTRICTED!F80</f>
        <v>0</v>
      </c>
      <c r="V80" s="1570">
        <f>+G80-UNRESTRICTED!G80-RESTRICTED!G80</f>
        <v>-1.0244548320770264E-8</v>
      </c>
      <c r="W80" s="1570">
        <f>+H80-UNRESTRICTED!H80-RESTRICTED!H80</f>
        <v>-1.0244548320770264E-8</v>
      </c>
      <c r="X80" s="1570">
        <f>+I80-UNRESTRICTED!I80-RESTRICTED!I80</f>
        <v>-1.7695128917694092E-8</v>
      </c>
      <c r="Y80" s="799"/>
    </row>
    <row r="81" spans="1:25" s="233" customFormat="1" ht="24.75" customHeight="1" thickBot="1" x14ac:dyDescent="0.3">
      <c r="A81" s="1450"/>
      <c r="B81" s="1451"/>
      <c r="C81" s="1451"/>
      <c r="D81" s="1451"/>
      <c r="E81" s="256" t="e">
        <f>+E80/(+COMBINED!$G$50+COMBINED!$G$53+COMBINED!$G$54)</f>
        <v>#REF!</v>
      </c>
      <c r="F81" s="1232">
        <f>F80/F57</f>
        <v>0.26363650593762911</v>
      </c>
      <c r="G81" s="1288">
        <f>G80/G57</f>
        <v>0.15958986457766072</v>
      </c>
      <c r="H81" s="1265">
        <f t="shared" ref="H81:I81" si="37">H80/H57</f>
        <v>0.11755843379125142</v>
      </c>
      <c r="I81" s="708">
        <f t="shared" si="37"/>
        <v>9.0637548031932857E-2</v>
      </c>
      <c r="J81" s="1265" t="e">
        <f>+J80/(COMBINED!$J$50+COMBINED!$J$53+COMBINED!$J$54)</f>
        <v>#REF!</v>
      </c>
      <c r="K81" s="708" t="e">
        <f>+K80/(COMBINED!$K$50+COMBINED!$K$53+COMBINED!$K$54)</f>
        <v>#REF!</v>
      </c>
      <c r="L81" s="1265" t="e">
        <f>+L80/(COMBINED!$L$50+COMBINED!$L$53+COMBINED!$L$54)</f>
        <v>#REF!</v>
      </c>
      <c r="M81" s="1973"/>
      <c r="N81" s="1944"/>
      <c r="O81" s="1976"/>
      <c r="P81" s="1939"/>
      <c r="Q81" s="1976"/>
      <c r="R81" s="1798"/>
      <c r="S81" s="255"/>
      <c r="T81" s="255"/>
      <c r="U81" s="1768">
        <f>+F81-UNRESTRICTED!F81-RESTRICTED!F81</f>
        <v>0</v>
      </c>
      <c r="V81" s="1768">
        <f>+G81-UNRESTRICTED!G81-RESTRICTED!G81</f>
        <v>-1.1015494072452725E-16</v>
      </c>
      <c r="W81" s="1768">
        <f>+H81-UNRESTRICTED!H81-RESTRICTED!H81</f>
        <v>-1.2056328158038809E-16</v>
      </c>
      <c r="X81" s="1768">
        <f>+I81-UNRESTRICTED!I81-RESTRICTED!I81</f>
        <v>-2.1423834928313568E-16</v>
      </c>
      <c r="Y81" s="799"/>
    </row>
    <row r="82" spans="1:25" s="233" customFormat="1" ht="11.25" customHeight="1" thickTop="1" thickBot="1" x14ac:dyDescent="0.3">
      <c r="A82" s="1343"/>
      <c r="B82" s="1465"/>
      <c r="C82" s="1466"/>
      <c r="D82" s="1466"/>
      <c r="E82" s="220"/>
      <c r="F82" s="220"/>
      <c r="G82" s="1207"/>
      <c r="H82" s="220"/>
      <c r="I82" s="1507"/>
      <c r="J82" s="220"/>
      <c r="K82" s="1507"/>
      <c r="L82" s="220"/>
      <c r="M82" s="1974"/>
      <c r="N82" s="1954"/>
      <c r="O82" s="1981"/>
      <c r="P82" s="1956"/>
      <c r="Q82" s="1981"/>
      <c r="R82" s="1955"/>
      <c r="S82" s="255"/>
      <c r="T82" s="255"/>
      <c r="U82" s="1769"/>
      <c r="V82" s="1570"/>
      <c r="W82" s="1570"/>
      <c r="X82" s="1570"/>
      <c r="Y82" s="799"/>
    </row>
    <row r="83" spans="1:25" ht="11.25" customHeight="1" thickTop="1" x14ac:dyDescent="0.25">
      <c r="A83" s="1343"/>
      <c r="B83" s="1343"/>
      <c r="C83" s="1343"/>
      <c r="D83" s="1343"/>
      <c r="E83" s="257"/>
      <c r="F83" s="257"/>
      <c r="G83" s="257"/>
      <c r="H83" s="257"/>
      <c r="I83" s="257"/>
      <c r="J83" s="257"/>
      <c r="K83" s="257"/>
      <c r="L83" s="257"/>
      <c r="N83" s="1954"/>
      <c r="O83" s="1981"/>
      <c r="P83" s="1956"/>
      <c r="Q83" s="1981"/>
      <c r="R83" s="1955"/>
      <c r="U83" s="1569"/>
      <c r="V83" s="1569"/>
      <c r="W83" s="1569"/>
      <c r="X83" s="1569"/>
    </row>
    <row r="84" spans="1:25" ht="18" hidden="1" x14ac:dyDescent="0.25">
      <c r="A84" s="1343"/>
      <c r="B84" s="1343"/>
      <c r="C84" s="1343"/>
      <c r="D84" s="1343"/>
      <c r="E84" s="258"/>
      <c r="F84" s="302"/>
      <c r="G84" s="258"/>
      <c r="H84" s="258"/>
      <c r="I84" s="258"/>
      <c r="J84" s="258"/>
      <c r="K84" s="258"/>
      <c r="L84" s="258"/>
      <c r="M84" s="1963"/>
      <c r="N84" s="1957"/>
      <c r="O84" s="1982"/>
      <c r="P84" s="1959"/>
      <c r="Q84" s="1982"/>
      <c r="R84" s="1958"/>
      <c r="U84" s="1569"/>
      <c r="V84" s="1569"/>
      <c r="W84" s="1569"/>
      <c r="X84" s="1569"/>
    </row>
    <row r="85" spans="1:25" ht="18" hidden="1" x14ac:dyDescent="0.25">
      <c r="A85" s="1343"/>
      <c r="B85" s="1343"/>
      <c r="C85" s="1343"/>
      <c r="D85" s="1343"/>
      <c r="E85" s="259"/>
      <c r="F85" s="259"/>
      <c r="G85" s="259"/>
      <c r="H85" s="259"/>
      <c r="I85" s="259"/>
      <c r="J85" s="259"/>
      <c r="K85" s="259"/>
      <c r="L85" s="259"/>
      <c r="M85" s="1963"/>
      <c r="N85" s="1957"/>
      <c r="O85" s="1982"/>
      <c r="P85" s="1959"/>
      <c r="Q85" s="1982"/>
      <c r="R85" s="1958"/>
    </row>
    <row r="86" spans="1:25" ht="18" hidden="1" x14ac:dyDescent="0.25">
      <c r="A86" s="1343"/>
      <c r="B86" s="1343"/>
      <c r="C86" s="1466"/>
      <c r="D86" s="1466"/>
      <c r="E86" s="259"/>
      <c r="F86" s="260"/>
      <c r="G86" s="259"/>
      <c r="H86" s="259"/>
      <c r="I86" s="259"/>
      <c r="J86" s="259"/>
      <c r="K86" s="259"/>
      <c r="L86" s="259"/>
      <c r="M86" s="1963"/>
      <c r="N86" s="1957"/>
      <c r="O86" s="1982"/>
      <c r="P86" s="1959"/>
      <c r="Q86" s="1982"/>
      <c r="R86" s="1958"/>
    </row>
    <row r="87" spans="1:25" ht="18" hidden="1" x14ac:dyDescent="0.25">
      <c r="A87" s="1343"/>
      <c r="B87" s="1343"/>
      <c r="C87" s="1466"/>
      <c r="D87" s="1466"/>
      <c r="E87" s="260"/>
      <c r="F87" s="260"/>
      <c r="G87" s="260"/>
      <c r="H87" s="260"/>
      <c r="I87" s="260"/>
      <c r="J87" s="260"/>
      <c r="K87" s="260"/>
      <c r="L87" s="260"/>
      <c r="M87" s="1963"/>
      <c r="N87" s="1957"/>
      <c r="O87" s="1982"/>
      <c r="P87" s="1959"/>
      <c r="Q87" s="1982"/>
      <c r="R87" s="1958"/>
    </row>
    <row r="88" spans="1:25" ht="18" hidden="1" x14ac:dyDescent="0.25">
      <c r="A88" s="1467"/>
      <c r="B88" s="1468"/>
      <c r="C88" s="1468"/>
      <c r="D88" s="1468"/>
      <c r="E88" s="261"/>
      <c r="F88" s="261"/>
      <c r="G88" s="261"/>
      <c r="H88" s="261"/>
      <c r="I88" s="261"/>
      <c r="J88" s="261"/>
      <c r="K88" s="261"/>
      <c r="L88" s="261"/>
      <c r="M88" s="1963"/>
      <c r="N88" s="1957"/>
      <c r="O88" s="1982"/>
      <c r="P88" s="1959"/>
      <c r="Q88" s="1982"/>
      <c r="R88" s="1958"/>
    </row>
    <row r="89" spans="1:25" ht="18" hidden="1" x14ac:dyDescent="0.25">
      <c r="A89" s="1343"/>
      <c r="B89" s="1343"/>
      <c r="C89" s="1343"/>
      <c r="D89" s="1343"/>
      <c r="E89" s="262"/>
      <c r="F89" s="303"/>
      <c r="G89" s="262"/>
      <c r="H89" s="304"/>
      <c r="I89" s="262"/>
      <c r="J89" s="304"/>
      <c r="K89" s="262"/>
      <c r="L89" s="304"/>
      <c r="M89" s="1963"/>
      <c r="N89" s="1957"/>
      <c r="O89" s="1982"/>
      <c r="P89" s="1959"/>
      <c r="Q89" s="1982"/>
      <c r="R89" s="1958"/>
    </row>
    <row r="90" spans="1:25" ht="18" hidden="1" x14ac:dyDescent="0.25">
      <c r="A90" s="1343"/>
      <c r="B90" s="1343"/>
      <c r="C90" s="1343"/>
      <c r="D90" s="1343"/>
      <c r="E90" s="263"/>
      <c r="F90" s="263"/>
      <c r="G90" s="263"/>
      <c r="H90" s="263"/>
      <c r="I90" s="263"/>
      <c r="J90" s="263"/>
      <c r="K90" s="263"/>
      <c r="L90" s="263"/>
      <c r="M90" s="1963"/>
      <c r="N90" s="1957"/>
      <c r="O90" s="1982"/>
      <c r="P90" s="1959"/>
      <c r="Q90" s="1982"/>
      <c r="R90" s="1958"/>
      <c r="S90" s="305"/>
      <c r="T90" s="305"/>
    </row>
    <row r="91" spans="1:25" ht="18" hidden="1" x14ac:dyDescent="0.25">
      <c r="A91" s="1343"/>
      <c r="B91" s="1343"/>
      <c r="C91" s="1343"/>
      <c r="D91" s="1343"/>
      <c r="E91" s="263"/>
      <c r="F91" s="263"/>
      <c r="G91" s="263"/>
      <c r="H91" s="263"/>
      <c r="I91" s="263"/>
      <c r="J91" s="263"/>
      <c r="K91" s="263"/>
      <c r="L91" s="263"/>
      <c r="M91" s="1963"/>
      <c r="N91" s="1957"/>
      <c r="O91" s="1982"/>
      <c r="P91" s="1959"/>
      <c r="Q91" s="1982"/>
      <c r="R91" s="1958"/>
      <c r="S91" s="306"/>
      <c r="T91" s="306"/>
    </row>
    <row r="92" spans="1:25" ht="18" hidden="1" x14ac:dyDescent="0.25">
      <c r="A92" s="1343"/>
      <c r="B92" s="1343"/>
      <c r="C92" s="1343"/>
      <c r="D92" s="1343"/>
      <c r="E92" s="263"/>
      <c r="F92" s="263"/>
      <c r="G92" s="263"/>
      <c r="H92" s="263"/>
      <c r="I92" s="263"/>
      <c r="J92" s="263"/>
      <c r="K92" s="263"/>
      <c r="L92" s="263"/>
      <c r="M92" s="1963"/>
      <c r="N92" s="1957"/>
      <c r="O92" s="1982"/>
      <c r="P92" s="1959"/>
      <c r="Q92" s="1982"/>
      <c r="R92" s="1958"/>
      <c r="S92" s="306"/>
      <c r="T92" s="306"/>
    </row>
    <row r="93" spans="1:25" ht="18" hidden="1" x14ac:dyDescent="0.25">
      <c r="A93" s="1343"/>
      <c r="B93" s="1343"/>
      <c r="C93" s="1343"/>
      <c r="D93" s="1343"/>
      <c r="E93" s="263"/>
      <c r="F93" s="261"/>
      <c r="G93" s="263"/>
      <c r="H93" s="261"/>
      <c r="I93" s="263"/>
      <c r="J93" s="261"/>
      <c r="K93" s="263"/>
      <c r="L93" s="261"/>
      <c r="M93" s="1963"/>
      <c r="N93" s="1957"/>
      <c r="O93" s="1982"/>
      <c r="P93" s="1959"/>
      <c r="Q93" s="1982"/>
      <c r="R93" s="1958"/>
      <c r="S93" s="306"/>
      <c r="T93" s="306"/>
    </row>
    <row r="94" spans="1:25" ht="18" hidden="1" x14ac:dyDescent="0.25">
      <c r="A94" s="1343"/>
      <c r="B94" s="1343"/>
      <c r="C94" s="1343"/>
      <c r="D94" s="1343"/>
      <c r="E94" s="262"/>
      <c r="F94" s="262"/>
      <c r="G94" s="262"/>
      <c r="H94" s="262"/>
      <c r="I94" s="262"/>
      <c r="J94" s="262"/>
      <c r="K94" s="262"/>
      <c r="L94" s="262"/>
      <c r="S94" s="305"/>
      <c r="T94" s="305"/>
    </row>
    <row r="95" spans="1:25" ht="18" hidden="1" x14ac:dyDescent="0.25">
      <c r="A95" s="1343"/>
      <c r="B95" s="1343"/>
      <c r="C95" s="1343"/>
      <c r="D95" s="1343"/>
      <c r="E95" s="263"/>
      <c r="F95" s="263"/>
      <c r="G95" s="263"/>
      <c r="H95" s="263"/>
      <c r="I95" s="263"/>
      <c r="J95" s="263"/>
      <c r="K95" s="263"/>
      <c r="L95" s="263"/>
      <c r="S95" s="305"/>
      <c r="T95" s="305"/>
    </row>
    <row r="96" spans="1:25" ht="18" hidden="1" x14ac:dyDescent="0.25">
      <c r="A96" s="1343"/>
      <c r="B96" s="1343"/>
      <c r="C96" s="1343"/>
      <c r="D96" s="1343"/>
      <c r="E96" s="263"/>
      <c r="F96" s="263"/>
      <c r="G96" s="263"/>
      <c r="H96" s="263"/>
      <c r="I96" s="263"/>
      <c r="J96" s="263"/>
      <c r="K96" s="263"/>
      <c r="L96" s="263"/>
      <c r="S96" s="305"/>
      <c r="T96" s="305"/>
    </row>
    <row r="97" spans="1:25" ht="18" hidden="1" x14ac:dyDescent="0.25">
      <c r="A97" s="1343"/>
      <c r="B97" s="1343"/>
      <c r="C97" s="1343"/>
      <c r="D97" s="1343"/>
      <c r="E97" s="263"/>
      <c r="F97" s="263"/>
      <c r="G97" s="263"/>
      <c r="H97" s="263"/>
      <c r="I97" s="263"/>
      <c r="J97" s="263"/>
      <c r="K97" s="263"/>
      <c r="L97" s="263"/>
      <c r="S97" s="305"/>
      <c r="T97" s="305"/>
    </row>
    <row r="98" spans="1:25" ht="18" hidden="1" x14ac:dyDescent="0.25">
      <c r="A98" s="1343"/>
      <c r="B98" s="1343"/>
      <c r="C98" s="1343"/>
      <c r="D98" s="1343"/>
      <c r="E98" s="263"/>
      <c r="F98" s="263"/>
      <c r="G98" s="263"/>
      <c r="H98" s="263"/>
      <c r="I98" s="263"/>
      <c r="J98" s="263"/>
      <c r="K98" s="263"/>
      <c r="L98" s="263"/>
      <c r="S98" s="305"/>
      <c r="T98" s="305"/>
    </row>
    <row r="99" spans="1:25" ht="18" hidden="1" x14ac:dyDescent="0.25">
      <c r="A99" s="1343"/>
      <c r="B99" s="1343"/>
      <c r="C99" s="1343"/>
      <c r="D99" s="1343"/>
      <c r="E99" s="263"/>
      <c r="F99" s="263"/>
      <c r="G99" s="263"/>
      <c r="H99" s="263"/>
      <c r="I99" s="263"/>
      <c r="J99" s="263"/>
      <c r="K99" s="263"/>
      <c r="L99" s="263"/>
      <c r="S99" s="305"/>
      <c r="T99" s="305"/>
    </row>
    <row r="100" spans="1:25" ht="18" hidden="1" x14ac:dyDescent="0.25">
      <c r="A100" s="1343"/>
      <c r="B100" s="1343"/>
      <c r="C100" s="1343"/>
      <c r="D100" s="1343"/>
      <c r="E100" s="263"/>
      <c r="F100" s="263"/>
      <c r="G100" s="263"/>
      <c r="H100" s="263"/>
      <c r="I100" s="263"/>
      <c r="J100" s="263"/>
      <c r="K100" s="263"/>
      <c r="L100" s="263"/>
      <c r="S100" s="306"/>
      <c r="T100" s="306"/>
    </row>
    <row r="101" spans="1:25" s="217" customFormat="1" ht="18" hidden="1" x14ac:dyDescent="0.25">
      <c r="A101" s="1343"/>
      <c r="B101" s="1343"/>
      <c r="C101" s="1343"/>
      <c r="D101" s="1343"/>
      <c r="E101" s="263"/>
      <c r="F101" s="263"/>
      <c r="G101" s="263"/>
      <c r="H101" s="263"/>
      <c r="I101" s="263"/>
      <c r="J101" s="263"/>
      <c r="K101" s="263"/>
      <c r="L101" s="263"/>
      <c r="M101" s="1974"/>
      <c r="N101" s="1944"/>
      <c r="O101" s="1976"/>
      <c r="P101" s="1939"/>
      <c r="Q101" s="1976"/>
      <c r="R101" s="1798"/>
      <c r="S101" s="225"/>
      <c r="T101" s="225"/>
      <c r="U101" s="1572"/>
      <c r="V101" s="1572"/>
      <c r="W101" s="1572"/>
      <c r="X101" s="1572"/>
      <c r="Y101" s="802"/>
    </row>
    <row r="102" spans="1:25" s="217" customFormat="1" ht="18" hidden="1" x14ac:dyDescent="0.25">
      <c r="A102" s="1343"/>
      <c r="B102" s="1343"/>
      <c r="C102" s="1343"/>
      <c r="D102" s="1343"/>
      <c r="E102" s="221"/>
      <c r="F102" s="261"/>
      <c r="G102" s="221"/>
      <c r="H102" s="261"/>
      <c r="I102" s="221"/>
      <c r="J102" s="261"/>
      <c r="K102" s="221"/>
      <c r="L102" s="261"/>
      <c r="M102" s="1974"/>
      <c r="N102" s="1944"/>
      <c r="O102" s="1976"/>
      <c r="P102" s="1939"/>
      <c r="Q102" s="1976"/>
      <c r="R102" s="1798"/>
      <c r="S102" s="225"/>
      <c r="T102" s="225"/>
      <c r="U102" s="1572"/>
      <c r="V102" s="1572"/>
      <c r="W102" s="1572"/>
      <c r="X102" s="1572"/>
      <c r="Y102" s="802"/>
    </row>
    <row r="103" spans="1:25" ht="22.5" hidden="1" x14ac:dyDescent="0.55000000000000004">
      <c r="A103" s="1467"/>
      <c r="B103" s="1468"/>
      <c r="C103" s="1468"/>
      <c r="D103" s="1468"/>
      <c r="E103" s="264"/>
      <c r="F103" s="307"/>
      <c r="G103" s="264"/>
      <c r="H103" s="307"/>
      <c r="I103" s="264"/>
      <c r="J103" s="307"/>
      <c r="K103" s="264"/>
      <c r="L103" s="307"/>
      <c r="S103" s="308"/>
      <c r="T103" s="308"/>
    </row>
    <row r="104" spans="1:25" s="310" customFormat="1" ht="18.75" hidden="1" x14ac:dyDescent="0.3">
      <c r="A104" s="1342"/>
      <c r="B104" s="1342"/>
      <c r="C104" s="1342"/>
      <c r="D104" s="1342"/>
      <c r="E104" s="265"/>
      <c r="F104" s="265"/>
      <c r="G104" s="265"/>
      <c r="H104" s="265"/>
      <c r="I104" s="265"/>
      <c r="J104" s="265"/>
      <c r="K104" s="265"/>
      <c r="L104" s="265"/>
      <c r="M104" s="1974"/>
      <c r="N104" s="1944"/>
      <c r="O104" s="1976"/>
      <c r="P104" s="1939"/>
      <c r="Q104" s="1976"/>
      <c r="R104" s="1798"/>
      <c r="S104" s="309"/>
      <c r="T104" s="309"/>
      <c r="U104" s="1573"/>
      <c r="V104" s="1573"/>
      <c r="W104" s="1573"/>
      <c r="X104" s="1573"/>
      <c r="Y104" s="803"/>
    </row>
    <row r="105" spans="1:25" ht="18" hidden="1" x14ac:dyDescent="0.25">
      <c r="A105" s="1343"/>
      <c r="B105" s="1343"/>
      <c r="C105" s="1343"/>
      <c r="D105" s="1343"/>
      <c r="E105" s="266"/>
      <c r="F105" s="266"/>
      <c r="G105" s="266"/>
      <c r="H105" s="266"/>
      <c r="I105" s="266"/>
      <c r="J105" s="266"/>
      <c r="K105" s="266"/>
      <c r="L105" s="266"/>
      <c r="S105" s="311"/>
      <c r="T105" s="311"/>
    </row>
    <row r="106" spans="1:25" s="310" customFormat="1" ht="18.75" hidden="1" x14ac:dyDescent="0.3">
      <c r="A106" s="1342"/>
      <c r="B106" s="1342"/>
      <c r="C106" s="1342"/>
      <c r="D106" s="1342"/>
      <c r="E106" s="265"/>
      <c r="F106" s="265"/>
      <c r="G106" s="265"/>
      <c r="H106" s="265"/>
      <c r="I106" s="265"/>
      <c r="J106" s="265"/>
      <c r="K106" s="265"/>
      <c r="L106" s="265"/>
      <c r="M106" s="1974"/>
      <c r="N106" s="1944"/>
      <c r="O106" s="1976"/>
      <c r="P106" s="1939"/>
      <c r="Q106" s="1976"/>
      <c r="R106" s="1798"/>
      <c r="S106" s="309"/>
      <c r="T106" s="309"/>
      <c r="U106" s="1573"/>
      <c r="V106" s="1573"/>
      <c r="W106" s="1573"/>
      <c r="X106" s="1573"/>
      <c r="Y106" s="803"/>
    </row>
    <row r="107" spans="1:25" ht="18" hidden="1" x14ac:dyDescent="0.25">
      <c r="A107" s="1343"/>
      <c r="B107" s="1343"/>
      <c r="C107" s="1343"/>
      <c r="D107" s="1343"/>
      <c r="E107" s="266"/>
      <c r="F107" s="266"/>
      <c r="G107" s="266"/>
      <c r="H107" s="266"/>
      <c r="I107" s="266"/>
      <c r="J107" s="266"/>
      <c r="K107" s="266"/>
      <c r="L107" s="266"/>
      <c r="S107" s="311"/>
      <c r="T107" s="311"/>
    </row>
    <row r="108" spans="1:25" s="310" customFormat="1" ht="18.75" hidden="1" x14ac:dyDescent="0.3">
      <c r="A108" s="1342"/>
      <c r="B108" s="1342"/>
      <c r="C108" s="1342"/>
      <c r="D108" s="1342"/>
      <c r="E108" s="265"/>
      <c r="F108" s="265"/>
      <c r="G108" s="265"/>
      <c r="H108" s="265"/>
      <c r="I108" s="265"/>
      <c r="J108" s="265"/>
      <c r="K108" s="265"/>
      <c r="L108" s="265"/>
      <c r="M108" s="1974"/>
      <c r="N108" s="1944"/>
      <c r="O108" s="1976"/>
      <c r="P108" s="1939"/>
      <c r="Q108" s="1976"/>
      <c r="R108" s="1798"/>
      <c r="S108" s="309"/>
      <c r="T108" s="309"/>
      <c r="U108" s="1573"/>
      <c r="V108" s="1573"/>
      <c r="W108" s="1573"/>
      <c r="X108" s="1573"/>
      <c r="Y108" s="803"/>
    </row>
    <row r="109" spans="1:25" ht="18" hidden="1" x14ac:dyDescent="0.25">
      <c r="A109" s="1342"/>
      <c r="B109" s="1343"/>
      <c r="C109" s="1343"/>
      <c r="D109" s="1343"/>
      <c r="E109" s="266"/>
      <c r="F109" s="266"/>
      <c r="G109" s="266"/>
      <c r="H109" s="266"/>
      <c r="I109" s="266"/>
      <c r="J109" s="266"/>
      <c r="K109" s="266"/>
      <c r="L109" s="266"/>
      <c r="S109" s="311"/>
      <c r="T109" s="311"/>
    </row>
    <row r="110" spans="1:25" ht="18" hidden="1" x14ac:dyDescent="0.25">
      <c r="A110" s="1343"/>
      <c r="B110" s="1343"/>
      <c r="C110" s="1469"/>
      <c r="D110" s="1469"/>
      <c r="E110" s="266"/>
      <c r="F110" s="266"/>
      <c r="G110" s="266"/>
      <c r="H110" s="266"/>
      <c r="I110" s="266"/>
      <c r="J110" s="266"/>
      <c r="K110" s="266"/>
      <c r="L110" s="266"/>
      <c r="S110" s="311"/>
      <c r="T110" s="311"/>
    </row>
    <row r="111" spans="1:25" ht="18" hidden="1" x14ac:dyDescent="0.25">
      <c r="A111" s="1467"/>
      <c r="B111" s="1343"/>
      <c r="C111" s="1343"/>
      <c r="D111" s="1343"/>
      <c r="E111" s="266"/>
      <c r="F111" s="266"/>
      <c r="G111" s="266"/>
      <c r="H111" s="266"/>
      <c r="I111" s="266"/>
      <c r="J111" s="266"/>
      <c r="K111" s="266"/>
      <c r="L111" s="266"/>
    </row>
    <row r="112" spans="1:25" s="313" customFormat="1" ht="22.5" hidden="1" customHeight="1" x14ac:dyDescent="0.25">
      <c r="A112" s="1470"/>
      <c r="B112" s="1471"/>
      <c r="C112" s="1472"/>
      <c r="D112" s="1472"/>
      <c r="E112" s="265"/>
      <c r="F112" s="265"/>
      <c r="G112" s="265"/>
      <c r="H112" s="265"/>
      <c r="I112" s="265"/>
      <c r="J112" s="265"/>
      <c r="K112" s="265"/>
      <c r="L112" s="265"/>
      <c r="M112" s="1974"/>
      <c r="N112" s="1944"/>
      <c r="O112" s="1976"/>
      <c r="P112" s="1939"/>
      <c r="Q112" s="1976"/>
      <c r="R112" s="1798"/>
      <c r="S112" s="312"/>
      <c r="T112" s="312"/>
      <c r="U112" s="1574"/>
      <c r="V112" s="1574"/>
      <c r="W112" s="1574"/>
      <c r="X112" s="1574"/>
      <c r="Y112" s="804"/>
    </row>
    <row r="113" spans="1:25" s="315" customFormat="1" ht="18" hidden="1" x14ac:dyDescent="0.25">
      <c r="A113" s="1473"/>
      <c r="B113" s="1474"/>
      <c r="C113" s="1473"/>
      <c r="D113" s="1473"/>
      <c r="E113" s="267"/>
      <c r="F113" s="267"/>
      <c r="G113" s="267"/>
      <c r="H113" s="267"/>
      <c r="I113" s="267"/>
      <c r="J113" s="267"/>
      <c r="K113" s="267"/>
      <c r="L113" s="267"/>
      <c r="M113" s="1974"/>
      <c r="N113" s="1944"/>
      <c r="O113" s="1976"/>
      <c r="P113" s="1939"/>
      <c r="Q113" s="1976"/>
      <c r="R113" s="1798"/>
      <c r="S113" s="314"/>
      <c r="T113" s="314"/>
      <c r="U113" s="1575"/>
      <c r="V113" s="1575"/>
      <c r="W113" s="1575"/>
      <c r="X113" s="1575"/>
      <c r="Y113" s="805"/>
    </row>
    <row r="114" spans="1:25" s="313" customFormat="1" ht="22.5" hidden="1" customHeight="1" x14ac:dyDescent="0.25">
      <c r="A114" s="1470"/>
      <c r="B114" s="1475"/>
      <c r="C114" s="1470"/>
      <c r="D114" s="1470"/>
      <c r="E114" s="265"/>
      <c r="F114" s="265"/>
      <c r="G114" s="265"/>
      <c r="H114" s="265"/>
      <c r="I114" s="265"/>
      <c r="J114" s="265"/>
      <c r="K114" s="265"/>
      <c r="L114" s="265"/>
      <c r="M114" s="1974"/>
      <c r="N114" s="1944"/>
      <c r="O114" s="1976"/>
      <c r="P114" s="1939"/>
      <c r="Q114" s="1976"/>
      <c r="R114" s="1798"/>
      <c r="S114" s="312"/>
      <c r="T114" s="312"/>
      <c r="U114" s="1574"/>
      <c r="V114" s="1574"/>
      <c r="W114" s="1574"/>
      <c r="X114" s="1574"/>
      <c r="Y114" s="804"/>
    </row>
    <row r="115" spans="1:25" s="315" customFormat="1" ht="18" hidden="1" x14ac:dyDescent="0.25">
      <c r="A115" s="1473"/>
      <c r="B115" s="1474"/>
      <c r="C115" s="1473"/>
      <c r="D115" s="1473"/>
      <c r="E115" s="267"/>
      <c r="F115" s="267"/>
      <c r="G115" s="267"/>
      <c r="H115" s="267"/>
      <c r="I115" s="267"/>
      <c r="J115" s="267"/>
      <c r="K115" s="267"/>
      <c r="L115" s="267"/>
      <c r="M115" s="1974"/>
      <c r="N115" s="1944"/>
      <c r="O115" s="1976"/>
      <c r="P115" s="1939"/>
      <c r="Q115" s="1976"/>
      <c r="R115" s="1798"/>
      <c r="S115" s="314"/>
      <c r="T115" s="314"/>
      <c r="U115" s="1575"/>
      <c r="V115" s="1575"/>
      <c r="W115" s="1575"/>
      <c r="X115" s="1575"/>
      <c r="Y115" s="805"/>
    </row>
    <row r="116" spans="1:25" s="313" customFormat="1" ht="22.5" hidden="1" customHeight="1" x14ac:dyDescent="0.25">
      <c r="A116" s="1470"/>
      <c r="B116" s="1475"/>
      <c r="C116" s="1470"/>
      <c r="D116" s="1470"/>
      <c r="E116" s="265"/>
      <c r="F116" s="265"/>
      <c r="G116" s="265"/>
      <c r="H116" s="265"/>
      <c r="I116" s="265"/>
      <c r="J116" s="265"/>
      <c r="K116" s="265"/>
      <c r="L116" s="265"/>
      <c r="M116" s="1974"/>
      <c r="N116" s="1944"/>
      <c r="O116" s="1976"/>
      <c r="P116" s="1939"/>
      <c r="Q116" s="1976"/>
      <c r="R116" s="1798"/>
      <c r="S116" s="312"/>
      <c r="T116" s="312"/>
      <c r="U116" s="1574"/>
      <c r="V116" s="1574"/>
      <c r="W116" s="1574"/>
      <c r="X116" s="1574"/>
      <c r="Y116" s="804"/>
    </row>
    <row r="117" spans="1:25" s="315" customFormat="1" ht="18" hidden="1" x14ac:dyDescent="0.25">
      <c r="A117" s="1473"/>
      <c r="B117" s="1474"/>
      <c r="C117" s="1473"/>
      <c r="D117" s="1473"/>
      <c r="E117" s="267"/>
      <c r="F117" s="267"/>
      <c r="G117" s="267"/>
      <c r="H117" s="267"/>
      <c r="I117" s="267"/>
      <c r="J117" s="267"/>
      <c r="K117" s="267"/>
      <c r="L117" s="267"/>
      <c r="M117" s="1974"/>
      <c r="N117" s="1944"/>
      <c r="O117" s="1976"/>
      <c r="P117" s="1939"/>
      <c r="Q117" s="1976"/>
      <c r="R117" s="1798"/>
      <c r="S117" s="314"/>
      <c r="T117" s="314"/>
      <c r="U117" s="1575"/>
      <c r="V117" s="1575"/>
      <c r="W117" s="1575"/>
      <c r="X117" s="1575"/>
      <c r="Y117" s="805"/>
    </row>
    <row r="118" spans="1:25" s="313" customFormat="1" ht="18" hidden="1" customHeight="1" x14ac:dyDescent="0.25">
      <c r="A118" s="1470"/>
      <c r="B118" s="1470"/>
      <c r="C118" s="1475"/>
      <c r="D118" s="1475"/>
      <c r="E118" s="265"/>
      <c r="F118" s="265"/>
      <c r="G118" s="265"/>
      <c r="H118" s="265"/>
      <c r="I118" s="265"/>
      <c r="J118" s="265"/>
      <c r="K118" s="265"/>
      <c r="L118" s="265"/>
      <c r="M118" s="1974"/>
      <c r="N118" s="1944"/>
      <c r="O118" s="1976"/>
      <c r="P118" s="1939"/>
      <c r="Q118" s="1976"/>
      <c r="R118" s="1798"/>
      <c r="S118" s="312"/>
      <c r="T118" s="312"/>
      <c r="U118" s="1574"/>
      <c r="V118" s="1574"/>
      <c r="W118" s="1574"/>
      <c r="X118" s="1574"/>
      <c r="Y118" s="804"/>
    </row>
    <row r="119" spans="1:25" ht="18" hidden="1" x14ac:dyDescent="0.25">
      <c r="A119" s="1467"/>
      <c r="B119" s="1343"/>
      <c r="C119" s="1343"/>
      <c r="D119" s="1343"/>
      <c r="E119" s="268"/>
      <c r="F119" s="316"/>
      <c r="G119" s="268"/>
      <c r="H119" s="268"/>
      <c r="I119" s="268"/>
      <c r="J119" s="268"/>
      <c r="K119" s="268"/>
      <c r="L119" s="268"/>
    </row>
    <row r="120" spans="1:25" ht="18" hidden="1" x14ac:dyDescent="0.25">
      <c r="A120" s="1470"/>
      <c r="B120" s="1471"/>
      <c r="C120" s="1472"/>
      <c r="D120" s="1472"/>
      <c r="E120" s="265"/>
      <c r="F120" s="265"/>
      <c r="G120" s="265"/>
      <c r="H120" s="265"/>
      <c r="I120" s="265"/>
      <c r="J120" s="265"/>
      <c r="K120" s="265"/>
      <c r="L120" s="265"/>
    </row>
    <row r="121" spans="1:25" ht="18" hidden="1" x14ac:dyDescent="0.25">
      <c r="A121" s="1473"/>
      <c r="B121" s="1474"/>
      <c r="C121" s="1473"/>
      <c r="D121" s="1473"/>
      <c r="E121" s="267"/>
      <c r="F121" s="267"/>
      <c r="G121" s="267"/>
      <c r="H121" s="267"/>
      <c r="I121" s="267"/>
      <c r="J121" s="267"/>
      <c r="K121" s="267"/>
      <c r="L121" s="267"/>
    </row>
    <row r="122" spans="1:25" ht="18" hidden="1" x14ac:dyDescent="0.25">
      <c r="A122" s="1470"/>
      <c r="B122" s="1475"/>
      <c r="C122" s="1470"/>
      <c r="D122" s="1470"/>
      <c r="E122" s="265"/>
      <c r="F122" s="265"/>
      <c r="G122" s="265"/>
      <c r="H122" s="265"/>
      <c r="I122" s="265"/>
      <c r="J122" s="265"/>
      <c r="K122" s="265"/>
      <c r="L122" s="265"/>
    </row>
    <row r="123" spans="1:25" ht="18" hidden="1" x14ac:dyDescent="0.25">
      <c r="A123" s="1473"/>
      <c r="B123" s="1474"/>
      <c r="C123" s="1473"/>
      <c r="D123" s="1473"/>
      <c r="E123" s="267"/>
      <c r="F123" s="267"/>
      <c r="G123" s="267"/>
      <c r="H123" s="267"/>
      <c r="I123" s="267"/>
      <c r="J123" s="267"/>
      <c r="K123" s="267"/>
      <c r="L123" s="267"/>
    </row>
    <row r="124" spans="1:25" ht="18" hidden="1" x14ac:dyDescent="0.25">
      <c r="A124" s="1470"/>
      <c r="B124" s="1475"/>
      <c r="C124" s="1470"/>
      <c r="D124" s="1470"/>
      <c r="E124" s="265"/>
      <c r="F124" s="265"/>
      <c r="G124" s="265"/>
      <c r="H124" s="265"/>
      <c r="I124" s="265"/>
      <c r="J124" s="265"/>
      <c r="K124" s="265"/>
      <c r="L124" s="265"/>
    </row>
    <row r="125" spans="1:25" ht="20.25" hidden="1" x14ac:dyDescent="0.25">
      <c r="A125" s="1473"/>
      <c r="B125" s="1474"/>
      <c r="C125" s="1473"/>
      <c r="D125" s="1473"/>
      <c r="E125" s="269"/>
      <c r="F125" s="267"/>
      <c r="G125" s="269"/>
      <c r="H125" s="269"/>
      <c r="I125" s="269"/>
      <c r="J125" s="269"/>
      <c r="K125" s="269"/>
      <c r="L125" s="269"/>
    </row>
    <row r="126" spans="1:25" ht="18" hidden="1" x14ac:dyDescent="0.25">
      <c r="A126" s="1470"/>
      <c r="B126" s="1470"/>
      <c r="C126" s="1475"/>
      <c r="D126" s="1475"/>
      <c r="E126" s="265"/>
      <c r="F126" s="265"/>
      <c r="G126" s="265"/>
      <c r="H126" s="265"/>
      <c r="I126" s="265"/>
      <c r="J126" s="265"/>
      <c r="K126" s="265"/>
      <c r="L126" s="265"/>
    </row>
    <row r="127" spans="1:25" ht="18" hidden="1" x14ac:dyDescent="0.25">
      <c r="A127" s="1467"/>
      <c r="B127" s="1343"/>
      <c r="C127" s="1343"/>
      <c r="D127" s="1476"/>
      <c r="E127" s="265"/>
      <c r="F127" s="265"/>
      <c r="G127" s="265"/>
      <c r="H127" s="265"/>
      <c r="I127" s="265"/>
      <c r="J127" s="265"/>
      <c r="K127" s="265"/>
      <c r="L127" s="265"/>
    </row>
    <row r="128" spans="1:25" ht="18" hidden="1" x14ac:dyDescent="0.25">
      <c r="A128" s="1467"/>
      <c r="B128" s="1343"/>
      <c r="C128" s="1343"/>
      <c r="D128" s="1477"/>
      <c r="E128" s="270"/>
      <c r="F128" s="317"/>
      <c r="G128" s="270"/>
      <c r="H128" s="317"/>
      <c r="I128" s="270"/>
      <c r="J128" s="317"/>
      <c r="K128" s="270"/>
      <c r="L128" s="317"/>
    </row>
    <row r="129" spans="1:12" ht="18" hidden="1" x14ac:dyDescent="0.25">
      <c r="A129" s="1467"/>
      <c r="B129" s="1342"/>
      <c r="C129" s="1343"/>
      <c r="D129" s="1476"/>
      <c r="E129" s="271"/>
      <c r="F129" s="271"/>
      <c r="G129" s="271"/>
      <c r="H129" s="271"/>
      <c r="I129" s="271"/>
      <c r="J129" s="271"/>
      <c r="K129" s="271"/>
      <c r="L129" s="271"/>
    </row>
    <row r="130" spans="1:12" ht="18" hidden="1" x14ac:dyDescent="0.25">
      <c r="A130" s="1467"/>
      <c r="B130" s="1342"/>
      <c r="C130" s="1343"/>
      <c r="D130" s="1478"/>
      <c r="E130" s="272"/>
      <c r="F130" s="318"/>
      <c r="G130" s="272"/>
      <c r="H130" s="272"/>
      <c r="I130" s="272"/>
      <c r="J130" s="272"/>
      <c r="K130" s="272"/>
      <c r="L130" s="272"/>
    </row>
    <row r="131" spans="1:12" ht="18" hidden="1" x14ac:dyDescent="0.25">
      <c r="A131" s="1467"/>
      <c r="B131" s="1342"/>
      <c r="C131" s="1343"/>
      <c r="D131" s="1476"/>
      <c r="E131" s="273"/>
      <c r="F131" s="271"/>
      <c r="G131" s="273"/>
      <c r="H131" s="273"/>
      <c r="I131" s="273"/>
      <c r="J131" s="273"/>
      <c r="K131" s="273"/>
      <c r="L131" s="273"/>
    </row>
    <row r="132" spans="1:12" ht="18" hidden="1" x14ac:dyDescent="0.25">
      <c r="A132" s="1467"/>
      <c r="B132" s="1342"/>
      <c r="C132" s="1343"/>
      <c r="D132" s="1478"/>
      <c r="E132" s="271"/>
      <c r="F132" s="271"/>
      <c r="G132" s="271"/>
      <c r="H132" s="271"/>
      <c r="I132" s="271"/>
      <c r="J132" s="271"/>
      <c r="K132" s="271"/>
      <c r="L132" s="271"/>
    </row>
    <row r="133" spans="1:12" ht="18" hidden="1" x14ac:dyDescent="0.25">
      <c r="A133" s="1467"/>
      <c r="B133" s="1342"/>
      <c r="C133" s="1343"/>
      <c r="D133" s="1476"/>
      <c r="E133" s="260"/>
      <c r="F133" s="319"/>
      <c r="G133" s="260"/>
      <c r="H133" s="319"/>
      <c r="I133" s="260"/>
      <c r="J133" s="319"/>
      <c r="K133" s="260"/>
      <c r="L133" s="319"/>
    </row>
    <row r="134" spans="1:12" ht="18" hidden="1" x14ac:dyDescent="0.25">
      <c r="B134" s="1342"/>
      <c r="E134" s="275"/>
      <c r="F134" s="276"/>
      <c r="G134" s="275"/>
      <c r="H134" s="276"/>
      <c r="I134" s="275"/>
      <c r="J134" s="276"/>
      <c r="K134" s="275"/>
      <c r="L134" s="276"/>
    </row>
    <row r="135" spans="1:12" ht="18" hidden="1" x14ac:dyDescent="0.25">
      <c r="B135" s="1342"/>
      <c r="E135" s="276"/>
      <c r="F135" s="276"/>
      <c r="G135" s="276"/>
      <c r="H135" s="276"/>
      <c r="I135" s="276"/>
      <c r="J135" s="276"/>
      <c r="K135" s="276"/>
      <c r="L135" s="276"/>
    </row>
    <row r="136" spans="1:12" hidden="1" x14ac:dyDescent="0.25"/>
    <row r="137" spans="1:12" hidden="1" x14ac:dyDescent="0.25"/>
    <row r="138" spans="1:12" hidden="1" x14ac:dyDescent="0.25"/>
    <row r="139" spans="1:12" hidden="1" x14ac:dyDescent="0.25"/>
    <row r="140" spans="1:12" hidden="1" x14ac:dyDescent="0.25">
      <c r="E140" s="277"/>
      <c r="F140" s="277"/>
      <c r="G140" s="277"/>
      <c r="H140" s="277"/>
      <c r="I140" s="277"/>
      <c r="J140" s="277"/>
      <c r="K140" s="277"/>
      <c r="L140" s="277"/>
    </row>
    <row r="141" spans="1:12" hidden="1" x14ac:dyDescent="0.25">
      <c r="D141" s="1480"/>
      <c r="E141" s="277"/>
      <c r="F141" s="277"/>
      <c r="G141" s="277"/>
      <c r="H141" s="277"/>
      <c r="I141" s="277"/>
      <c r="J141" s="277"/>
      <c r="K141" s="277"/>
      <c r="L141" s="277"/>
    </row>
    <row r="142" spans="1:12" hidden="1" x14ac:dyDescent="0.25">
      <c r="D142" s="1480"/>
    </row>
  </sheetData>
  <sheetProtection password="CB9E" sheet="1" objects="1" scenarios="1"/>
  <mergeCells count="2">
    <mergeCell ref="U4:X4"/>
    <mergeCell ref="A1:D2"/>
  </mergeCells>
  <printOptions horizontalCentered="1"/>
  <pageMargins left="0.17" right="0.17" top="0.56999999999999995" bottom="0.17" header="0.23" footer="0.17"/>
  <pageSetup paperSize="5" scale="67" pageOrder="overThenDown" orientation="portrait" r:id="rId1"/>
  <headerFooter alignWithMargins="0">
    <oddHeader>&amp;C&amp;"Cambria,Bold"&amp;14Sylvan Union School District
2017-18 Budget</oddHeader>
  </headerFooter>
  <ignoredErrors>
    <ignoredError sqref="F80:I80 G78:I7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
  <sheetViews>
    <sheetView showGridLines="0" zoomScale="115" zoomScaleNormal="115" workbookViewId="0">
      <selection activeCell="O24" sqref="O24"/>
    </sheetView>
  </sheetViews>
  <sheetFormatPr defaultColWidth="9.140625" defaultRowHeight="15" x14ac:dyDescent="0.2"/>
  <cols>
    <col min="1" max="1" width="3.85546875" style="163" customWidth="1"/>
    <col min="2" max="10" width="9.140625" style="163" customWidth="1"/>
    <col min="11" max="11" width="3.5703125" style="163" customWidth="1"/>
    <col min="12" max="28" width="9.140625" style="163"/>
    <col min="29" max="29" width="9.140625" style="163" customWidth="1"/>
    <col min="30" max="16384" width="9.140625" style="163"/>
  </cols>
  <sheetData>
    <row r="1" spans="1:1" x14ac:dyDescent="0.2">
      <c r="A1" s="163" t="s">
        <v>141</v>
      </c>
    </row>
  </sheetData>
  <printOptions horizontalCentered="1" verticalCentered="1"/>
  <pageMargins left="0.17" right="0.17" top="0.36" bottom="0.17" header="0.17" footer="0.17"/>
  <pageSetup orientation="portrait" r:id="rId1"/>
  <headerFooter>
    <oddHeader>&amp;L&amp;F</oddHeader>
    <oddFooter>&amp;R&amp;A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zoomScale="145" zoomScaleNormal="145" workbookViewId="0">
      <selection activeCell="I14" sqref="I14"/>
    </sheetView>
  </sheetViews>
  <sheetFormatPr defaultRowHeight="15" x14ac:dyDescent="0.25"/>
  <cols>
    <col min="1" max="1" width="2.85546875" style="1511" customWidth="1"/>
    <col min="2" max="2" width="30.5703125" style="1511" bestFit="1" customWidth="1"/>
    <col min="3" max="3" width="2.5703125" style="1511" customWidth="1"/>
    <col min="4" max="4" width="16.42578125" style="1513" customWidth="1"/>
    <col min="5" max="5" width="9.42578125" style="52" customWidth="1"/>
    <col min="6" max="6" width="6" style="52" customWidth="1"/>
    <col min="7" max="7" width="16.42578125" style="1511" customWidth="1"/>
    <col min="8" max="8" width="9.42578125" style="1512" customWidth="1"/>
    <col min="9" max="9" width="14" style="1511" customWidth="1"/>
    <col min="10" max="10" width="14.85546875" style="144" customWidth="1"/>
    <col min="11" max="16384" width="9.140625" style="1511"/>
  </cols>
  <sheetData>
    <row r="1" spans="1:11" x14ac:dyDescent="0.25">
      <c r="A1" s="938" t="s">
        <v>901</v>
      </c>
    </row>
    <row r="2" spans="1:11" x14ac:dyDescent="0.25">
      <c r="D2" s="930" t="s">
        <v>900</v>
      </c>
      <c r="E2" s="372"/>
      <c r="F2" s="372"/>
      <c r="G2" s="930" t="s">
        <v>35</v>
      </c>
    </row>
    <row r="3" spans="1:11" x14ac:dyDescent="0.25">
      <c r="B3" s="1511" t="s">
        <v>899</v>
      </c>
      <c r="D3" s="1522">
        <v>33218635.800000001</v>
      </c>
      <c r="E3" s="1525" t="s">
        <v>898</v>
      </c>
      <c r="F3" s="1525"/>
      <c r="G3" s="1522">
        <v>11049919</v>
      </c>
      <c r="H3" s="1524" t="s">
        <v>897</v>
      </c>
      <c r="K3" s="1516"/>
    </row>
    <row r="4" spans="1:11" x14ac:dyDescent="0.25">
      <c r="B4" s="1511" t="s">
        <v>891</v>
      </c>
      <c r="D4" s="1518">
        <f>+D3*0.1518</f>
        <v>5042588.9144399995</v>
      </c>
      <c r="E4" s="1523"/>
      <c r="F4" s="1523"/>
      <c r="G4" s="1518">
        <f>+G3*0.22688</f>
        <v>2507005.6227199999</v>
      </c>
      <c r="K4" s="1516"/>
    </row>
    <row r="5" spans="1:11" x14ac:dyDescent="0.25">
      <c r="D5" s="1522">
        <f>SUM(D3:D4)</f>
        <v>38261224.714440003</v>
      </c>
      <c r="E5" s="377"/>
      <c r="F5" s="377"/>
      <c r="G5" s="1522">
        <f>SUM(G3:G4)</f>
        <v>13556924.622719999</v>
      </c>
    </row>
    <row r="8" spans="1:11" x14ac:dyDescent="0.25">
      <c r="B8" s="1511" t="s">
        <v>896</v>
      </c>
      <c r="D8" s="1522">
        <f>33218635.8*0.02</f>
        <v>664372.71600000001</v>
      </c>
      <c r="E8" s="377"/>
      <c r="F8" s="377"/>
      <c r="G8" s="1522">
        <f>+G3*0.02</f>
        <v>220998.38</v>
      </c>
    </row>
    <row r="9" spans="1:11" x14ac:dyDescent="0.25">
      <c r="B9" s="1511" t="s">
        <v>891</v>
      </c>
      <c r="D9" s="1518">
        <f>+D8*0.1518</f>
        <v>100851.77828879999</v>
      </c>
      <c r="E9" s="377"/>
      <c r="F9" s="377"/>
      <c r="G9" s="1518">
        <f>+G8*0.22688</f>
        <v>50140.112454399998</v>
      </c>
    </row>
    <row r="10" spans="1:11" x14ac:dyDescent="0.25">
      <c r="D10" s="1519">
        <f>+D8+D9</f>
        <v>765224.49428880005</v>
      </c>
      <c r="E10" s="1514">
        <f>+D10/D5</f>
        <v>0.02</v>
      </c>
      <c r="F10" s="1514"/>
      <c r="G10" s="1519">
        <f>SUM(G8:G9)</f>
        <v>271138.4924544</v>
      </c>
      <c r="H10" s="1514">
        <f>+G10/G5</f>
        <v>0.02</v>
      </c>
      <c r="I10" s="377"/>
    </row>
    <row r="11" spans="1:11" x14ac:dyDescent="0.25">
      <c r="D11" s="1518"/>
      <c r="E11" s="1514"/>
      <c r="F11" s="1514"/>
      <c r="G11" s="1522"/>
    </row>
    <row r="12" spans="1:11" x14ac:dyDescent="0.25">
      <c r="B12" s="1511" t="s">
        <v>895</v>
      </c>
      <c r="D12" s="1519">
        <f>33218635.8*0.01</f>
        <v>332186.35800000001</v>
      </c>
      <c r="E12" s="1521"/>
      <c r="F12" s="1521"/>
      <c r="G12" s="1519">
        <f>+G3*0.01</f>
        <v>110499.19</v>
      </c>
    </row>
    <row r="13" spans="1:11" x14ac:dyDescent="0.25">
      <c r="B13" s="1511" t="s">
        <v>891</v>
      </c>
      <c r="D13" s="1518">
        <f>+D12*0.1518</f>
        <v>50425.889144399996</v>
      </c>
      <c r="E13" s="1521"/>
      <c r="F13" s="1521"/>
      <c r="G13" s="1518">
        <f>+G12*0.22688</f>
        <v>25070.056227199999</v>
      </c>
    </row>
    <row r="14" spans="1:11" x14ac:dyDescent="0.25">
      <c r="D14" s="1517">
        <f>+D12+D13</f>
        <v>382612.24714440003</v>
      </c>
      <c r="E14" s="1514">
        <f>+D14/D5</f>
        <v>0.01</v>
      </c>
      <c r="F14" s="1514"/>
      <c r="G14" s="1517">
        <f>SUM(G12:G13)</f>
        <v>135569.2462272</v>
      </c>
      <c r="H14" s="1514">
        <f>+G14/G5</f>
        <v>0.01</v>
      </c>
      <c r="I14" s="1580"/>
    </row>
    <row r="15" spans="1:11" x14ac:dyDescent="0.25">
      <c r="E15" s="1514"/>
      <c r="F15" s="1514"/>
    </row>
    <row r="16" spans="1:11" x14ac:dyDescent="0.25">
      <c r="B16" s="1511" t="s">
        <v>894</v>
      </c>
      <c r="D16" s="1519">
        <f>+D8+D12</f>
        <v>996559.07400000002</v>
      </c>
      <c r="E16" s="1521"/>
      <c r="F16" s="1521"/>
      <c r="G16" s="1519">
        <f>+G8+G12</f>
        <v>331497.57</v>
      </c>
    </row>
    <row r="17" spans="2:11" x14ac:dyDescent="0.25">
      <c r="B17" s="1511" t="s">
        <v>891</v>
      </c>
      <c r="D17" s="1518">
        <f>+D16*0.1518</f>
        <v>151277.6674332</v>
      </c>
      <c r="E17" s="1514"/>
      <c r="F17" s="1514"/>
      <c r="G17" s="1518">
        <f>+G9+G13</f>
        <v>75210.1686816</v>
      </c>
      <c r="J17" s="144">
        <f>+D9+D13</f>
        <v>151277.6674332</v>
      </c>
      <c r="K17" s="144" t="s">
        <v>890</v>
      </c>
    </row>
    <row r="18" spans="2:11" x14ac:dyDescent="0.25">
      <c r="D18" s="1517">
        <f>+D16+D17</f>
        <v>1147836.7414332</v>
      </c>
      <c r="E18" s="1514">
        <f>+D18/D5</f>
        <v>2.9999999999999995E-2</v>
      </c>
      <c r="F18" s="1514"/>
      <c r="G18" s="1517">
        <f>SUM(G16:G17)</f>
        <v>406707.73868160002</v>
      </c>
      <c r="H18" s="1514">
        <f>+G18/G5</f>
        <v>3.0000000000000002E-2</v>
      </c>
      <c r="I18" s="377"/>
      <c r="K18" s="1520" t="s">
        <v>893</v>
      </c>
    </row>
    <row r="19" spans="2:11" x14ac:dyDescent="0.25">
      <c r="E19" s="1514"/>
      <c r="F19" s="1514"/>
      <c r="K19" s="144"/>
    </row>
    <row r="20" spans="2:11" x14ac:dyDescent="0.25">
      <c r="B20" s="1511" t="s">
        <v>892</v>
      </c>
      <c r="D20" s="1519">
        <v>18287</v>
      </c>
      <c r="E20" s="1514"/>
      <c r="F20" s="1514"/>
      <c r="G20" s="1519">
        <v>6083.0273094176855</v>
      </c>
      <c r="K20" s="144"/>
    </row>
    <row r="21" spans="2:11" x14ac:dyDescent="0.25">
      <c r="B21" s="1511" t="s">
        <v>891</v>
      </c>
      <c r="D21" s="1518">
        <f>+D20*0.1518</f>
        <v>2775.9665999999997</v>
      </c>
      <c r="E21" s="1514"/>
      <c r="F21" s="1514"/>
      <c r="G21" s="1518">
        <f>+G20*0.22688</f>
        <v>1380.1172359606844</v>
      </c>
      <c r="K21" s="144"/>
    </row>
    <row r="22" spans="2:11" x14ac:dyDescent="0.25">
      <c r="D22" s="1517">
        <f>+D20+D21</f>
        <v>21062.9666</v>
      </c>
      <c r="E22" s="1514">
        <f>+D22/D5</f>
        <v>5.5050424436755467E-4</v>
      </c>
      <c r="F22" s="1514"/>
      <c r="G22" s="1516">
        <f>+G20+G21</f>
        <v>7463.1445453783699</v>
      </c>
      <c r="H22" s="1514">
        <f>+G22/G5</f>
        <v>5.5050424436755467E-4</v>
      </c>
      <c r="I22" s="1515"/>
      <c r="J22" s="144">
        <f>+J23/1.22688</f>
        <v>6083.0273094176855</v>
      </c>
      <c r="K22" s="144" t="s">
        <v>890</v>
      </c>
    </row>
    <row r="23" spans="2:11" x14ac:dyDescent="0.25">
      <c r="E23" s="1514"/>
      <c r="F23" s="1514"/>
      <c r="J23" s="144">
        <f>+E22*G5</f>
        <v>7463.1445453783699</v>
      </c>
      <c r="K23" s="144" t="s">
        <v>890</v>
      </c>
    </row>
    <row r="24" spans="2:11" x14ac:dyDescent="0.25">
      <c r="K24" s="144"/>
    </row>
  </sheetData>
  <pageMargins left="0.7" right="0.7" top="0.75" bottom="0.75" header="0.3" footer="0.3"/>
  <pageSetup scale="91"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H40:P83"/>
  <sheetViews>
    <sheetView showGridLines="0" zoomScale="85" zoomScaleNormal="85" workbookViewId="0"/>
  </sheetViews>
  <sheetFormatPr defaultRowHeight="15" x14ac:dyDescent="0.25"/>
  <cols>
    <col min="1" max="1" width="3" customWidth="1"/>
    <col min="9" max="9" width="14.42578125" customWidth="1"/>
    <col min="10" max="10" width="15.7109375" customWidth="1"/>
    <col min="15" max="15" width="16.7109375" customWidth="1"/>
    <col min="16" max="16" width="15.140625" customWidth="1"/>
    <col min="34" max="34" width="7.42578125" customWidth="1"/>
  </cols>
  <sheetData>
    <row r="40" spans="10:14" x14ac:dyDescent="0.25">
      <c r="J40" s="1481"/>
      <c r="K40" s="1481"/>
      <c r="L40" s="1481"/>
      <c r="M40" s="1481"/>
      <c r="N40" s="1481"/>
    </row>
    <row r="41" spans="10:14" x14ac:dyDescent="0.25">
      <c r="J41" s="1481"/>
      <c r="K41" s="1481"/>
      <c r="L41" s="1481"/>
      <c r="M41" s="1481"/>
      <c r="N41" s="1481"/>
    </row>
    <row r="42" spans="10:14" x14ac:dyDescent="0.25">
      <c r="J42" s="1481"/>
      <c r="K42" s="1481"/>
      <c r="L42" s="1481"/>
      <c r="M42" s="1481"/>
      <c r="N42" s="1481"/>
    </row>
    <row r="43" spans="10:14" x14ac:dyDescent="0.25">
      <c r="J43" s="1481"/>
      <c r="K43" s="1481"/>
      <c r="L43" s="1481"/>
      <c r="M43" s="1481"/>
      <c r="N43" s="1481"/>
    </row>
    <row r="44" spans="10:14" x14ac:dyDescent="0.25">
      <c r="J44" s="1481"/>
      <c r="K44" s="1481"/>
      <c r="L44" s="1481"/>
      <c r="M44" s="1481"/>
      <c r="N44" s="1481"/>
    </row>
    <row r="45" spans="10:14" x14ac:dyDescent="0.25">
      <c r="J45" s="1481"/>
      <c r="K45" s="1481"/>
      <c r="L45" s="1483"/>
      <c r="M45" s="2203"/>
      <c r="N45" s="2203"/>
    </row>
    <row r="46" spans="10:14" x14ac:dyDescent="0.25">
      <c r="J46" s="1481"/>
      <c r="K46" s="1481"/>
      <c r="L46" s="1483"/>
      <c r="M46" s="2203"/>
      <c r="N46" s="2203"/>
    </row>
    <row r="47" spans="10:14" x14ac:dyDescent="0.25">
      <c r="J47" s="1481"/>
      <c r="K47" s="1481"/>
      <c r="L47" s="26"/>
      <c r="M47" s="2202"/>
      <c r="N47" s="2202"/>
    </row>
    <row r="48" spans="10:14" x14ac:dyDescent="0.25">
      <c r="J48" s="1481"/>
      <c r="K48" s="1481"/>
      <c r="L48" s="1481"/>
      <c r="M48" s="1481"/>
      <c r="N48" s="1481"/>
    </row>
    <row r="49" spans="10:14" x14ac:dyDescent="0.25">
      <c r="J49" s="1481"/>
      <c r="K49" s="1481"/>
      <c r="L49" s="1481"/>
      <c r="M49" s="1481"/>
      <c r="N49" s="1481"/>
    </row>
    <row r="50" spans="10:14" x14ac:dyDescent="0.25">
      <c r="J50" s="1481"/>
      <c r="K50" s="1481"/>
      <c r="L50" s="1481"/>
      <c r="M50" s="1481"/>
      <c r="N50" s="1481"/>
    </row>
    <row r="73" spans="8:16" x14ac:dyDescent="0.25">
      <c r="H73" s="1481"/>
      <c r="I73" s="1481"/>
      <c r="J73" s="1481"/>
      <c r="K73" s="1481"/>
      <c r="L73" s="1481"/>
      <c r="M73" s="1481"/>
      <c r="N73" s="1481"/>
      <c r="O73" s="1481"/>
      <c r="P73" s="1481"/>
    </row>
    <row r="74" spans="8:16" x14ac:dyDescent="0.25">
      <c r="H74" s="1481"/>
      <c r="I74" s="1481"/>
      <c r="J74" s="1481"/>
      <c r="K74" s="1481"/>
      <c r="L74" s="1481"/>
      <c r="M74" s="1481"/>
      <c r="N74" s="1481"/>
      <c r="O74" s="1481"/>
      <c r="P74" s="1481"/>
    </row>
    <row r="75" spans="8:16" x14ac:dyDescent="0.25">
      <c r="H75" s="1481"/>
      <c r="I75" s="1481"/>
      <c r="J75" s="1481"/>
      <c r="K75" s="1481"/>
      <c r="L75" s="1481"/>
      <c r="M75" s="1481"/>
      <c r="N75" s="1481"/>
      <c r="O75" s="1481"/>
      <c r="P75" s="1481"/>
    </row>
    <row r="76" spans="8:16" x14ac:dyDescent="0.25">
      <c r="H76" s="1481"/>
      <c r="I76" s="1481"/>
      <c r="J76" s="1482"/>
      <c r="K76" s="1481"/>
      <c r="L76" s="1481"/>
      <c r="M76" s="1481"/>
      <c r="N76" s="1481"/>
      <c r="O76" s="1481"/>
      <c r="P76" s="1482"/>
    </row>
    <row r="77" spans="8:16" x14ac:dyDescent="0.25">
      <c r="H77" s="1481"/>
      <c r="I77" s="1483"/>
      <c r="J77" s="1484"/>
      <c r="K77" s="1481"/>
      <c r="L77" s="1481"/>
      <c r="M77" s="1481"/>
      <c r="N77" s="1481"/>
      <c r="O77" s="1483"/>
      <c r="P77" s="1484"/>
    </row>
    <row r="78" spans="8:16" x14ac:dyDescent="0.25">
      <c r="H78" s="1481"/>
      <c r="I78" s="1483"/>
      <c r="J78" s="1484"/>
      <c r="K78" s="1481"/>
      <c r="L78" s="1481"/>
      <c r="M78" s="1481"/>
      <c r="N78" s="1481"/>
      <c r="O78" s="1483"/>
      <c r="P78" s="1484"/>
    </row>
    <row r="79" spans="8:16" x14ac:dyDescent="0.25">
      <c r="H79" s="1481"/>
      <c r="I79" s="26"/>
      <c r="J79" s="1485"/>
      <c r="K79" s="1481"/>
      <c r="L79" s="1481"/>
      <c r="M79" s="1481"/>
      <c r="N79" s="1481"/>
      <c r="O79" s="26"/>
      <c r="P79" s="1485"/>
    </row>
    <row r="80" spans="8:16" x14ac:dyDescent="0.25">
      <c r="H80" s="1481"/>
      <c r="I80" s="1481"/>
      <c r="J80" s="1481"/>
      <c r="K80" s="1481"/>
      <c r="L80" s="1481"/>
      <c r="M80" s="1481"/>
      <c r="N80" s="1481"/>
      <c r="O80" s="1481"/>
      <c r="P80" s="1481"/>
    </row>
    <row r="81" spans="8:16" x14ac:dyDescent="0.25">
      <c r="H81" s="1481"/>
      <c r="I81" s="1481"/>
      <c r="J81" s="1481"/>
      <c r="K81" s="1481"/>
      <c r="L81" s="1481"/>
      <c r="M81" s="1481"/>
      <c r="N81" s="1481"/>
      <c r="O81" s="1481"/>
      <c r="P81" s="1481"/>
    </row>
    <row r="82" spans="8:16" x14ac:dyDescent="0.25">
      <c r="H82" s="1481"/>
      <c r="I82" s="1481"/>
      <c r="J82" s="1481"/>
      <c r="K82" s="1481"/>
      <c r="L82" s="1481"/>
      <c r="M82" s="1481"/>
      <c r="N82" s="1481"/>
      <c r="O82" s="1481"/>
      <c r="P82" s="1481"/>
    </row>
    <row r="83" spans="8:16" x14ac:dyDescent="0.25">
      <c r="H83" s="1481"/>
      <c r="I83" s="1481"/>
      <c r="J83" s="1481"/>
      <c r="K83" s="1481"/>
      <c r="L83" s="1481"/>
      <c r="M83" s="1481"/>
      <c r="N83" s="1481"/>
      <c r="O83" s="1481"/>
      <c r="P83" s="1481"/>
    </row>
  </sheetData>
  <sheetProtection password="B79F" sheet="1" objects="1" scenarios="1"/>
  <mergeCells count="3">
    <mergeCell ref="M47:N47"/>
    <mergeCell ref="M45:N45"/>
    <mergeCell ref="M46:N46"/>
  </mergeCells>
  <printOptions horizontalCentered="1"/>
  <pageMargins left="0.17" right="0.17" top="0.17" bottom="0.17" header="0.17" footer="0.17"/>
  <pageSetup paperSize="5" scale="55" orientation="landscape" r:id="rId1"/>
  <headerFooter>
    <oddHeader>&amp;L&amp;F&amp;R&amp;A</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19</vt:i4>
      </vt:variant>
    </vt:vector>
  </HeadingPairs>
  <TitlesOfParts>
    <vt:vector size="60" baseType="lpstr">
      <vt:lpstr>MYP Assumptions</vt:lpstr>
      <vt:lpstr>RS 3010-ALL</vt:lpstr>
      <vt:lpstr>UNRESTRICTED STRS Incrs Calc</vt:lpstr>
      <vt:lpstr>UNRESTRICTED</vt:lpstr>
      <vt:lpstr>RESTRICTED</vt:lpstr>
      <vt:lpstr>COMBINED</vt:lpstr>
      <vt:lpstr>SSC's Dartboard</vt:lpstr>
      <vt:lpstr>Percentage of Incrs</vt:lpstr>
      <vt:lpstr>LCFF</vt:lpstr>
      <vt:lpstr>Other Revenue</vt:lpstr>
      <vt:lpstr>STRS &amp; PERS</vt:lpstr>
      <vt:lpstr>Textbook Adoption Schedule</vt:lpstr>
      <vt:lpstr>RS 00XX &amp; 1400</vt:lpstr>
      <vt:lpstr>RS 0617</vt:lpstr>
      <vt:lpstr>RS 0653</vt:lpstr>
      <vt:lpstr>RS 0654</vt:lpstr>
      <vt:lpstr>RS 0655</vt:lpstr>
      <vt:lpstr>RS 1100</vt:lpstr>
      <vt:lpstr>2016-17  RS 3010-DO &amp; All Sites</vt:lpstr>
      <vt:lpstr>2017-18  RS 3010-DO &amp; All Sites</vt:lpstr>
      <vt:lpstr>RS 3010</vt:lpstr>
      <vt:lpstr>RS 3310</vt:lpstr>
      <vt:lpstr>RS 3311</vt:lpstr>
      <vt:lpstr>RS 4035</vt:lpstr>
      <vt:lpstr>RS 4201</vt:lpstr>
      <vt:lpstr>RS 4203</vt:lpstr>
      <vt:lpstr>RS 5640</vt:lpstr>
      <vt:lpstr>RS 6010</vt:lpstr>
      <vt:lpstr>RS 6230</vt:lpstr>
      <vt:lpstr>RS 6264</vt:lpstr>
      <vt:lpstr>RS 6300</vt:lpstr>
      <vt:lpstr>RS 6500</vt:lpstr>
      <vt:lpstr>RS 6512</vt:lpstr>
      <vt:lpstr>RS 7810</vt:lpstr>
      <vt:lpstr>RS 8150</vt:lpstr>
      <vt:lpstr>RS 9076</vt:lpstr>
      <vt:lpstr>RS 9221</vt:lpstr>
      <vt:lpstr>RS 9222</vt:lpstr>
      <vt:lpstr>RS 9225</vt:lpstr>
      <vt:lpstr>OTHER FUNDS - MYP</vt:lpstr>
      <vt:lpstr>RS XXXX - MYP, BLANK</vt:lpstr>
      <vt:lpstr>'2016-17  RS 3010-DO &amp; All Sites'!Print_Area</vt:lpstr>
      <vt:lpstr>'2017-18  RS 3010-DO &amp; All Sites'!Print_Area</vt:lpstr>
      <vt:lpstr>COMBINED!Print_Area</vt:lpstr>
      <vt:lpstr>LCFF!Print_Area</vt:lpstr>
      <vt:lpstr>'MYP Assumptions'!Print_Area</vt:lpstr>
      <vt:lpstr>'OTHER FUNDS - MYP'!Print_Area</vt:lpstr>
      <vt:lpstr>'Percentage of Incrs'!Print_Area</vt:lpstr>
      <vt:lpstr>RESTRICTED!Print_Area</vt:lpstr>
      <vt:lpstr>'RS 00XX &amp; 1400'!Print_Area</vt:lpstr>
      <vt:lpstr>'STRS &amp; PERS'!Print_Area</vt:lpstr>
      <vt:lpstr>UNRESTRICTED!Print_Area</vt:lpstr>
      <vt:lpstr>'UNRESTRICTED STRS Incrs Calc'!Print_Area</vt:lpstr>
      <vt:lpstr>'2016-17  RS 3010-DO &amp; All Sites'!Print_Titles</vt:lpstr>
      <vt:lpstr>'2017-18  RS 3010-DO &amp; All Sites'!Print_Titles</vt:lpstr>
      <vt:lpstr>COMBINED!Print_Titles</vt:lpstr>
      <vt:lpstr>'MYP Assumptions'!Print_Titles</vt:lpstr>
      <vt:lpstr>RESTRICTED!Print_Titles</vt:lpstr>
      <vt:lpstr>UNRESTRICTED!Print_Titles</vt:lpstr>
      <vt:lpstr>'UNRESTRICTED STRS Incrs Calc'!Print_Titles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Cheryl Phan</dc:creator>
  <cp:lastModifiedBy>Cheryl Phan</cp:lastModifiedBy>
  <cp:lastPrinted>2017-12-05T18:35:14Z</cp:lastPrinted>
  <dcterms:created xsi:type="dcterms:W3CDTF">2017-02-20T04:28:16Z</dcterms:created>
  <dcterms:modified xsi:type="dcterms:W3CDTF">2017-12-05T18:47:09Z</dcterms:modified>
</cp:coreProperties>
</file>